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021766\Desktop\БАЛАНСЫ\Баланс на биржу\"/>
    </mc:Choice>
  </mc:AlternateContent>
  <bookViews>
    <workbookView xWindow="0" yWindow="0" windowWidth="28800" windowHeight="11400"/>
  </bookViews>
  <sheets>
    <sheet name="VREP_700_ND_RESPONDENTundefined" sheetId="1" r:id="rId1"/>
  </sheets>
  <definedNames>
    <definedName name="_xlnm._FilterDatabase" localSheetId="0" hidden="1">VREP_700_ND_RESPONDENTundefined!$A$6:$H$917</definedName>
  </definedNames>
  <calcPr calcId="162913"/>
</workbook>
</file>

<file path=xl/calcChain.xml><?xml version="1.0" encoding="utf-8"?>
<calcChain xmlns="http://schemas.openxmlformats.org/spreadsheetml/2006/main">
  <c r="C524" i="1" l="1"/>
  <c r="D524" i="1"/>
  <c r="E524" i="1"/>
  <c r="F524" i="1"/>
  <c r="G524" i="1"/>
  <c r="C544" i="1"/>
  <c r="D544" i="1"/>
  <c r="E544" i="1"/>
  <c r="F544" i="1"/>
  <c r="G544" i="1"/>
  <c r="C531" i="1"/>
  <c r="D531" i="1"/>
  <c r="E531" i="1"/>
  <c r="F531" i="1"/>
  <c r="G531" i="1"/>
  <c r="C532" i="1"/>
  <c r="D532" i="1"/>
  <c r="E532" i="1"/>
  <c r="F532" i="1"/>
  <c r="G532" i="1"/>
  <c r="C525" i="1"/>
  <c r="D525" i="1"/>
  <c r="E525" i="1"/>
  <c r="F525" i="1"/>
  <c r="G525" i="1"/>
  <c r="C557" i="1"/>
  <c r="D557" i="1"/>
  <c r="E557" i="1"/>
  <c r="F557" i="1"/>
  <c r="G557" i="1"/>
  <c r="C558" i="1"/>
  <c r="D558" i="1"/>
  <c r="E558" i="1"/>
  <c r="F558" i="1"/>
  <c r="G558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2" i="1"/>
  <c r="D582" i="1"/>
  <c r="E582" i="1"/>
  <c r="F582" i="1"/>
  <c r="G582" i="1"/>
  <c r="C559" i="1"/>
  <c r="D559" i="1"/>
  <c r="E559" i="1"/>
  <c r="F559" i="1"/>
  <c r="G559" i="1"/>
  <c r="C573" i="1"/>
  <c r="D573" i="1"/>
  <c r="E573" i="1"/>
  <c r="F573" i="1"/>
  <c r="G573" i="1"/>
  <c r="C580" i="1"/>
  <c r="D580" i="1"/>
  <c r="E580" i="1"/>
  <c r="F580" i="1"/>
  <c r="G580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91" i="1"/>
  <c r="D591" i="1"/>
  <c r="E591" i="1"/>
  <c r="F591" i="1"/>
  <c r="G591" i="1"/>
  <c r="C574" i="1"/>
  <c r="D574" i="1"/>
  <c r="E574" i="1"/>
  <c r="F574" i="1"/>
  <c r="G574" i="1"/>
  <c r="C594" i="1"/>
  <c r="D594" i="1"/>
  <c r="E594" i="1"/>
  <c r="F594" i="1"/>
  <c r="G594" i="1"/>
  <c r="C593" i="1"/>
  <c r="D593" i="1"/>
  <c r="E593" i="1"/>
  <c r="F593" i="1"/>
  <c r="G593" i="1"/>
  <c r="C592" i="1"/>
  <c r="D592" i="1"/>
  <c r="E592" i="1"/>
  <c r="F592" i="1"/>
  <c r="G592" i="1"/>
  <c r="C575" i="1"/>
  <c r="D575" i="1"/>
  <c r="E575" i="1"/>
  <c r="F575" i="1"/>
  <c r="G575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88" i="1"/>
  <c r="D588" i="1"/>
  <c r="E588" i="1"/>
  <c r="F588" i="1"/>
  <c r="G588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602" i="1"/>
  <c r="D602" i="1"/>
  <c r="E602" i="1"/>
  <c r="F602" i="1"/>
  <c r="G602" i="1"/>
  <c r="C581" i="1"/>
  <c r="D581" i="1"/>
  <c r="E581" i="1"/>
  <c r="F581" i="1"/>
  <c r="G581" i="1"/>
  <c r="C603" i="1"/>
  <c r="D603" i="1"/>
  <c r="E603" i="1"/>
  <c r="F603" i="1"/>
  <c r="G603" i="1"/>
  <c r="C589" i="1"/>
  <c r="D589" i="1"/>
  <c r="E589" i="1"/>
  <c r="F589" i="1"/>
  <c r="G589" i="1"/>
  <c r="C604" i="1"/>
  <c r="D604" i="1"/>
  <c r="E604" i="1"/>
  <c r="F604" i="1"/>
  <c r="G604" i="1"/>
  <c r="C576" i="1"/>
  <c r="D576" i="1"/>
  <c r="E576" i="1"/>
  <c r="F576" i="1"/>
  <c r="G576" i="1"/>
  <c r="C590" i="1"/>
  <c r="D590" i="1"/>
  <c r="E590" i="1"/>
  <c r="F590" i="1"/>
  <c r="G590" i="1"/>
  <c r="C605" i="1"/>
  <c r="D605" i="1"/>
  <c r="E605" i="1"/>
  <c r="F605" i="1"/>
  <c r="G605" i="1"/>
  <c r="C606" i="1"/>
  <c r="D606" i="1"/>
  <c r="E606" i="1"/>
  <c r="F606" i="1"/>
  <c r="G606" i="1"/>
  <c r="C601" i="1"/>
  <c r="D601" i="1"/>
  <c r="E601" i="1"/>
  <c r="F601" i="1"/>
  <c r="G601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4" i="1"/>
  <c r="D614" i="1"/>
  <c r="E614" i="1"/>
  <c r="F614" i="1"/>
  <c r="G614" i="1"/>
  <c r="C620" i="1"/>
  <c r="D620" i="1"/>
  <c r="E620" i="1"/>
  <c r="F620" i="1"/>
  <c r="G620" i="1"/>
  <c r="C611" i="1"/>
  <c r="D611" i="1"/>
  <c r="E611" i="1"/>
  <c r="F611" i="1"/>
  <c r="G611" i="1"/>
  <c r="C615" i="1"/>
  <c r="D615" i="1"/>
  <c r="E615" i="1"/>
  <c r="F615" i="1"/>
  <c r="G615" i="1"/>
  <c r="C616" i="1"/>
  <c r="D616" i="1"/>
  <c r="E616" i="1"/>
  <c r="F616" i="1"/>
  <c r="G616" i="1"/>
  <c r="C612" i="1"/>
  <c r="D612" i="1"/>
  <c r="E612" i="1"/>
  <c r="F612" i="1"/>
  <c r="G612" i="1"/>
  <c r="C617" i="1"/>
  <c r="D617" i="1"/>
  <c r="E617" i="1"/>
  <c r="F617" i="1"/>
  <c r="G617" i="1"/>
  <c r="C621" i="1"/>
  <c r="D621" i="1"/>
  <c r="E621" i="1"/>
  <c r="F621" i="1"/>
  <c r="G621" i="1"/>
  <c r="C618" i="1"/>
  <c r="D618" i="1"/>
  <c r="E618" i="1"/>
  <c r="F618" i="1"/>
  <c r="G618" i="1"/>
  <c r="C622" i="1"/>
  <c r="D622" i="1"/>
  <c r="E622" i="1"/>
  <c r="F622" i="1"/>
  <c r="G622" i="1"/>
  <c r="C624" i="1"/>
  <c r="D624" i="1"/>
  <c r="E624" i="1"/>
  <c r="F624" i="1"/>
  <c r="G624" i="1"/>
  <c r="C625" i="1"/>
  <c r="D625" i="1"/>
  <c r="E625" i="1"/>
  <c r="F625" i="1"/>
  <c r="G625" i="1"/>
  <c r="C619" i="1"/>
  <c r="D619" i="1"/>
  <c r="E619" i="1"/>
  <c r="F619" i="1"/>
  <c r="G619" i="1"/>
  <c r="C628" i="1"/>
  <c r="D628" i="1"/>
  <c r="E628" i="1"/>
  <c r="F628" i="1"/>
  <c r="G628" i="1"/>
  <c r="C636" i="1"/>
  <c r="D636" i="1"/>
  <c r="E636" i="1"/>
  <c r="F636" i="1"/>
  <c r="G636" i="1"/>
  <c r="C631" i="1"/>
  <c r="D631" i="1"/>
  <c r="E631" i="1"/>
  <c r="F631" i="1"/>
  <c r="G631" i="1"/>
  <c r="C635" i="1"/>
  <c r="D635" i="1"/>
  <c r="E635" i="1"/>
  <c r="F635" i="1"/>
  <c r="G635" i="1"/>
  <c r="C632" i="1"/>
  <c r="D632" i="1"/>
  <c r="E632" i="1"/>
  <c r="F632" i="1"/>
  <c r="G632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13" i="1"/>
  <c r="D613" i="1"/>
  <c r="E613" i="1"/>
  <c r="F613" i="1"/>
  <c r="G613" i="1"/>
  <c r="C623" i="1"/>
  <c r="D623" i="1"/>
  <c r="E623" i="1"/>
  <c r="F623" i="1"/>
  <c r="G623" i="1"/>
  <c r="C626" i="1"/>
  <c r="D626" i="1"/>
  <c r="E626" i="1"/>
  <c r="F626" i="1"/>
  <c r="G626" i="1"/>
  <c r="C645" i="1"/>
  <c r="D645" i="1"/>
  <c r="E645" i="1"/>
  <c r="F645" i="1"/>
  <c r="G645" i="1"/>
  <c r="C646" i="1"/>
  <c r="D646" i="1"/>
  <c r="E646" i="1"/>
  <c r="F646" i="1"/>
  <c r="G646" i="1"/>
  <c r="C630" i="1"/>
  <c r="D630" i="1"/>
  <c r="E630" i="1"/>
  <c r="F630" i="1"/>
  <c r="G630" i="1"/>
  <c r="C647" i="1"/>
  <c r="D647" i="1"/>
  <c r="E647" i="1"/>
  <c r="F647" i="1"/>
  <c r="G647" i="1"/>
  <c r="C656" i="1"/>
  <c r="D656" i="1"/>
  <c r="E656" i="1"/>
  <c r="F656" i="1"/>
  <c r="G656" i="1"/>
  <c r="C648" i="1"/>
  <c r="D648" i="1"/>
  <c r="E648" i="1"/>
  <c r="F648" i="1"/>
  <c r="G648" i="1"/>
  <c r="C649" i="1"/>
  <c r="D649" i="1"/>
  <c r="E649" i="1"/>
  <c r="F649" i="1"/>
  <c r="G649" i="1"/>
  <c r="C650" i="1"/>
  <c r="D650" i="1"/>
  <c r="E650" i="1"/>
  <c r="F650" i="1"/>
  <c r="G650" i="1"/>
  <c r="C627" i="1"/>
  <c r="D627" i="1"/>
  <c r="E627" i="1"/>
  <c r="F627" i="1"/>
  <c r="G627" i="1"/>
  <c r="C651" i="1"/>
  <c r="D651" i="1"/>
  <c r="E651" i="1"/>
  <c r="F651" i="1"/>
  <c r="G651" i="1"/>
  <c r="C652" i="1"/>
  <c r="D652" i="1"/>
  <c r="E652" i="1"/>
  <c r="F652" i="1"/>
  <c r="G652" i="1"/>
  <c r="C629" i="1"/>
  <c r="D629" i="1"/>
  <c r="E629" i="1"/>
  <c r="F629" i="1"/>
  <c r="G629" i="1"/>
  <c r="C653" i="1"/>
  <c r="D653" i="1"/>
  <c r="E653" i="1"/>
  <c r="F653" i="1"/>
  <c r="G653" i="1"/>
  <c r="C633" i="1"/>
  <c r="D633" i="1"/>
  <c r="E633" i="1"/>
  <c r="F633" i="1"/>
  <c r="G633" i="1"/>
  <c r="C654" i="1"/>
  <c r="D654" i="1"/>
  <c r="E654" i="1"/>
  <c r="F654" i="1"/>
  <c r="G654" i="1"/>
  <c r="C637" i="1"/>
  <c r="D637" i="1"/>
  <c r="E637" i="1"/>
  <c r="F637" i="1"/>
  <c r="G637" i="1"/>
  <c r="C634" i="1"/>
  <c r="D634" i="1"/>
  <c r="E634" i="1"/>
  <c r="F634" i="1"/>
  <c r="G634" i="1"/>
  <c r="C655" i="1"/>
  <c r="D655" i="1"/>
  <c r="E655" i="1"/>
  <c r="F655" i="1"/>
  <c r="G655" i="1"/>
  <c r="C657" i="1"/>
  <c r="D657" i="1"/>
  <c r="E657" i="1"/>
  <c r="F657" i="1"/>
  <c r="G657" i="1"/>
  <c r="C658" i="1"/>
  <c r="D658" i="1"/>
  <c r="E658" i="1"/>
  <c r="F658" i="1"/>
  <c r="G658" i="1"/>
  <c r="C659" i="1"/>
  <c r="D659" i="1"/>
  <c r="E659" i="1"/>
  <c r="F659" i="1"/>
  <c r="G659" i="1"/>
  <c r="C664" i="1"/>
  <c r="D664" i="1"/>
  <c r="E664" i="1"/>
  <c r="F664" i="1"/>
  <c r="G664" i="1"/>
  <c r="C660" i="1"/>
  <c r="D660" i="1"/>
  <c r="E660" i="1"/>
  <c r="F660" i="1"/>
  <c r="G660" i="1"/>
  <c r="C663" i="1"/>
  <c r="D663" i="1"/>
  <c r="E663" i="1"/>
  <c r="F663" i="1"/>
  <c r="G663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4" i="1"/>
  <c r="D674" i="1"/>
  <c r="E674" i="1"/>
  <c r="F674" i="1"/>
  <c r="G674" i="1"/>
  <c r="C670" i="1"/>
  <c r="D670" i="1"/>
  <c r="E670" i="1"/>
  <c r="F670" i="1"/>
  <c r="G670" i="1"/>
  <c r="C671" i="1"/>
  <c r="D671" i="1"/>
  <c r="E671" i="1"/>
  <c r="F671" i="1"/>
  <c r="G671" i="1"/>
  <c r="C675" i="1"/>
  <c r="D675" i="1"/>
  <c r="E675" i="1"/>
  <c r="F675" i="1"/>
  <c r="G675" i="1"/>
  <c r="C676" i="1"/>
  <c r="D676" i="1"/>
  <c r="E676" i="1"/>
  <c r="F676" i="1"/>
  <c r="G676" i="1"/>
  <c r="C677" i="1"/>
  <c r="D677" i="1"/>
  <c r="E677" i="1"/>
  <c r="F677" i="1"/>
  <c r="G677" i="1"/>
  <c r="C678" i="1"/>
  <c r="D678" i="1"/>
  <c r="E678" i="1"/>
  <c r="F678" i="1"/>
  <c r="G678" i="1"/>
  <c r="C679" i="1"/>
  <c r="D679" i="1"/>
  <c r="E679" i="1"/>
  <c r="F679" i="1"/>
  <c r="G679" i="1"/>
  <c r="C680" i="1"/>
  <c r="D680" i="1"/>
  <c r="E680" i="1"/>
  <c r="F680" i="1"/>
  <c r="G680" i="1"/>
  <c r="C681" i="1"/>
  <c r="D681" i="1"/>
  <c r="E681" i="1"/>
  <c r="F681" i="1"/>
  <c r="G681" i="1"/>
  <c r="C682" i="1"/>
  <c r="D682" i="1"/>
  <c r="E682" i="1"/>
  <c r="F682" i="1"/>
  <c r="G682" i="1"/>
  <c r="C683" i="1"/>
  <c r="D683" i="1"/>
  <c r="E683" i="1"/>
  <c r="F683" i="1"/>
  <c r="G683" i="1"/>
  <c r="C690" i="1"/>
  <c r="D690" i="1"/>
  <c r="E690" i="1"/>
  <c r="F690" i="1"/>
  <c r="G690" i="1"/>
  <c r="C684" i="1"/>
  <c r="D684" i="1"/>
  <c r="E684" i="1"/>
  <c r="F684" i="1"/>
  <c r="G684" i="1"/>
  <c r="C691" i="1"/>
  <c r="D691" i="1"/>
  <c r="E691" i="1"/>
  <c r="F691" i="1"/>
  <c r="G691" i="1"/>
  <c r="C661" i="1"/>
  <c r="D661" i="1"/>
  <c r="E661" i="1"/>
  <c r="F661" i="1"/>
  <c r="G661" i="1"/>
  <c r="C685" i="1"/>
  <c r="D685" i="1"/>
  <c r="E685" i="1"/>
  <c r="F685" i="1"/>
  <c r="G685" i="1"/>
  <c r="C699" i="1"/>
  <c r="D699" i="1"/>
  <c r="E699" i="1"/>
  <c r="F699" i="1"/>
  <c r="G699" i="1"/>
  <c r="C672" i="1"/>
  <c r="D672" i="1"/>
  <c r="E672" i="1"/>
  <c r="F672" i="1"/>
  <c r="G672" i="1"/>
  <c r="C702" i="1"/>
  <c r="D702" i="1"/>
  <c r="E702" i="1"/>
  <c r="F702" i="1"/>
  <c r="G702" i="1"/>
  <c r="C662" i="1"/>
  <c r="D662" i="1"/>
  <c r="E662" i="1"/>
  <c r="F662" i="1"/>
  <c r="G662" i="1"/>
  <c r="C686" i="1"/>
  <c r="D686" i="1"/>
  <c r="E686" i="1"/>
  <c r="F686" i="1"/>
  <c r="G686" i="1"/>
  <c r="C704" i="1"/>
  <c r="D704" i="1"/>
  <c r="E704" i="1"/>
  <c r="F704" i="1"/>
  <c r="G704" i="1"/>
  <c r="C687" i="1"/>
  <c r="D687" i="1"/>
  <c r="E687" i="1"/>
  <c r="F687" i="1"/>
  <c r="G687" i="1"/>
  <c r="C688" i="1"/>
  <c r="D688" i="1"/>
  <c r="E688" i="1"/>
  <c r="F688" i="1"/>
  <c r="G688" i="1"/>
  <c r="C703" i="1"/>
  <c r="D703" i="1"/>
  <c r="E703" i="1"/>
  <c r="F703" i="1"/>
  <c r="G703" i="1"/>
  <c r="C695" i="1"/>
  <c r="D695" i="1"/>
  <c r="E695" i="1"/>
  <c r="F695" i="1"/>
  <c r="G695" i="1"/>
  <c r="C696" i="1"/>
  <c r="D696" i="1"/>
  <c r="E696" i="1"/>
  <c r="F696" i="1"/>
  <c r="G696" i="1"/>
  <c r="C673" i="1"/>
  <c r="D673" i="1"/>
  <c r="E673" i="1"/>
  <c r="F673" i="1"/>
  <c r="G673" i="1"/>
  <c r="C689" i="1"/>
  <c r="D689" i="1"/>
  <c r="E689" i="1"/>
  <c r="F689" i="1"/>
  <c r="G689" i="1"/>
  <c r="C700" i="1"/>
  <c r="D700" i="1"/>
  <c r="E700" i="1"/>
  <c r="F700" i="1"/>
  <c r="G700" i="1"/>
  <c r="C692" i="1"/>
  <c r="D692" i="1"/>
  <c r="E692" i="1"/>
  <c r="F692" i="1"/>
  <c r="G692" i="1"/>
  <c r="C701" i="1"/>
  <c r="D701" i="1"/>
  <c r="E701" i="1"/>
  <c r="F701" i="1"/>
  <c r="G701" i="1"/>
  <c r="C693" i="1"/>
  <c r="D693" i="1"/>
  <c r="E693" i="1"/>
  <c r="F693" i="1"/>
  <c r="G693" i="1"/>
  <c r="C694" i="1"/>
  <c r="D694" i="1"/>
  <c r="E694" i="1"/>
  <c r="F694" i="1"/>
  <c r="G694" i="1"/>
  <c r="C705" i="1"/>
  <c r="D705" i="1"/>
  <c r="E705" i="1"/>
  <c r="F705" i="1"/>
  <c r="G705" i="1"/>
  <c r="C706" i="1"/>
  <c r="D706" i="1"/>
  <c r="E706" i="1"/>
  <c r="F706" i="1"/>
  <c r="G706" i="1"/>
  <c r="C698" i="1"/>
  <c r="D698" i="1"/>
  <c r="E698" i="1"/>
  <c r="F698" i="1"/>
  <c r="G698" i="1"/>
  <c r="C697" i="1"/>
  <c r="D697" i="1"/>
  <c r="E697" i="1"/>
  <c r="F697" i="1"/>
  <c r="G697" i="1"/>
  <c r="C713" i="1"/>
  <c r="D713" i="1"/>
  <c r="E713" i="1"/>
  <c r="F713" i="1"/>
  <c r="G713" i="1"/>
  <c r="C708" i="1"/>
  <c r="D708" i="1"/>
  <c r="E708" i="1"/>
  <c r="F708" i="1"/>
  <c r="G708" i="1"/>
  <c r="C711" i="1"/>
  <c r="D711" i="1"/>
  <c r="E711" i="1"/>
  <c r="F711" i="1"/>
  <c r="G711" i="1"/>
  <c r="C716" i="1"/>
  <c r="D716" i="1"/>
  <c r="E716" i="1"/>
  <c r="F716" i="1"/>
  <c r="G716" i="1"/>
  <c r="C714" i="1"/>
  <c r="D714" i="1"/>
  <c r="E714" i="1"/>
  <c r="F714" i="1"/>
  <c r="G714" i="1"/>
  <c r="C719" i="1"/>
  <c r="D719" i="1"/>
  <c r="E719" i="1"/>
  <c r="F719" i="1"/>
  <c r="G719" i="1"/>
  <c r="C723" i="1"/>
  <c r="D723" i="1"/>
  <c r="E723" i="1"/>
  <c r="F723" i="1"/>
  <c r="G723" i="1"/>
  <c r="C712" i="1"/>
  <c r="D712" i="1"/>
  <c r="E712" i="1"/>
  <c r="F712" i="1"/>
  <c r="G712" i="1"/>
  <c r="C729" i="1"/>
  <c r="D729" i="1"/>
  <c r="E729" i="1"/>
  <c r="F729" i="1"/>
  <c r="G729" i="1"/>
  <c r="C725" i="1"/>
  <c r="D725" i="1"/>
  <c r="E725" i="1"/>
  <c r="F725" i="1"/>
  <c r="G725" i="1"/>
  <c r="C707" i="1"/>
  <c r="D707" i="1"/>
  <c r="E707" i="1"/>
  <c r="F707" i="1"/>
  <c r="G707" i="1"/>
  <c r="C731" i="1"/>
  <c r="D731" i="1"/>
  <c r="E731" i="1"/>
  <c r="F731" i="1"/>
  <c r="G731" i="1"/>
  <c r="C736" i="1"/>
  <c r="E736" i="1"/>
  <c r="F736" i="1"/>
  <c r="G736" i="1"/>
  <c r="C738" i="1"/>
  <c r="D738" i="1"/>
  <c r="E738" i="1"/>
  <c r="F738" i="1"/>
  <c r="G738" i="1"/>
  <c r="C722" i="1"/>
  <c r="D722" i="1"/>
  <c r="E722" i="1"/>
  <c r="F722" i="1"/>
  <c r="G722" i="1"/>
  <c r="C709" i="1"/>
  <c r="D709" i="1"/>
  <c r="E709" i="1"/>
  <c r="F709" i="1"/>
  <c r="G709" i="1"/>
  <c r="C744" i="1"/>
  <c r="D744" i="1"/>
  <c r="E744" i="1"/>
  <c r="F744" i="1"/>
  <c r="G744" i="1"/>
  <c r="C740" i="1"/>
  <c r="D740" i="1"/>
  <c r="E740" i="1"/>
  <c r="F740" i="1"/>
  <c r="G740" i="1"/>
  <c r="C742" i="1"/>
  <c r="D742" i="1"/>
  <c r="E742" i="1"/>
  <c r="F742" i="1"/>
  <c r="G742" i="1"/>
  <c r="C743" i="1"/>
  <c r="D743" i="1"/>
  <c r="E743" i="1"/>
  <c r="F743" i="1"/>
  <c r="G743" i="1"/>
  <c r="C734" i="1"/>
  <c r="D734" i="1"/>
  <c r="E734" i="1"/>
  <c r="F734" i="1"/>
  <c r="G734" i="1"/>
  <c r="C746" i="1"/>
  <c r="D746" i="1"/>
  <c r="E746" i="1"/>
  <c r="F746" i="1"/>
  <c r="G746" i="1"/>
  <c r="C747" i="1"/>
  <c r="D747" i="1"/>
  <c r="E747" i="1"/>
  <c r="F747" i="1"/>
  <c r="G747" i="1"/>
  <c r="C727" i="1"/>
  <c r="D727" i="1"/>
  <c r="E727" i="1"/>
  <c r="F727" i="1"/>
  <c r="G727" i="1"/>
  <c r="C721" i="1"/>
  <c r="D721" i="1"/>
  <c r="E721" i="1"/>
  <c r="F721" i="1"/>
  <c r="G721" i="1"/>
  <c r="C749" i="1"/>
  <c r="D749" i="1"/>
  <c r="E749" i="1"/>
  <c r="F749" i="1"/>
  <c r="G749" i="1"/>
  <c r="C715" i="1"/>
  <c r="D715" i="1"/>
  <c r="E715" i="1"/>
  <c r="F715" i="1"/>
  <c r="G715" i="1"/>
  <c r="C717" i="1"/>
  <c r="D717" i="1"/>
  <c r="E717" i="1"/>
  <c r="F717" i="1"/>
  <c r="G717" i="1"/>
  <c r="C750" i="1"/>
  <c r="D750" i="1"/>
  <c r="E750" i="1"/>
  <c r="F750" i="1"/>
  <c r="G750" i="1"/>
  <c r="C754" i="1"/>
  <c r="D754" i="1"/>
  <c r="E754" i="1"/>
  <c r="F754" i="1"/>
  <c r="G754" i="1"/>
  <c r="C752" i="1"/>
  <c r="D752" i="1"/>
  <c r="E752" i="1"/>
  <c r="F752" i="1"/>
  <c r="G752" i="1"/>
  <c r="C753" i="1"/>
  <c r="D753" i="1"/>
  <c r="E753" i="1"/>
  <c r="F753" i="1"/>
  <c r="G753" i="1"/>
  <c r="C726" i="1"/>
  <c r="D726" i="1"/>
  <c r="E726" i="1"/>
  <c r="F726" i="1"/>
  <c r="G726" i="1"/>
  <c r="C756" i="1"/>
  <c r="D756" i="1"/>
  <c r="E756" i="1"/>
  <c r="F756" i="1"/>
  <c r="G756" i="1"/>
  <c r="C732" i="1"/>
  <c r="D732" i="1"/>
  <c r="E732" i="1"/>
  <c r="F732" i="1"/>
  <c r="G732" i="1"/>
  <c r="C735" i="1"/>
  <c r="D735" i="1"/>
  <c r="E735" i="1"/>
  <c r="F735" i="1"/>
  <c r="G735" i="1"/>
  <c r="C748" i="1"/>
  <c r="D748" i="1"/>
  <c r="E748" i="1"/>
  <c r="F748" i="1"/>
  <c r="G748" i="1"/>
  <c r="C739" i="1"/>
  <c r="D739" i="1"/>
  <c r="E739" i="1"/>
  <c r="F739" i="1"/>
  <c r="G739" i="1"/>
  <c r="C751" i="1"/>
  <c r="D751" i="1"/>
  <c r="E751" i="1"/>
  <c r="F751" i="1"/>
  <c r="G751" i="1"/>
  <c r="C710" i="1"/>
  <c r="D710" i="1"/>
  <c r="E710" i="1"/>
  <c r="F710" i="1"/>
  <c r="G710" i="1"/>
  <c r="C733" i="1"/>
  <c r="D733" i="1"/>
  <c r="E733" i="1"/>
  <c r="F733" i="1"/>
  <c r="G733" i="1"/>
  <c r="C730" i="1"/>
  <c r="D730" i="1"/>
  <c r="E730" i="1"/>
  <c r="F730" i="1"/>
  <c r="G730" i="1"/>
  <c r="C724" i="1"/>
  <c r="D724" i="1"/>
  <c r="E724" i="1"/>
  <c r="F724" i="1"/>
  <c r="G724" i="1"/>
  <c r="C720" i="1"/>
  <c r="D720" i="1"/>
  <c r="E720" i="1"/>
  <c r="F720" i="1"/>
  <c r="G720" i="1"/>
  <c r="C718" i="1"/>
  <c r="D718" i="1"/>
  <c r="E718" i="1"/>
  <c r="F718" i="1"/>
  <c r="G718" i="1"/>
  <c r="C745" i="1"/>
  <c r="D745" i="1"/>
  <c r="E745" i="1"/>
  <c r="F745" i="1"/>
  <c r="G745" i="1"/>
  <c r="C755" i="1"/>
  <c r="D755" i="1"/>
  <c r="E755" i="1"/>
  <c r="F755" i="1"/>
  <c r="G755" i="1"/>
  <c r="C728" i="1"/>
  <c r="D728" i="1"/>
  <c r="E728" i="1"/>
  <c r="F728" i="1"/>
  <c r="G728" i="1"/>
  <c r="C737" i="1"/>
  <c r="D737" i="1"/>
  <c r="E737" i="1"/>
  <c r="F737" i="1"/>
  <c r="G737" i="1"/>
  <c r="C741" i="1"/>
  <c r="D741" i="1"/>
  <c r="E741" i="1"/>
  <c r="F741" i="1"/>
  <c r="G741" i="1"/>
  <c r="C757" i="1"/>
  <c r="D757" i="1"/>
  <c r="E757" i="1"/>
  <c r="F757" i="1"/>
  <c r="G757" i="1"/>
  <c r="C759" i="1"/>
  <c r="D759" i="1"/>
  <c r="E759" i="1"/>
  <c r="F759" i="1"/>
  <c r="G759" i="1"/>
  <c r="C758" i="1"/>
  <c r="D758" i="1"/>
  <c r="E758" i="1"/>
  <c r="F758" i="1"/>
  <c r="G758" i="1"/>
  <c r="C760" i="1"/>
  <c r="D760" i="1"/>
  <c r="E760" i="1"/>
  <c r="F760" i="1"/>
  <c r="G760" i="1"/>
  <c r="C770" i="1"/>
  <c r="D770" i="1"/>
  <c r="E770" i="1"/>
  <c r="F770" i="1"/>
  <c r="G770" i="1"/>
  <c r="C767" i="1"/>
  <c r="D767" i="1"/>
  <c r="E767" i="1"/>
  <c r="F767" i="1"/>
  <c r="G767" i="1"/>
  <c r="C771" i="1"/>
  <c r="D771" i="1"/>
  <c r="E771" i="1"/>
  <c r="F771" i="1"/>
  <c r="G771" i="1"/>
  <c r="C773" i="1"/>
  <c r="D773" i="1"/>
  <c r="E773" i="1"/>
  <c r="F773" i="1"/>
  <c r="G773" i="1"/>
  <c r="C768" i="1"/>
  <c r="D768" i="1"/>
  <c r="E768" i="1"/>
  <c r="F768" i="1"/>
  <c r="G768" i="1"/>
  <c r="C775" i="1"/>
  <c r="D775" i="1"/>
  <c r="E775" i="1"/>
  <c r="F775" i="1"/>
  <c r="G775" i="1"/>
  <c r="C778" i="1"/>
  <c r="E778" i="1"/>
  <c r="F778" i="1"/>
  <c r="G778" i="1"/>
  <c r="C776" i="1"/>
  <c r="D776" i="1"/>
  <c r="E776" i="1"/>
  <c r="F776" i="1"/>
  <c r="G776" i="1"/>
  <c r="C777" i="1"/>
  <c r="D777" i="1"/>
  <c r="E777" i="1"/>
  <c r="F777" i="1"/>
  <c r="G777" i="1"/>
  <c r="C763" i="1"/>
  <c r="D763" i="1"/>
  <c r="E763" i="1"/>
  <c r="F763" i="1"/>
  <c r="G763" i="1"/>
  <c r="C764" i="1"/>
  <c r="D764" i="1"/>
  <c r="E764" i="1"/>
  <c r="F764" i="1"/>
  <c r="G764" i="1"/>
  <c r="C787" i="1"/>
  <c r="D787" i="1"/>
  <c r="E787" i="1"/>
  <c r="F787" i="1"/>
  <c r="G787" i="1"/>
  <c r="C789" i="1"/>
  <c r="D789" i="1"/>
  <c r="E789" i="1"/>
  <c r="F789" i="1"/>
  <c r="G789" i="1"/>
  <c r="C786" i="1"/>
  <c r="D786" i="1"/>
  <c r="E786" i="1"/>
  <c r="F786" i="1"/>
  <c r="G786" i="1"/>
  <c r="C761" i="1"/>
  <c r="D761" i="1"/>
  <c r="E761" i="1"/>
  <c r="F761" i="1"/>
  <c r="G761" i="1"/>
  <c r="C791" i="1"/>
  <c r="D791" i="1"/>
  <c r="E791" i="1"/>
  <c r="F791" i="1"/>
  <c r="G791" i="1"/>
  <c r="C792" i="1"/>
  <c r="D792" i="1"/>
  <c r="E792" i="1"/>
  <c r="F792" i="1"/>
  <c r="G792" i="1"/>
  <c r="C783" i="1"/>
  <c r="D783" i="1"/>
  <c r="E783" i="1"/>
  <c r="F783" i="1"/>
  <c r="G783" i="1"/>
  <c r="C796" i="1"/>
  <c r="D796" i="1"/>
  <c r="E796" i="1"/>
  <c r="F796" i="1"/>
  <c r="G796" i="1"/>
  <c r="C779" i="1"/>
  <c r="D779" i="1"/>
  <c r="E779" i="1"/>
  <c r="F779" i="1"/>
  <c r="G779" i="1"/>
  <c r="C797" i="1"/>
  <c r="D797" i="1"/>
  <c r="E797" i="1"/>
  <c r="F797" i="1"/>
  <c r="G797" i="1"/>
  <c r="C762" i="1"/>
  <c r="D762" i="1"/>
  <c r="E762" i="1"/>
  <c r="F762" i="1"/>
  <c r="G762" i="1"/>
  <c r="C799" i="1"/>
  <c r="D799" i="1"/>
  <c r="E799" i="1"/>
  <c r="F799" i="1"/>
  <c r="G799" i="1"/>
  <c r="C774" i="1"/>
  <c r="D774" i="1"/>
  <c r="E774" i="1"/>
  <c r="F774" i="1"/>
  <c r="G774" i="1"/>
  <c r="C800" i="1"/>
  <c r="D800" i="1"/>
  <c r="E800" i="1"/>
  <c r="F800" i="1"/>
  <c r="G800" i="1"/>
  <c r="C782" i="1"/>
  <c r="D782" i="1"/>
  <c r="E782" i="1"/>
  <c r="F782" i="1"/>
  <c r="G782" i="1"/>
  <c r="C769" i="1"/>
  <c r="D769" i="1"/>
  <c r="E769" i="1"/>
  <c r="F769" i="1"/>
  <c r="G769" i="1"/>
  <c r="C806" i="1"/>
  <c r="D806" i="1"/>
  <c r="E806" i="1"/>
  <c r="F806" i="1"/>
  <c r="G806" i="1"/>
  <c r="C784" i="1"/>
  <c r="D784" i="1"/>
  <c r="E784" i="1"/>
  <c r="F784" i="1"/>
  <c r="G784" i="1"/>
  <c r="C802" i="1"/>
  <c r="D802" i="1"/>
  <c r="E802" i="1"/>
  <c r="F802" i="1"/>
  <c r="G802" i="1"/>
  <c r="C793" i="1"/>
  <c r="D793" i="1"/>
  <c r="E793" i="1"/>
  <c r="F793" i="1"/>
  <c r="G793" i="1"/>
  <c r="C772" i="1"/>
  <c r="D772" i="1"/>
  <c r="E772" i="1"/>
  <c r="F772" i="1"/>
  <c r="G772" i="1"/>
  <c r="C780" i="1"/>
  <c r="D780" i="1"/>
  <c r="E780" i="1"/>
  <c r="F780" i="1"/>
  <c r="G780" i="1"/>
  <c r="C781" i="1"/>
  <c r="D781" i="1"/>
  <c r="E781" i="1"/>
  <c r="F781" i="1"/>
  <c r="G781" i="1"/>
  <c r="C788" i="1"/>
  <c r="D788" i="1"/>
  <c r="E788" i="1"/>
  <c r="F788" i="1"/>
  <c r="G788" i="1"/>
  <c r="C785" i="1"/>
  <c r="D785" i="1"/>
  <c r="E785" i="1"/>
  <c r="F785" i="1"/>
  <c r="G785" i="1"/>
  <c r="C805" i="1"/>
  <c r="D805" i="1"/>
  <c r="E805" i="1"/>
  <c r="F805" i="1"/>
  <c r="G805" i="1"/>
  <c r="C798" i="1"/>
  <c r="E798" i="1"/>
  <c r="F798" i="1"/>
  <c r="G798" i="1"/>
  <c r="C794" i="1"/>
  <c r="D794" i="1"/>
  <c r="E794" i="1"/>
  <c r="F794" i="1"/>
  <c r="G794" i="1"/>
  <c r="C801" i="1"/>
  <c r="D801" i="1"/>
  <c r="E801" i="1"/>
  <c r="F801" i="1"/>
  <c r="G801" i="1"/>
  <c r="C803" i="1"/>
  <c r="D803" i="1"/>
  <c r="E803" i="1"/>
  <c r="F803" i="1"/>
  <c r="G803" i="1"/>
  <c r="C804" i="1"/>
  <c r="D804" i="1"/>
  <c r="E804" i="1"/>
  <c r="F804" i="1"/>
  <c r="G804" i="1"/>
  <c r="C766" i="1"/>
  <c r="D766" i="1"/>
  <c r="E766" i="1"/>
  <c r="F766" i="1"/>
  <c r="G766" i="1"/>
  <c r="C765" i="1"/>
  <c r="D765" i="1"/>
  <c r="E765" i="1"/>
  <c r="F765" i="1"/>
  <c r="G765" i="1"/>
  <c r="C790" i="1"/>
  <c r="D790" i="1"/>
  <c r="E790" i="1"/>
  <c r="F790" i="1"/>
  <c r="G790" i="1"/>
  <c r="C795" i="1"/>
  <c r="D795" i="1"/>
  <c r="E795" i="1"/>
  <c r="F795" i="1"/>
  <c r="G795" i="1"/>
  <c r="C810" i="1"/>
  <c r="D810" i="1"/>
  <c r="E810" i="1"/>
  <c r="F810" i="1"/>
  <c r="G810" i="1"/>
  <c r="C812" i="1"/>
  <c r="D812" i="1"/>
  <c r="E812" i="1"/>
  <c r="F812" i="1"/>
  <c r="G812" i="1"/>
  <c r="C811" i="1"/>
  <c r="D811" i="1"/>
  <c r="E811" i="1"/>
  <c r="F811" i="1"/>
  <c r="G811" i="1"/>
  <c r="C813" i="1"/>
  <c r="D813" i="1"/>
  <c r="E813" i="1"/>
  <c r="F813" i="1"/>
  <c r="G813" i="1"/>
  <c r="C814" i="1"/>
  <c r="D814" i="1"/>
  <c r="E814" i="1"/>
  <c r="F814" i="1"/>
  <c r="G814" i="1"/>
  <c r="C816" i="1"/>
  <c r="D816" i="1"/>
  <c r="E816" i="1"/>
  <c r="F816" i="1"/>
  <c r="G816" i="1"/>
  <c r="C817" i="1"/>
  <c r="D817" i="1"/>
  <c r="E817" i="1"/>
  <c r="F817" i="1"/>
  <c r="G817" i="1"/>
  <c r="C819" i="1"/>
  <c r="D819" i="1"/>
  <c r="E819" i="1"/>
  <c r="F819" i="1"/>
  <c r="G819" i="1"/>
  <c r="C823" i="1"/>
  <c r="D823" i="1"/>
  <c r="E823" i="1"/>
  <c r="F823" i="1"/>
  <c r="G823" i="1"/>
  <c r="C827" i="1"/>
  <c r="D827" i="1"/>
  <c r="E827" i="1"/>
  <c r="F827" i="1"/>
  <c r="G827" i="1"/>
  <c r="C824" i="1"/>
  <c r="D824" i="1"/>
  <c r="E824" i="1"/>
  <c r="F824" i="1"/>
  <c r="G824" i="1"/>
  <c r="C828" i="1"/>
  <c r="D828" i="1"/>
  <c r="E828" i="1"/>
  <c r="F828" i="1"/>
  <c r="G828" i="1"/>
  <c r="C825" i="1"/>
  <c r="D825" i="1"/>
  <c r="E825" i="1"/>
  <c r="F825" i="1"/>
  <c r="G825" i="1"/>
  <c r="C818" i="1"/>
  <c r="D818" i="1"/>
  <c r="E818" i="1"/>
  <c r="F818" i="1"/>
  <c r="G818" i="1"/>
  <c r="C820" i="1"/>
  <c r="D820" i="1"/>
  <c r="E820" i="1"/>
  <c r="F820" i="1"/>
  <c r="G820" i="1"/>
  <c r="C832" i="1"/>
  <c r="D832" i="1"/>
  <c r="E832" i="1"/>
  <c r="F832" i="1"/>
  <c r="G832" i="1"/>
  <c r="C831" i="1"/>
  <c r="D831" i="1"/>
  <c r="E831" i="1"/>
  <c r="F831" i="1"/>
  <c r="G831" i="1"/>
  <c r="C833" i="1"/>
  <c r="D833" i="1"/>
  <c r="E833" i="1"/>
  <c r="F833" i="1"/>
  <c r="G833" i="1"/>
  <c r="C807" i="1"/>
  <c r="D807" i="1"/>
  <c r="E807" i="1"/>
  <c r="F807" i="1"/>
  <c r="G807" i="1"/>
  <c r="C837" i="1"/>
  <c r="D837" i="1"/>
  <c r="E837" i="1"/>
  <c r="F837" i="1"/>
  <c r="G837" i="1"/>
  <c r="C838" i="1"/>
  <c r="D838" i="1"/>
  <c r="E838" i="1"/>
  <c r="F838" i="1"/>
  <c r="G838" i="1"/>
  <c r="C839" i="1"/>
  <c r="D839" i="1"/>
  <c r="E839" i="1"/>
  <c r="F839" i="1"/>
  <c r="G839" i="1"/>
  <c r="C840" i="1"/>
  <c r="D840" i="1"/>
  <c r="E840" i="1"/>
  <c r="F840" i="1"/>
  <c r="G840" i="1"/>
  <c r="C842" i="1"/>
  <c r="D842" i="1"/>
  <c r="E842" i="1"/>
  <c r="F842" i="1"/>
  <c r="G842" i="1"/>
  <c r="C808" i="1"/>
  <c r="D808" i="1"/>
  <c r="E808" i="1"/>
  <c r="F808" i="1"/>
  <c r="G808" i="1"/>
  <c r="C845" i="1"/>
  <c r="D845" i="1"/>
  <c r="E845" i="1"/>
  <c r="F845" i="1"/>
  <c r="G845" i="1"/>
  <c r="C844" i="1"/>
  <c r="D844" i="1"/>
  <c r="E844" i="1"/>
  <c r="F844" i="1"/>
  <c r="G844" i="1"/>
  <c r="C846" i="1"/>
  <c r="D846" i="1"/>
  <c r="E846" i="1"/>
  <c r="F846" i="1"/>
  <c r="G846" i="1"/>
  <c r="C815" i="1"/>
  <c r="D815" i="1"/>
  <c r="E815" i="1"/>
  <c r="F815" i="1"/>
  <c r="G815" i="1"/>
  <c r="C829" i="1"/>
  <c r="D829" i="1"/>
  <c r="E829" i="1"/>
  <c r="F829" i="1"/>
  <c r="G829" i="1"/>
  <c r="C847" i="1"/>
  <c r="D847" i="1"/>
  <c r="E847" i="1"/>
  <c r="F847" i="1"/>
  <c r="G847" i="1"/>
  <c r="C809" i="1"/>
  <c r="D809" i="1"/>
  <c r="E809" i="1"/>
  <c r="F809" i="1"/>
  <c r="G809" i="1"/>
  <c r="C850" i="1"/>
  <c r="D850" i="1"/>
  <c r="E850" i="1"/>
  <c r="F850" i="1"/>
  <c r="G850" i="1"/>
  <c r="C852" i="1"/>
  <c r="D852" i="1"/>
  <c r="E852" i="1"/>
  <c r="F852" i="1"/>
  <c r="G852" i="1"/>
  <c r="C821" i="1"/>
  <c r="D821" i="1"/>
  <c r="E821" i="1"/>
  <c r="F821" i="1"/>
  <c r="G821" i="1"/>
  <c r="C834" i="1"/>
  <c r="D834" i="1"/>
  <c r="E834" i="1"/>
  <c r="F834" i="1"/>
  <c r="G834" i="1"/>
  <c r="C854" i="1"/>
  <c r="D854" i="1"/>
  <c r="E854" i="1"/>
  <c r="F854" i="1"/>
  <c r="G854" i="1"/>
  <c r="C856" i="1"/>
  <c r="D856" i="1"/>
  <c r="E856" i="1"/>
  <c r="F856" i="1"/>
  <c r="G856" i="1"/>
  <c r="C830" i="1"/>
  <c r="D830" i="1"/>
  <c r="E830" i="1"/>
  <c r="F830" i="1"/>
  <c r="G830" i="1"/>
  <c r="C851" i="1"/>
  <c r="D851" i="1"/>
  <c r="E851" i="1"/>
  <c r="F851" i="1"/>
  <c r="G851" i="1"/>
  <c r="C822" i="1"/>
  <c r="D822" i="1"/>
  <c r="E822" i="1"/>
  <c r="F822" i="1"/>
  <c r="G822" i="1"/>
  <c r="C849" i="1"/>
  <c r="D849" i="1"/>
  <c r="E849" i="1"/>
  <c r="F849" i="1"/>
  <c r="G849" i="1"/>
  <c r="C841" i="1"/>
  <c r="D841" i="1"/>
  <c r="E841" i="1"/>
  <c r="F841" i="1"/>
  <c r="G841" i="1"/>
  <c r="C843" i="1"/>
  <c r="D843" i="1"/>
  <c r="E843" i="1"/>
  <c r="F843" i="1"/>
  <c r="G843" i="1"/>
  <c r="C853" i="1"/>
  <c r="D853" i="1"/>
  <c r="E853" i="1"/>
  <c r="F853" i="1"/>
  <c r="G853" i="1"/>
  <c r="C826" i="1"/>
  <c r="D826" i="1"/>
  <c r="E826" i="1"/>
  <c r="F826" i="1"/>
  <c r="G826" i="1"/>
  <c r="C848" i="1"/>
  <c r="D848" i="1"/>
  <c r="E848" i="1"/>
  <c r="F848" i="1"/>
  <c r="G848" i="1"/>
  <c r="C835" i="1"/>
  <c r="D835" i="1"/>
  <c r="E835" i="1"/>
  <c r="F835" i="1"/>
  <c r="G835" i="1"/>
  <c r="C855" i="1"/>
  <c r="D855" i="1"/>
  <c r="E855" i="1"/>
  <c r="F855" i="1"/>
  <c r="G855" i="1"/>
  <c r="C836" i="1"/>
  <c r="D836" i="1"/>
  <c r="E836" i="1"/>
  <c r="F836" i="1"/>
  <c r="G836" i="1"/>
  <c r="C858" i="1"/>
  <c r="D858" i="1"/>
  <c r="E858" i="1"/>
  <c r="F858" i="1"/>
  <c r="G858" i="1"/>
  <c r="C860" i="1"/>
  <c r="D860" i="1"/>
  <c r="E860" i="1"/>
  <c r="F860" i="1"/>
  <c r="G860" i="1"/>
  <c r="C863" i="1"/>
  <c r="D863" i="1"/>
  <c r="E863" i="1"/>
  <c r="F863" i="1"/>
  <c r="G863" i="1"/>
  <c r="C871" i="1"/>
  <c r="D871" i="1"/>
  <c r="E871" i="1"/>
  <c r="F871" i="1"/>
  <c r="G871" i="1"/>
  <c r="C866" i="1"/>
  <c r="D866" i="1"/>
  <c r="E866" i="1"/>
  <c r="F866" i="1"/>
  <c r="G866" i="1"/>
  <c r="C872" i="1"/>
  <c r="D872" i="1"/>
  <c r="E872" i="1"/>
  <c r="F872" i="1"/>
  <c r="G872" i="1"/>
  <c r="C877" i="1"/>
  <c r="D877" i="1"/>
  <c r="E877" i="1"/>
  <c r="F877" i="1"/>
  <c r="G877" i="1"/>
  <c r="C875" i="1"/>
  <c r="D875" i="1"/>
  <c r="E875" i="1"/>
  <c r="F875" i="1"/>
  <c r="G875" i="1"/>
  <c r="C876" i="1"/>
  <c r="D876" i="1"/>
  <c r="E876" i="1"/>
  <c r="F876" i="1"/>
  <c r="G876" i="1"/>
  <c r="C867" i="1"/>
  <c r="D867" i="1"/>
  <c r="E867" i="1"/>
  <c r="F867" i="1"/>
  <c r="G867" i="1"/>
  <c r="C879" i="1"/>
  <c r="D879" i="1"/>
  <c r="E879" i="1"/>
  <c r="F879" i="1"/>
  <c r="G879" i="1"/>
  <c r="C878" i="1"/>
  <c r="D878" i="1"/>
  <c r="E878" i="1"/>
  <c r="F878" i="1"/>
  <c r="G878" i="1"/>
  <c r="C883" i="1"/>
  <c r="D883" i="1"/>
  <c r="E883" i="1"/>
  <c r="F883" i="1"/>
  <c r="G883" i="1"/>
  <c r="C880" i="1"/>
  <c r="D880" i="1"/>
  <c r="E880" i="1"/>
  <c r="F880" i="1"/>
  <c r="G880" i="1"/>
  <c r="C865" i="1"/>
  <c r="D865" i="1"/>
  <c r="E865" i="1"/>
  <c r="F865" i="1"/>
  <c r="G865" i="1"/>
  <c r="C862" i="1"/>
  <c r="D862" i="1"/>
  <c r="E862" i="1"/>
  <c r="F862" i="1"/>
  <c r="G862" i="1"/>
  <c r="C887" i="1"/>
  <c r="D887" i="1"/>
  <c r="E887" i="1"/>
  <c r="F887" i="1"/>
  <c r="G887" i="1"/>
  <c r="C885" i="1"/>
  <c r="D885" i="1"/>
  <c r="E885" i="1"/>
  <c r="F885" i="1"/>
  <c r="G885" i="1"/>
  <c r="C881" i="1"/>
  <c r="D881" i="1"/>
  <c r="E881" i="1"/>
  <c r="F881" i="1"/>
  <c r="G881" i="1"/>
  <c r="C857" i="1"/>
  <c r="D857" i="1"/>
  <c r="E857" i="1"/>
  <c r="F857" i="1"/>
  <c r="G857" i="1"/>
  <c r="C882" i="1"/>
  <c r="D882" i="1"/>
  <c r="E882" i="1"/>
  <c r="F882" i="1"/>
  <c r="G882" i="1"/>
  <c r="C874" i="1"/>
  <c r="D874" i="1"/>
  <c r="E874" i="1"/>
  <c r="F874" i="1"/>
  <c r="G874" i="1"/>
  <c r="C888" i="1"/>
  <c r="D888" i="1"/>
  <c r="E888" i="1"/>
  <c r="F888" i="1"/>
  <c r="G888" i="1"/>
  <c r="C884" i="1"/>
  <c r="D884" i="1"/>
  <c r="E884" i="1"/>
  <c r="F884" i="1"/>
  <c r="G884" i="1"/>
  <c r="C893" i="1"/>
  <c r="D893" i="1"/>
  <c r="E893" i="1"/>
  <c r="F893" i="1"/>
  <c r="G893" i="1"/>
  <c r="C864" i="1"/>
  <c r="D864" i="1"/>
  <c r="E864" i="1"/>
  <c r="F864" i="1"/>
  <c r="G864" i="1"/>
  <c r="C897" i="1"/>
  <c r="D897" i="1"/>
  <c r="E897" i="1"/>
  <c r="F897" i="1"/>
  <c r="G897" i="1"/>
  <c r="C898" i="1"/>
  <c r="D898" i="1"/>
  <c r="E898" i="1"/>
  <c r="F898" i="1"/>
  <c r="G898" i="1"/>
  <c r="C894" i="1"/>
  <c r="D894" i="1"/>
  <c r="E894" i="1"/>
  <c r="F894" i="1"/>
  <c r="G894" i="1"/>
  <c r="C895" i="1"/>
  <c r="D895" i="1"/>
  <c r="E895" i="1"/>
  <c r="F895" i="1"/>
  <c r="G895" i="1"/>
  <c r="C900" i="1"/>
  <c r="D900" i="1"/>
  <c r="E900" i="1"/>
  <c r="F900" i="1"/>
  <c r="G900" i="1"/>
  <c r="C899" i="1"/>
  <c r="D899" i="1"/>
  <c r="E899" i="1"/>
  <c r="F899" i="1"/>
  <c r="G899" i="1"/>
  <c r="C903" i="1"/>
  <c r="D903" i="1"/>
  <c r="E903" i="1"/>
  <c r="F903" i="1"/>
  <c r="G903" i="1"/>
  <c r="C905" i="1"/>
  <c r="D905" i="1"/>
  <c r="E905" i="1"/>
  <c r="F905" i="1"/>
  <c r="G905" i="1"/>
  <c r="C906" i="1"/>
  <c r="D906" i="1"/>
  <c r="E906" i="1"/>
  <c r="F906" i="1"/>
  <c r="G906" i="1"/>
  <c r="C886" i="1"/>
  <c r="D886" i="1"/>
  <c r="E886" i="1"/>
  <c r="F886" i="1"/>
  <c r="G886" i="1"/>
  <c r="C870" i="1"/>
  <c r="D870" i="1"/>
  <c r="E870" i="1"/>
  <c r="F870" i="1"/>
  <c r="G870" i="1"/>
  <c r="C889" i="1"/>
  <c r="D889" i="1"/>
  <c r="E889" i="1"/>
  <c r="F889" i="1"/>
  <c r="G889" i="1"/>
  <c r="C859" i="1"/>
  <c r="D859" i="1"/>
  <c r="E859" i="1"/>
  <c r="F859" i="1"/>
  <c r="G859" i="1"/>
  <c r="C873" i="1"/>
  <c r="D873" i="1"/>
  <c r="E873" i="1"/>
  <c r="F873" i="1"/>
  <c r="G873" i="1"/>
  <c r="C869" i="1"/>
  <c r="D869" i="1"/>
  <c r="E869" i="1"/>
  <c r="F869" i="1"/>
  <c r="G869" i="1"/>
  <c r="C901" i="1"/>
  <c r="D901" i="1"/>
  <c r="E901" i="1"/>
  <c r="F901" i="1"/>
  <c r="G901" i="1"/>
  <c r="C868" i="1"/>
  <c r="D868" i="1"/>
  <c r="E868" i="1"/>
  <c r="F868" i="1"/>
  <c r="G868" i="1"/>
  <c r="C891" i="1"/>
  <c r="D891" i="1"/>
  <c r="E891" i="1"/>
  <c r="F891" i="1"/>
  <c r="G891" i="1"/>
  <c r="C892" i="1"/>
  <c r="D892" i="1"/>
  <c r="E892" i="1"/>
  <c r="F892" i="1"/>
  <c r="G892" i="1"/>
  <c r="C896" i="1"/>
  <c r="D896" i="1"/>
  <c r="E896" i="1"/>
  <c r="F896" i="1"/>
  <c r="G896" i="1"/>
  <c r="C902" i="1"/>
  <c r="D902" i="1"/>
  <c r="E902" i="1"/>
  <c r="F902" i="1"/>
  <c r="G902" i="1"/>
  <c r="C861" i="1"/>
  <c r="D861" i="1"/>
  <c r="E861" i="1"/>
  <c r="F861" i="1"/>
  <c r="G861" i="1"/>
  <c r="C904" i="1"/>
  <c r="D904" i="1"/>
  <c r="E904" i="1"/>
  <c r="F904" i="1"/>
  <c r="G904" i="1"/>
  <c r="C890" i="1"/>
  <c r="D890" i="1"/>
  <c r="E890" i="1"/>
  <c r="F890" i="1"/>
  <c r="G890" i="1"/>
  <c r="C908" i="1"/>
  <c r="D908" i="1"/>
  <c r="E908" i="1"/>
  <c r="F908" i="1"/>
  <c r="G908" i="1"/>
  <c r="C909" i="1"/>
  <c r="D909" i="1"/>
  <c r="E909" i="1"/>
  <c r="F909" i="1"/>
  <c r="G909" i="1"/>
  <c r="C910" i="1"/>
  <c r="D910" i="1"/>
  <c r="E910" i="1"/>
  <c r="F910" i="1"/>
  <c r="G910" i="1"/>
  <c r="C912" i="1"/>
  <c r="D912" i="1"/>
  <c r="E912" i="1"/>
  <c r="F912" i="1"/>
  <c r="G912" i="1"/>
  <c r="C914" i="1"/>
  <c r="D914" i="1"/>
  <c r="E914" i="1"/>
  <c r="F914" i="1"/>
  <c r="G914" i="1"/>
  <c r="C911" i="1"/>
  <c r="D911" i="1"/>
  <c r="E911" i="1"/>
  <c r="F911" i="1"/>
  <c r="G911" i="1"/>
  <c r="C915" i="1"/>
  <c r="D915" i="1"/>
  <c r="E915" i="1"/>
  <c r="F915" i="1"/>
  <c r="G915" i="1"/>
  <c r="C907" i="1"/>
  <c r="D907" i="1"/>
  <c r="E907" i="1"/>
  <c r="F907" i="1"/>
  <c r="G907" i="1"/>
  <c r="C916" i="1"/>
  <c r="D916" i="1"/>
  <c r="E916" i="1"/>
  <c r="F916" i="1"/>
  <c r="G916" i="1"/>
  <c r="C913" i="1"/>
  <c r="D913" i="1"/>
  <c r="E913" i="1"/>
  <c r="F913" i="1"/>
  <c r="G913" i="1"/>
  <c r="C917" i="1"/>
  <c r="D917" i="1"/>
  <c r="E917" i="1"/>
  <c r="F917" i="1"/>
  <c r="G917" i="1"/>
  <c r="C29" i="1"/>
  <c r="D29" i="1"/>
  <c r="E29" i="1"/>
  <c r="F29" i="1"/>
  <c r="G29" i="1"/>
  <c r="C30" i="1"/>
  <c r="D30" i="1"/>
  <c r="E30" i="1"/>
  <c r="F30" i="1"/>
  <c r="G30" i="1"/>
  <c r="C13" i="1"/>
  <c r="D13" i="1"/>
  <c r="E13" i="1"/>
  <c r="F13" i="1"/>
  <c r="G13" i="1"/>
  <c r="C31" i="1"/>
  <c r="D31" i="1"/>
  <c r="E31" i="1"/>
  <c r="F31" i="1"/>
  <c r="G31" i="1"/>
  <c r="C50" i="1"/>
  <c r="D50" i="1"/>
  <c r="E50" i="1"/>
  <c r="F50" i="1"/>
  <c r="G50" i="1"/>
  <c r="C19" i="1"/>
  <c r="D19" i="1"/>
  <c r="E19" i="1"/>
  <c r="F19" i="1"/>
  <c r="G19" i="1"/>
  <c r="C43" i="1"/>
  <c r="D43" i="1"/>
  <c r="E43" i="1"/>
  <c r="F43" i="1"/>
  <c r="G43" i="1"/>
  <c r="C20" i="1"/>
  <c r="D20" i="1"/>
  <c r="E20" i="1"/>
  <c r="F20" i="1"/>
  <c r="G20" i="1"/>
  <c r="C32" i="1"/>
  <c r="D32" i="1"/>
  <c r="E32" i="1"/>
  <c r="F32" i="1"/>
  <c r="G32" i="1"/>
  <c r="C14" i="1"/>
  <c r="D14" i="1"/>
  <c r="E14" i="1"/>
  <c r="F14" i="1"/>
  <c r="G14" i="1"/>
  <c r="C51" i="1"/>
  <c r="D51" i="1"/>
  <c r="E51" i="1"/>
  <c r="F51" i="1"/>
  <c r="G51" i="1"/>
  <c r="C45" i="1"/>
  <c r="D45" i="1"/>
  <c r="E45" i="1"/>
  <c r="F45" i="1"/>
  <c r="G45" i="1"/>
  <c r="C52" i="1"/>
  <c r="D52" i="1"/>
  <c r="E52" i="1"/>
  <c r="F52" i="1"/>
  <c r="G52" i="1"/>
  <c r="C55" i="1"/>
  <c r="D55" i="1"/>
  <c r="E55" i="1"/>
  <c r="F55" i="1"/>
  <c r="G55" i="1"/>
  <c r="C21" i="1"/>
  <c r="D21" i="1"/>
  <c r="E21" i="1"/>
  <c r="F21" i="1"/>
  <c r="G21" i="1"/>
  <c r="C22" i="1"/>
  <c r="D22" i="1"/>
  <c r="E22" i="1"/>
  <c r="F22" i="1"/>
  <c r="G22" i="1"/>
  <c r="C7" i="1"/>
  <c r="D7" i="1"/>
  <c r="E7" i="1"/>
  <c r="F7" i="1"/>
  <c r="G7" i="1"/>
  <c r="C44" i="1"/>
  <c r="D44" i="1"/>
  <c r="E44" i="1"/>
  <c r="F44" i="1"/>
  <c r="G44" i="1"/>
  <c r="C33" i="1"/>
  <c r="D33" i="1"/>
  <c r="E33" i="1"/>
  <c r="F33" i="1"/>
  <c r="G33" i="1"/>
  <c r="C16" i="1"/>
  <c r="D16" i="1"/>
  <c r="E16" i="1"/>
  <c r="F16" i="1"/>
  <c r="G16" i="1"/>
  <c r="C8" i="1"/>
  <c r="D8" i="1"/>
  <c r="E8" i="1"/>
  <c r="F8" i="1"/>
  <c r="G8" i="1"/>
  <c r="C48" i="1"/>
  <c r="D48" i="1"/>
  <c r="E48" i="1"/>
  <c r="F48" i="1"/>
  <c r="G48" i="1"/>
  <c r="C46" i="1"/>
  <c r="D46" i="1"/>
  <c r="E46" i="1"/>
  <c r="F46" i="1"/>
  <c r="G46" i="1"/>
  <c r="C39" i="1"/>
  <c r="D39" i="1"/>
  <c r="E39" i="1"/>
  <c r="F39" i="1"/>
  <c r="G39" i="1"/>
  <c r="C34" i="1"/>
  <c r="D34" i="1"/>
  <c r="E34" i="1"/>
  <c r="F34" i="1"/>
  <c r="G34" i="1"/>
  <c r="C10" i="1"/>
  <c r="D10" i="1"/>
  <c r="E10" i="1"/>
  <c r="F10" i="1"/>
  <c r="G10" i="1"/>
  <c r="C15" i="1"/>
  <c r="D15" i="1"/>
  <c r="E15" i="1"/>
  <c r="F15" i="1"/>
  <c r="G15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17" i="1"/>
  <c r="D17" i="1"/>
  <c r="E17" i="1"/>
  <c r="F17" i="1"/>
  <c r="G17" i="1"/>
  <c r="C11" i="1"/>
  <c r="D11" i="1"/>
  <c r="E11" i="1"/>
  <c r="F11" i="1"/>
  <c r="G11" i="1"/>
  <c r="C53" i="1"/>
  <c r="D53" i="1"/>
  <c r="E53" i="1"/>
  <c r="F53" i="1"/>
  <c r="G53" i="1"/>
  <c r="C18" i="1"/>
  <c r="D18" i="1"/>
  <c r="E18" i="1"/>
  <c r="F18" i="1"/>
  <c r="G18" i="1"/>
  <c r="C47" i="1"/>
  <c r="D47" i="1"/>
  <c r="E47" i="1"/>
  <c r="F47" i="1"/>
  <c r="G47" i="1"/>
  <c r="C35" i="1"/>
  <c r="D35" i="1"/>
  <c r="E35" i="1"/>
  <c r="F35" i="1"/>
  <c r="G35" i="1"/>
  <c r="C26" i="1"/>
  <c r="D26" i="1"/>
  <c r="E26" i="1"/>
  <c r="F26" i="1"/>
  <c r="G26" i="1"/>
  <c r="C40" i="1"/>
  <c r="D40" i="1"/>
  <c r="E40" i="1"/>
  <c r="F40" i="1"/>
  <c r="G40" i="1"/>
  <c r="C12" i="1"/>
  <c r="D12" i="1"/>
  <c r="E12" i="1"/>
  <c r="F12" i="1"/>
  <c r="G12" i="1"/>
  <c r="C36" i="1"/>
  <c r="D36" i="1"/>
  <c r="E36" i="1"/>
  <c r="F36" i="1"/>
  <c r="G36" i="1"/>
  <c r="C27" i="1"/>
  <c r="D27" i="1"/>
  <c r="E27" i="1"/>
  <c r="F27" i="1"/>
  <c r="G27" i="1"/>
  <c r="C56" i="1"/>
  <c r="D56" i="1"/>
  <c r="E56" i="1"/>
  <c r="F56" i="1"/>
  <c r="G56" i="1"/>
  <c r="C41" i="1"/>
  <c r="D41" i="1"/>
  <c r="E41" i="1"/>
  <c r="F41" i="1"/>
  <c r="G41" i="1"/>
  <c r="C28" i="1"/>
  <c r="D28" i="1"/>
  <c r="E28" i="1"/>
  <c r="F28" i="1"/>
  <c r="G28" i="1"/>
  <c r="C9" i="1"/>
  <c r="D9" i="1"/>
  <c r="E9" i="1"/>
  <c r="F9" i="1"/>
  <c r="G9" i="1"/>
  <c r="C37" i="1"/>
  <c r="D37" i="1"/>
  <c r="E37" i="1"/>
  <c r="F37" i="1"/>
  <c r="G37" i="1"/>
  <c r="C38" i="1"/>
  <c r="D38" i="1"/>
  <c r="E38" i="1"/>
  <c r="F38" i="1"/>
  <c r="G38" i="1"/>
  <c r="C42" i="1"/>
  <c r="D42" i="1"/>
  <c r="E42" i="1"/>
  <c r="F42" i="1"/>
  <c r="G42" i="1"/>
  <c r="C54" i="1"/>
  <c r="D54" i="1"/>
  <c r="E54" i="1"/>
  <c r="F54" i="1"/>
  <c r="G54" i="1"/>
  <c r="C49" i="1"/>
  <c r="D49" i="1"/>
  <c r="E49" i="1"/>
  <c r="F49" i="1"/>
  <c r="G49" i="1"/>
  <c r="C57" i="1"/>
  <c r="D57" i="1"/>
  <c r="E57" i="1"/>
  <c r="F57" i="1"/>
  <c r="G57" i="1"/>
  <c r="C61" i="1"/>
  <c r="D61" i="1"/>
  <c r="E61" i="1"/>
  <c r="F61" i="1"/>
  <c r="G61" i="1"/>
  <c r="C62" i="1"/>
  <c r="D62" i="1"/>
  <c r="E62" i="1"/>
  <c r="F62" i="1"/>
  <c r="G62" i="1"/>
  <c r="C68" i="1"/>
  <c r="D68" i="1"/>
  <c r="E68" i="1"/>
  <c r="F68" i="1"/>
  <c r="G68" i="1"/>
  <c r="C65" i="1"/>
  <c r="D65" i="1"/>
  <c r="E65" i="1"/>
  <c r="F65" i="1"/>
  <c r="G65" i="1"/>
  <c r="C69" i="1"/>
  <c r="D69" i="1"/>
  <c r="E69" i="1"/>
  <c r="F69" i="1"/>
  <c r="G69" i="1"/>
  <c r="C70" i="1"/>
  <c r="D70" i="1"/>
  <c r="E70" i="1"/>
  <c r="F70" i="1"/>
  <c r="G70" i="1"/>
  <c r="C73" i="1"/>
  <c r="D73" i="1"/>
  <c r="E73" i="1"/>
  <c r="F73" i="1"/>
  <c r="G73" i="1"/>
  <c r="C66" i="1"/>
  <c r="D66" i="1"/>
  <c r="E66" i="1"/>
  <c r="F66" i="1"/>
  <c r="G66" i="1"/>
  <c r="C74" i="1"/>
  <c r="D74" i="1"/>
  <c r="E74" i="1"/>
  <c r="F74" i="1"/>
  <c r="G74" i="1"/>
  <c r="C60" i="1"/>
  <c r="D60" i="1"/>
  <c r="E60" i="1"/>
  <c r="F60" i="1"/>
  <c r="G60" i="1"/>
  <c r="C81" i="1"/>
  <c r="D81" i="1"/>
  <c r="E81" i="1"/>
  <c r="F81" i="1"/>
  <c r="G81" i="1"/>
  <c r="C75" i="1"/>
  <c r="D75" i="1"/>
  <c r="E75" i="1"/>
  <c r="F75" i="1"/>
  <c r="G75" i="1"/>
  <c r="C85" i="1"/>
  <c r="D85" i="1"/>
  <c r="E85" i="1"/>
  <c r="F85" i="1"/>
  <c r="G85" i="1"/>
  <c r="C86" i="1"/>
  <c r="D86" i="1"/>
  <c r="E86" i="1"/>
  <c r="F86" i="1"/>
  <c r="G86" i="1"/>
  <c r="C59" i="1"/>
  <c r="D59" i="1"/>
  <c r="E59" i="1"/>
  <c r="F59" i="1"/>
  <c r="G59" i="1"/>
  <c r="C67" i="1"/>
  <c r="D67" i="1"/>
  <c r="E67" i="1"/>
  <c r="F67" i="1"/>
  <c r="G67" i="1"/>
  <c r="C87" i="1"/>
  <c r="D87" i="1"/>
  <c r="E87" i="1"/>
  <c r="F87" i="1"/>
  <c r="G87" i="1"/>
  <c r="C83" i="1"/>
  <c r="D83" i="1"/>
  <c r="E83" i="1"/>
  <c r="F83" i="1"/>
  <c r="G83" i="1"/>
  <c r="C88" i="1"/>
  <c r="D88" i="1"/>
  <c r="E88" i="1"/>
  <c r="F88" i="1"/>
  <c r="G88" i="1"/>
  <c r="C63" i="1"/>
  <c r="D63" i="1"/>
  <c r="E63" i="1"/>
  <c r="F63" i="1"/>
  <c r="G63" i="1"/>
  <c r="C89" i="1"/>
  <c r="D89" i="1"/>
  <c r="E89" i="1"/>
  <c r="F89" i="1"/>
  <c r="G89" i="1"/>
  <c r="C90" i="1"/>
  <c r="D90" i="1"/>
  <c r="E90" i="1"/>
  <c r="F90" i="1"/>
  <c r="G90" i="1"/>
  <c r="C71" i="1"/>
  <c r="D71" i="1"/>
  <c r="E71" i="1"/>
  <c r="F71" i="1"/>
  <c r="G71" i="1"/>
  <c r="C76" i="1"/>
  <c r="D76" i="1"/>
  <c r="E76" i="1"/>
  <c r="F76" i="1"/>
  <c r="G76" i="1"/>
  <c r="C77" i="1"/>
  <c r="D77" i="1"/>
  <c r="E77" i="1"/>
  <c r="F77" i="1"/>
  <c r="G77" i="1"/>
  <c r="C103" i="1"/>
  <c r="D103" i="1"/>
  <c r="E103" i="1"/>
  <c r="F103" i="1"/>
  <c r="G103" i="1"/>
  <c r="C58" i="1"/>
  <c r="D58" i="1"/>
  <c r="E58" i="1"/>
  <c r="F58" i="1"/>
  <c r="G58" i="1"/>
  <c r="C93" i="1"/>
  <c r="D93" i="1"/>
  <c r="E93" i="1"/>
  <c r="F93" i="1"/>
  <c r="G93" i="1"/>
  <c r="C94" i="1"/>
  <c r="D94" i="1"/>
  <c r="E94" i="1"/>
  <c r="F94" i="1"/>
  <c r="G94" i="1"/>
  <c r="C64" i="1"/>
  <c r="D64" i="1"/>
  <c r="E64" i="1"/>
  <c r="F64" i="1"/>
  <c r="G64" i="1"/>
  <c r="C95" i="1"/>
  <c r="D95" i="1"/>
  <c r="E95" i="1"/>
  <c r="F95" i="1"/>
  <c r="G95" i="1"/>
  <c r="C104" i="1"/>
  <c r="D104" i="1"/>
  <c r="E104" i="1"/>
  <c r="F104" i="1"/>
  <c r="G104" i="1"/>
  <c r="C96" i="1"/>
  <c r="D96" i="1"/>
  <c r="E96" i="1"/>
  <c r="F96" i="1"/>
  <c r="G96" i="1"/>
  <c r="C97" i="1"/>
  <c r="D97" i="1"/>
  <c r="E97" i="1"/>
  <c r="F97" i="1"/>
  <c r="G97" i="1"/>
  <c r="C84" i="1"/>
  <c r="D84" i="1"/>
  <c r="E84" i="1"/>
  <c r="F84" i="1"/>
  <c r="G84" i="1"/>
  <c r="C78" i="1"/>
  <c r="D78" i="1"/>
  <c r="E78" i="1"/>
  <c r="F78" i="1"/>
  <c r="G78" i="1"/>
  <c r="C98" i="1"/>
  <c r="D98" i="1"/>
  <c r="E98" i="1"/>
  <c r="F98" i="1"/>
  <c r="G98" i="1"/>
  <c r="C105" i="1"/>
  <c r="D105" i="1"/>
  <c r="E105" i="1"/>
  <c r="F105" i="1"/>
  <c r="G105" i="1"/>
  <c r="C79" i="1"/>
  <c r="D79" i="1"/>
  <c r="E79" i="1"/>
  <c r="F79" i="1"/>
  <c r="G79" i="1"/>
  <c r="C82" i="1"/>
  <c r="D82" i="1"/>
  <c r="E82" i="1"/>
  <c r="F82" i="1"/>
  <c r="G82" i="1"/>
  <c r="C91" i="1"/>
  <c r="D91" i="1"/>
  <c r="E91" i="1"/>
  <c r="F91" i="1"/>
  <c r="G91" i="1"/>
  <c r="C102" i="1"/>
  <c r="D102" i="1"/>
  <c r="E102" i="1"/>
  <c r="F102" i="1"/>
  <c r="G102" i="1"/>
  <c r="C99" i="1"/>
  <c r="D99" i="1"/>
  <c r="E99" i="1"/>
  <c r="F99" i="1"/>
  <c r="G99" i="1"/>
  <c r="C100" i="1"/>
  <c r="D100" i="1"/>
  <c r="E100" i="1"/>
  <c r="F100" i="1"/>
  <c r="G100" i="1"/>
  <c r="C72" i="1"/>
  <c r="D72" i="1"/>
  <c r="E72" i="1"/>
  <c r="F72" i="1"/>
  <c r="G72" i="1"/>
  <c r="C92" i="1"/>
  <c r="D92" i="1"/>
  <c r="E92" i="1"/>
  <c r="F92" i="1"/>
  <c r="G92" i="1"/>
  <c r="C80" i="1"/>
  <c r="D80" i="1"/>
  <c r="E80" i="1"/>
  <c r="F80" i="1"/>
  <c r="G80" i="1"/>
  <c r="C101" i="1"/>
  <c r="D101" i="1"/>
  <c r="E101" i="1"/>
  <c r="F101" i="1"/>
  <c r="G101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30" i="1"/>
  <c r="D130" i="1"/>
  <c r="E130" i="1"/>
  <c r="F130" i="1"/>
  <c r="G130" i="1"/>
  <c r="C131" i="1"/>
  <c r="D131" i="1"/>
  <c r="E131" i="1"/>
  <c r="F131" i="1"/>
  <c r="G131" i="1"/>
  <c r="C125" i="1"/>
  <c r="D125" i="1"/>
  <c r="E125" i="1"/>
  <c r="F125" i="1"/>
  <c r="G125" i="1"/>
  <c r="C132" i="1"/>
  <c r="D132" i="1"/>
  <c r="E132" i="1"/>
  <c r="F132" i="1"/>
  <c r="G132" i="1"/>
  <c r="C133" i="1"/>
  <c r="D133" i="1"/>
  <c r="E133" i="1"/>
  <c r="F133" i="1"/>
  <c r="G133" i="1"/>
  <c r="C138" i="1"/>
  <c r="D138" i="1"/>
  <c r="E138" i="1"/>
  <c r="F138" i="1"/>
  <c r="G138" i="1"/>
  <c r="C143" i="1"/>
  <c r="D143" i="1"/>
  <c r="E143" i="1"/>
  <c r="F143" i="1"/>
  <c r="G143" i="1"/>
  <c r="C144" i="1"/>
  <c r="D144" i="1"/>
  <c r="E144" i="1"/>
  <c r="F144" i="1"/>
  <c r="G144" i="1"/>
  <c r="C139" i="1"/>
  <c r="D139" i="1"/>
  <c r="E139" i="1"/>
  <c r="F139" i="1"/>
  <c r="G139" i="1"/>
  <c r="C140" i="1"/>
  <c r="D140" i="1"/>
  <c r="E140" i="1"/>
  <c r="F140" i="1"/>
  <c r="G140" i="1"/>
  <c r="C115" i="1"/>
  <c r="D115" i="1"/>
  <c r="E115" i="1"/>
  <c r="F115" i="1"/>
  <c r="G115" i="1"/>
  <c r="C145" i="1"/>
  <c r="D145" i="1"/>
  <c r="E145" i="1"/>
  <c r="F145" i="1"/>
  <c r="G145" i="1"/>
  <c r="C126" i="1"/>
  <c r="D126" i="1"/>
  <c r="E126" i="1"/>
  <c r="F126" i="1"/>
  <c r="G126" i="1"/>
  <c r="C116" i="1"/>
  <c r="D116" i="1"/>
  <c r="E116" i="1"/>
  <c r="F116" i="1"/>
  <c r="G116" i="1"/>
  <c r="C117" i="1"/>
  <c r="D117" i="1"/>
  <c r="E117" i="1"/>
  <c r="F117" i="1"/>
  <c r="G117" i="1"/>
  <c r="C146" i="1"/>
  <c r="D146" i="1"/>
  <c r="E146" i="1"/>
  <c r="F146" i="1"/>
  <c r="G146" i="1"/>
  <c r="C147" i="1"/>
  <c r="D147" i="1"/>
  <c r="E147" i="1"/>
  <c r="F147" i="1"/>
  <c r="G147" i="1"/>
  <c r="C118" i="1"/>
  <c r="D118" i="1"/>
  <c r="E118" i="1"/>
  <c r="F118" i="1"/>
  <c r="G118" i="1"/>
  <c r="C119" i="1"/>
  <c r="D119" i="1"/>
  <c r="E119" i="1"/>
  <c r="F119" i="1"/>
  <c r="G119" i="1"/>
  <c r="C150" i="1"/>
  <c r="D150" i="1"/>
  <c r="E150" i="1"/>
  <c r="F150" i="1"/>
  <c r="G150" i="1"/>
  <c r="C113" i="1"/>
  <c r="D113" i="1"/>
  <c r="E113" i="1"/>
  <c r="F113" i="1"/>
  <c r="G11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1" i="1"/>
  <c r="D151" i="1"/>
  <c r="E151" i="1"/>
  <c r="F151" i="1"/>
  <c r="G151" i="1"/>
  <c r="C148" i="1"/>
  <c r="D148" i="1"/>
  <c r="E148" i="1"/>
  <c r="F148" i="1"/>
  <c r="G148" i="1"/>
  <c r="C152" i="1"/>
  <c r="D152" i="1"/>
  <c r="E152" i="1"/>
  <c r="F152" i="1"/>
  <c r="G152" i="1"/>
  <c r="C141" i="1"/>
  <c r="D141" i="1"/>
  <c r="E141" i="1"/>
  <c r="F141" i="1"/>
  <c r="G141" i="1"/>
  <c r="C153" i="1"/>
  <c r="D153" i="1"/>
  <c r="E153" i="1"/>
  <c r="F153" i="1"/>
  <c r="G153" i="1"/>
  <c r="C149" i="1"/>
  <c r="D149" i="1"/>
  <c r="E149" i="1"/>
  <c r="F149" i="1"/>
  <c r="G149" i="1"/>
  <c r="C142" i="1"/>
  <c r="D142" i="1"/>
  <c r="E142" i="1"/>
  <c r="F142" i="1"/>
  <c r="G142" i="1"/>
  <c r="C127" i="1"/>
  <c r="D127" i="1"/>
  <c r="E127" i="1"/>
  <c r="F127" i="1"/>
  <c r="G127" i="1"/>
  <c r="C128" i="1"/>
  <c r="D128" i="1"/>
  <c r="E128" i="1"/>
  <c r="F128" i="1"/>
  <c r="G128" i="1"/>
  <c r="C120" i="1"/>
  <c r="D120" i="1"/>
  <c r="E120" i="1"/>
  <c r="F120" i="1"/>
  <c r="G120" i="1"/>
  <c r="C134" i="1"/>
  <c r="D134" i="1"/>
  <c r="E134" i="1"/>
  <c r="F134" i="1"/>
  <c r="G134" i="1"/>
  <c r="C121" i="1"/>
  <c r="D121" i="1"/>
  <c r="E121" i="1"/>
  <c r="F121" i="1"/>
  <c r="G121" i="1"/>
  <c r="C129" i="1"/>
  <c r="D129" i="1"/>
  <c r="E129" i="1"/>
  <c r="F129" i="1"/>
  <c r="G129" i="1"/>
  <c r="C114" i="1"/>
  <c r="D114" i="1"/>
  <c r="E114" i="1"/>
  <c r="F114" i="1"/>
  <c r="G11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7" i="1"/>
  <c r="D167" i="1"/>
  <c r="E167" i="1"/>
  <c r="F167" i="1"/>
  <c r="G167" i="1"/>
  <c r="C166" i="1"/>
  <c r="D166" i="1"/>
  <c r="E166" i="1"/>
  <c r="F166" i="1"/>
  <c r="G166" i="1"/>
  <c r="C168" i="1"/>
  <c r="D168" i="1"/>
  <c r="E168" i="1"/>
  <c r="F168" i="1"/>
  <c r="G168" i="1"/>
  <c r="C186" i="1"/>
  <c r="D186" i="1"/>
  <c r="E186" i="1"/>
  <c r="F186" i="1"/>
  <c r="G186" i="1"/>
  <c r="C171" i="1"/>
  <c r="D171" i="1"/>
  <c r="E171" i="1"/>
  <c r="F171" i="1"/>
  <c r="G171" i="1"/>
  <c r="C188" i="1"/>
  <c r="D188" i="1"/>
  <c r="E188" i="1"/>
  <c r="F188" i="1"/>
  <c r="G188" i="1"/>
  <c r="C191" i="1"/>
  <c r="D191" i="1"/>
  <c r="E191" i="1"/>
  <c r="F191" i="1"/>
  <c r="G191" i="1"/>
  <c r="C180" i="1"/>
  <c r="D180" i="1"/>
  <c r="E180" i="1"/>
  <c r="F180" i="1"/>
  <c r="G180" i="1"/>
  <c r="C157" i="1"/>
  <c r="D157" i="1"/>
  <c r="E157" i="1"/>
  <c r="F157" i="1"/>
  <c r="G157" i="1"/>
  <c r="C192" i="1"/>
  <c r="D192" i="1"/>
  <c r="E192" i="1"/>
  <c r="F192" i="1"/>
  <c r="G192" i="1"/>
  <c r="C182" i="1"/>
  <c r="D182" i="1"/>
  <c r="E182" i="1"/>
  <c r="F182" i="1"/>
  <c r="G182" i="1"/>
  <c r="C184" i="1"/>
  <c r="D184" i="1"/>
  <c r="E184" i="1"/>
  <c r="F184" i="1"/>
  <c r="G184" i="1"/>
  <c r="C179" i="1"/>
  <c r="D179" i="1"/>
  <c r="E179" i="1"/>
  <c r="F179" i="1"/>
  <c r="G179" i="1"/>
  <c r="C195" i="1"/>
  <c r="D195" i="1"/>
  <c r="E195" i="1"/>
  <c r="F195" i="1"/>
  <c r="G195" i="1"/>
  <c r="C197" i="1"/>
  <c r="D197" i="1"/>
  <c r="E197" i="1"/>
  <c r="F197" i="1"/>
  <c r="G197" i="1"/>
  <c r="C196" i="1"/>
  <c r="D196" i="1"/>
  <c r="E196" i="1"/>
  <c r="F196" i="1"/>
  <c r="G196" i="1"/>
  <c r="C183" i="1"/>
  <c r="D183" i="1"/>
  <c r="E183" i="1"/>
  <c r="F183" i="1"/>
  <c r="G183" i="1"/>
  <c r="C169" i="1"/>
  <c r="D169" i="1"/>
  <c r="E169" i="1"/>
  <c r="F169" i="1"/>
  <c r="G169" i="1"/>
  <c r="C198" i="1"/>
  <c r="D198" i="1"/>
  <c r="E198" i="1"/>
  <c r="F198" i="1"/>
  <c r="G198" i="1"/>
  <c r="C170" i="1"/>
  <c r="D170" i="1"/>
  <c r="E170" i="1"/>
  <c r="F170" i="1"/>
  <c r="G170" i="1"/>
  <c r="C174" i="1"/>
  <c r="D174" i="1"/>
  <c r="E174" i="1"/>
  <c r="F174" i="1"/>
  <c r="G174" i="1"/>
  <c r="C202" i="1"/>
  <c r="D202" i="1"/>
  <c r="E202" i="1"/>
  <c r="F202" i="1"/>
  <c r="G202" i="1"/>
  <c r="C203" i="1"/>
  <c r="D203" i="1"/>
  <c r="E203" i="1"/>
  <c r="F203" i="1"/>
  <c r="G203" i="1"/>
  <c r="C175" i="1"/>
  <c r="D175" i="1"/>
  <c r="E175" i="1"/>
  <c r="F175" i="1"/>
  <c r="G175" i="1"/>
  <c r="C204" i="1"/>
  <c r="D204" i="1"/>
  <c r="E204" i="1"/>
  <c r="F204" i="1"/>
  <c r="G204" i="1"/>
  <c r="C176" i="1"/>
  <c r="D176" i="1"/>
  <c r="E176" i="1"/>
  <c r="F176" i="1"/>
  <c r="G176" i="1"/>
  <c r="C205" i="1"/>
  <c r="D205" i="1"/>
  <c r="E205" i="1"/>
  <c r="F205" i="1"/>
  <c r="G205" i="1"/>
  <c r="C158" i="1"/>
  <c r="D158" i="1"/>
  <c r="E158" i="1"/>
  <c r="F158" i="1"/>
  <c r="G158" i="1"/>
  <c r="C181" i="1"/>
  <c r="D181" i="1"/>
  <c r="E181" i="1"/>
  <c r="F181" i="1"/>
  <c r="G181" i="1"/>
  <c r="C193" i="1"/>
  <c r="D193" i="1"/>
  <c r="E193" i="1"/>
  <c r="F193" i="1"/>
  <c r="G193" i="1"/>
  <c r="C178" i="1"/>
  <c r="D178" i="1"/>
  <c r="E178" i="1"/>
  <c r="F178" i="1"/>
  <c r="G178" i="1"/>
  <c r="C201" i="1"/>
  <c r="D201" i="1"/>
  <c r="E201" i="1"/>
  <c r="F201" i="1"/>
  <c r="G201" i="1"/>
  <c r="C187" i="1"/>
  <c r="D187" i="1"/>
  <c r="E187" i="1"/>
  <c r="F187" i="1"/>
  <c r="G187" i="1"/>
  <c r="C165" i="1"/>
  <c r="D165" i="1"/>
  <c r="E165" i="1"/>
  <c r="F165" i="1"/>
  <c r="G165" i="1"/>
  <c r="C199" i="1"/>
  <c r="D199" i="1"/>
  <c r="E199" i="1"/>
  <c r="F199" i="1"/>
  <c r="G199" i="1"/>
  <c r="C185" i="1"/>
  <c r="D185" i="1"/>
  <c r="E185" i="1"/>
  <c r="F185" i="1"/>
  <c r="G185" i="1"/>
  <c r="C172" i="1"/>
  <c r="D172" i="1"/>
  <c r="E172" i="1"/>
  <c r="F172" i="1"/>
  <c r="G172" i="1"/>
  <c r="C200" i="1"/>
  <c r="D200" i="1"/>
  <c r="E200" i="1"/>
  <c r="F200" i="1"/>
  <c r="G200" i="1"/>
  <c r="C206" i="1"/>
  <c r="D206" i="1"/>
  <c r="E206" i="1"/>
  <c r="F206" i="1"/>
  <c r="G206" i="1"/>
  <c r="C177" i="1"/>
  <c r="D177" i="1"/>
  <c r="E177" i="1"/>
  <c r="F177" i="1"/>
  <c r="G177" i="1"/>
  <c r="C189" i="1"/>
  <c r="D189" i="1"/>
  <c r="E189" i="1"/>
  <c r="F189" i="1"/>
  <c r="G189" i="1"/>
  <c r="C190" i="1"/>
  <c r="D190" i="1"/>
  <c r="E190" i="1"/>
  <c r="F190" i="1"/>
  <c r="G190" i="1"/>
  <c r="C194" i="1"/>
  <c r="D194" i="1"/>
  <c r="E194" i="1"/>
  <c r="F194" i="1"/>
  <c r="G194" i="1"/>
  <c r="C173" i="1"/>
  <c r="D173" i="1"/>
  <c r="E173" i="1"/>
  <c r="F173" i="1"/>
  <c r="G173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24" i="1"/>
  <c r="D224" i="1"/>
  <c r="E224" i="1"/>
  <c r="F224" i="1"/>
  <c r="G224" i="1"/>
  <c r="C220" i="1"/>
  <c r="D220" i="1"/>
  <c r="E220" i="1"/>
  <c r="F220" i="1"/>
  <c r="G220" i="1"/>
  <c r="C219" i="1"/>
  <c r="D219" i="1"/>
  <c r="E219" i="1"/>
  <c r="F219" i="1"/>
  <c r="G219" i="1"/>
  <c r="C225" i="1"/>
  <c r="D225" i="1"/>
  <c r="E225" i="1"/>
  <c r="F225" i="1"/>
  <c r="G225" i="1"/>
  <c r="C226" i="1"/>
  <c r="D226" i="1"/>
  <c r="E226" i="1"/>
  <c r="F226" i="1"/>
  <c r="G226" i="1"/>
  <c r="C221" i="1"/>
  <c r="D221" i="1"/>
  <c r="E221" i="1"/>
  <c r="F221" i="1"/>
  <c r="G221" i="1"/>
  <c r="C227" i="1"/>
  <c r="D227" i="1"/>
  <c r="E227" i="1"/>
  <c r="F227" i="1"/>
  <c r="G227" i="1"/>
  <c r="C232" i="1"/>
  <c r="D232" i="1"/>
  <c r="E232" i="1"/>
  <c r="F232" i="1"/>
  <c r="G232" i="1"/>
  <c r="C234" i="1"/>
  <c r="D234" i="1"/>
  <c r="E234" i="1"/>
  <c r="F234" i="1"/>
  <c r="G234" i="1"/>
  <c r="C235" i="1"/>
  <c r="D235" i="1"/>
  <c r="E235" i="1"/>
  <c r="F235" i="1"/>
  <c r="G235" i="1"/>
  <c r="C222" i="1"/>
  <c r="D222" i="1"/>
  <c r="E222" i="1"/>
  <c r="F222" i="1"/>
  <c r="G222" i="1"/>
  <c r="C210" i="1"/>
  <c r="D210" i="1"/>
  <c r="E210" i="1"/>
  <c r="F210" i="1"/>
  <c r="G210" i="1"/>
  <c r="C236" i="1"/>
  <c r="D236" i="1"/>
  <c r="E236" i="1"/>
  <c r="F236" i="1"/>
  <c r="G236" i="1"/>
  <c r="C237" i="1"/>
  <c r="D237" i="1"/>
  <c r="E237" i="1"/>
  <c r="F237" i="1"/>
  <c r="G237" i="1"/>
  <c r="C242" i="1"/>
  <c r="D242" i="1"/>
  <c r="E242" i="1"/>
  <c r="F242" i="1"/>
  <c r="G242" i="1"/>
  <c r="C243" i="1"/>
  <c r="D243" i="1"/>
  <c r="E243" i="1"/>
  <c r="F243" i="1"/>
  <c r="G243" i="1"/>
  <c r="C238" i="1"/>
  <c r="D238" i="1"/>
  <c r="E238" i="1"/>
  <c r="F238" i="1"/>
  <c r="G238" i="1"/>
  <c r="C239" i="1"/>
  <c r="D239" i="1"/>
  <c r="E239" i="1"/>
  <c r="F239" i="1"/>
  <c r="G239" i="1"/>
  <c r="C228" i="1"/>
  <c r="D228" i="1"/>
  <c r="E228" i="1"/>
  <c r="F228" i="1"/>
  <c r="G228" i="1"/>
  <c r="C244" i="1"/>
  <c r="D244" i="1"/>
  <c r="E244" i="1"/>
  <c r="F244" i="1"/>
  <c r="G244" i="1"/>
  <c r="C245" i="1"/>
  <c r="D245" i="1"/>
  <c r="E245" i="1"/>
  <c r="F245" i="1"/>
  <c r="G245" i="1"/>
  <c r="C233" i="1"/>
  <c r="D233" i="1"/>
  <c r="E233" i="1"/>
  <c r="F233" i="1"/>
  <c r="G233" i="1"/>
  <c r="C246" i="1"/>
  <c r="D246" i="1"/>
  <c r="E246" i="1"/>
  <c r="F246" i="1"/>
  <c r="G246" i="1"/>
  <c r="C250" i="1"/>
  <c r="D250" i="1"/>
  <c r="E250" i="1"/>
  <c r="F250" i="1"/>
  <c r="G250" i="1"/>
  <c r="C251" i="1"/>
  <c r="D251" i="1"/>
  <c r="E251" i="1"/>
  <c r="F251" i="1"/>
  <c r="G251" i="1"/>
  <c r="C240" i="1"/>
  <c r="D240" i="1"/>
  <c r="E240" i="1"/>
  <c r="F240" i="1"/>
  <c r="G240" i="1"/>
  <c r="C229" i="1"/>
  <c r="D229" i="1"/>
  <c r="E229" i="1"/>
  <c r="F229" i="1"/>
  <c r="G229" i="1"/>
  <c r="C252" i="1"/>
  <c r="D252" i="1"/>
  <c r="E252" i="1"/>
  <c r="F252" i="1"/>
  <c r="G252" i="1"/>
  <c r="C255" i="1"/>
  <c r="D255" i="1"/>
  <c r="E255" i="1"/>
  <c r="F255" i="1"/>
  <c r="G255" i="1"/>
  <c r="C256" i="1"/>
  <c r="D256" i="1"/>
  <c r="E256" i="1"/>
  <c r="F256" i="1"/>
  <c r="G256" i="1"/>
  <c r="C253" i="1"/>
  <c r="D253" i="1"/>
  <c r="E253" i="1"/>
  <c r="F253" i="1"/>
  <c r="G253" i="1"/>
  <c r="C231" i="1"/>
  <c r="E231" i="1"/>
  <c r="F231" i="1"/>
  <c r="G231" i="1"/>
  <c r="C218" i="1"/>
  <c r="D218" i="1"/>
  <c r="E218" i="1"/>
  <c r="F218" i="1"/>
  <c r="G218" i="1"/>
  <c r="C254" i="1"/>
  <c r="D254" i="1"/>
  <c r="E254" i="1"/>
  <c r="F254" i="1"/>
  <c r="G254" i="1"/>
  <c r="C249" i="1"/>
  <c r="D249" i="1"/>
  <c r="E249" i="1"/>
  <c r="F249" i="1"/>
  <c r="G249" i="1"/>
  <c r="C241" i="1"/>
  <c r="D241" i="1"/>
  <c r="E241" i="1"/>
  <c r="F241" i="1"/>
  <c r="G241" i="1"/>
  <c r="C247" i="1"/>
  <c r="D247" i="1"/>
  <c r="E247" i="1"/>
  <c r="F247" i="1"/>
  <c r="G247" i="1"/>
  <c r="C248" i="1"/>
  <c r="D248" i="1"/>
  <c r="E248" i="1"/>
  <c r="F248" i="1"/>
  <c r="G248" i="1"/>
  <c r="C223" i="1"/>
  <c r="D223" i="1"/>
  <c r="E223" i="1"/>
  <c r="F223" i="1"/>
  <c r="G223" i="1"/>
  <c r="C230" i="1"/>
  <c r="D230" i="1"/>
  <c r="E230" i="1"/>
  <c r="F230" i="1"/>
  <c r="G230" i="1"/>
  <c r="C257" i="1"/>
  <c r="D257" i="1"/>
  <c r="E257" i="1"/>
  <c r="F257" i="1"/>
  <c r="G257" i="1"/>
  <c r="C258" i="1"/>
  <c r="D258" i="1"/>
  <c r="E258" i="1"/>
  <c r="F258" i="1"/>
  <c r="G258" i="1"/>
  <c r="C262" i="1"/>
  <c r="D262" i="1"/>
  <c r="E262" i="1"/>
  <c r="F262" i="1"/>
  <c r="G262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59" i="1"/>
  <c r="D259" i="1"/>
  <c r="E259" i="1"/>
  <c r="F259" i="1"/>
  <c r="G259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8" i="1"/>
  <c r="D278" i="1"/>
  <c r="E278" i="1"/>
  <c r="F278" i="1"/>
  <c r="G278" i="1"/>
  <c r="C263" i="1"/>
  <c r="D263" i="1"/>
  <c r="E263" i="1"/>
  <c r="F263" i="1"/>
  <c r="G263" i="1"/>
  <c r="C279" i="1"/>
  <c r="D279" i="1"/>
  <c r="E279" i="1"/>
  <c r="F279" i="1"/>
  <c r="G279" i="1"/>
  <c r="C274" i="1"/>
  <c r="D274" i="1"/>
  <c r="E274" i="1"/>
  <c r="F274" i="1"/>
  <c r="G274" i="1"/>
  <c r="C280" i="1"/>
  <c r="D280" i="1"/>
  <c r="E280" i="1"/>
  <c r="F280" i="1"/>
  <c r="G280" i="1"/>
  <c r="C275" i="1"/>
  <c r="D275" i="1"/>
  <c r="E275" i="1"/>
  <c r="F275" i="1"/>
  <c r="G275" i="1"/>
  <c r="C276" i="1"/>
  <c r="D276" i="1"/>
  <c r="E276" i="1"/>
  <c r="F276" i="1"/>
  <c r="G276" i="1"/>
  <c r="C281" i="1"/>
  <c r="D281" i="1"/>
  <c r="E281" i="1"/>
  <c r="F281" i="1"/>
  <c r="G281" i="1"/>
  <c r="C277" i="1"/>
  <c r="D277" i="1"/>
  <c r="E277" i="1"/>
  <c r="F277" i="1"/>
  <c r="G277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87" i="1"/>
  <c r="D287" i="1"/>
  <c r="E287" i="1"/>
  <c r="F287" i="1"/>
  <c r="G287" i="1"/>
  <c r="C288" i="1"/>
  <c r="D288" i="1"/>
  <c r="E288" i="1"/>
  <c r="F288" i="1"/>
  <c r="G288" i="1"/>
  <c r="C290" i="1"/>
  <c r="D290" i="1"/>
  <c r="E290" i="1"/>
  <c r="F290" i="1"/>
  <c r="G290" i="1"/>
  <c r="C260" i="1"/>
  <c r="D260" i="1"/>
  <c r="E260" i="1"/>
  <c r="F260" i="1"/>
  <c r="G260" i="1"/>
  <c r="C264" i="1"/>
  <c r="D264" i="1"/>
  <c r="E264" i="1"/>
  <c r="F264" i="1"/>
  <c r="G264" i="1"/>
  <c r="C261" i="1"/>
  <c r="D261" i="1"/>
  <c r="E261" i="1"/>
  <c r="F261" i="1"/>
  <c r="G261" i="1"/>
  <c r="C294" i="1"/>
  <c r="D294" i="1"/>
  <c r="E294" i="1"/>
  <c r="F294" i="1"/>
  <c r="G294" i="1"/>
  <c r="C297" i="1"/>
  <c r="D297" i="1"/>
  <c r="E297" i="1"/>
  <c r="F297" i="1"/>
  <c r="G297" i="1"/>
  <c r="C265" i="1"/>
  <c r="D265" i="1"/>
  <c r="E265" i="1"/>
  <c r="F265" i="1"/>
  <c r="G265" i="1"/>
  <c r="C295" i="1"/>
  <c r="D295" i="1"/>
  <c r="E295" i="1"/>
  <c r="F295" i="1"/>
  <c r="G295" i="1"/>
  <c r="C298" i="1"/>
  <c r="D298" i="1"/>
  <c r="E298" i="1"/>
  <c r="F298" i="1"/>
  <c r="G298" i="1"/>
  <c r="C270" i="1"/>
  <c r="D270" i="1"/>
  <c r="E270" i="1"/>
  <c r="F270" i="1"/>
  <c r="G270" i="1"/>
  <c r="C299" i="1"/>
  <c r="D299" i="1"/>
  <c r="E299" i="1"/>
  <c r="F299" i="1"/>
  <c r="G299" i="1"/>
  <c r="C300" i="1"/>
  <c r="D300" i="1"/>
  <c r="E300" i="1"/>
  <c r="F300" i="1"/>
  <c r="G300" i="1"/>
  <c r="C296" i="1"/>
  <c r="D296" i="1"/>
  <c r="E296" i="1"/>
  <c r="F296" i="1"/>
  <c r="G296" i="1"/>
  <c r="C301" i="1"/>
  <c r="D301" i="1"/>
  <c r="E301" i="1"/>
  <c r="F301" i="1"/>
  <c r="G301" i="1"/>
  <c r="C289" i="1"/>
  <c r="D289" i="1"/>
  <c r="E289" i="1"/>
  <c r="F289" i="1"/>
  <c r="G289" i="1"/>
  <c r="C269" i="1"/>
  <c r="D269" i="1"/>
  <c r="E269" i="1"/>
  <c r="F269" i="1"/>
  <c r="G269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293" i="1"/>
  <c r="D293" i="1"/>
  <c r="E293" i="1"/>
  <c r="F293" i="1"/>
  <c r="G293" i="1"/>
  <c r="C282" i="1"/>
  <c r="D282" i="1"/>
  <c r="E282" i="1"/>
  <c r="F282" i="1"/>
  <c r="G282" i="1"/>
  <c r="C291" i="1"/>
  <c r="D291" i="1"/>
  <c r="E291" i="1"/>
  <c r="F291" i="1"/>
  <c r="G291" i="1"/>
  <c r="C305" i="1"/>
  <c r="D305" i="1"/>
  <c r="E305" i="1"/>
  <c r="F305" i="1"/>
  <c r="G305" i="1"/>
  <c r="C306" i="1"/>
  <c r="D306" i="1"/>
  <c r="E306" i="1"/>
  <c r="F306" i="1"/>
  <c r="G306" i="1"/>
  <c r="C292" i="1"/>
  <c r="D292" i="1"/>
  <c r="E292" i="1"/>
  <c r="F292" i="1"/>
  <c r="G292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5" i="1"/>
  <c r="D325" i="1"/>
  <c r="E325" i="1"/>
  <c r="F325" i="1"/>
  <c r="G325" i="1"/>
  <c r="C326" i="1"/>
  <c r="D326" i="1"/>
  <c r="E326" i="1"/>
  <c r="F326" i="1"/>
  <c r="G326" i="1"/>
  <c r="C333" i="1"/>
  <c r="D333" i="1"/>
  <c r="E333" i="1"/>
  <c r="F333" i="1"/>
  <c r="G333" i="1"/>
  <c r="C327" i="1"/>
  <c r="D327" i="1"/>
  <c r="E327" i="1"/>
  <c r="F327" i="1"/>
  <c r="G327" i="1"/>
  <c r="C328" i="1"/>
  <c r="D328" i="1"/>
  <c r="E328" i="1"/>
  <c r="F328" i="1"/>
  <c r="G328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21" i="1"/>
  <c r="D321" i="1"/>
  <c r="E321" i="1"/>
  <c r="F321" i="1"/>
  <c r="G321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22" i="1"/>
  <c r="D322" i="1"/>
  <c r="E322" i="1"/>
  <c r="F322" i="1"/>
  <c r="G322" i="1"/>
  <c r="C329" i="1"/>
  <c r="D329" i="1"/>
  <c r="E329" i="1"/>
  <c r="F329" i="1"/>
  <c r="G329" i="1"/>
  <c r="C331" i="1"/>
  <c r="D331" i="1"/>
  <c r="E331" i="1"/>
  <c r="F331" i="1"/>
  <c r="G331" i="1"/>
  <c r="C323" i="1"/>
  <c r="D323" i="1"/>
  <c r="E323" i="1"/>
  <c r="F323" i="1"/>
  <c r="G323" i="1"/>
  <c r="C332" i="1"/>
  <c r="D332" i="1"/>
  <c r="E332" i="1"/>
  <c r="F332" i="1"/>
  <c r="G332" i="1"/>
  <c r="C324" i="1"/>
  <c r="D324" i="1"/>
  <c r="E324" i="1"/>
  <c r="F324" i="1"/>
  <c r="G324" i="1"/>
  <c r="C356" i="1"/>
  <c r="D356" i="1"/>
  <c r="E356" i="1"/>
  <c r="F356" i="1"/>
  <c r="G356" i="1"/>
  <c r="C346" i="1"/>
  <c r="D346" i="1"/>
  <c r="E346" i="1"/>
  <c r="F346" i="1"/>
  <c r="G346" i="1"/>
  <c r="C314" i="1"/>
  <c r="D314" i="1"/>
  <c r="E314" i="1"/>
  <c r="F314" i="1"/>
  <c r="G314" i="1"/>
  <c r="C330" i="1"/>
  <c r="D330" i="1"/>
  <c r="E330" i="1"/>
  <c r="F330" i="1"/>
  <c r="G330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6" i="1"/>
  <c r="D366" i="1"/>
  <c r="E366" i="1"/>
  <c r="F366" i="1"/>
  <c r="G366" i="1"/>
  <c r="C361" i="1"/>
  <c r="D361" i="1"/>
  <c r="E361" i="1"/>
  <c r="F361" i="1"/>
  <c r="G361" i="1"/>
  <c r="C363" i="1"/>
  <c r="D363" i="1"/>
  <c r="E363" i="1"/>
  <c r="F363" i="1"/>
  <c r="G363" i="1"/>
  <c r="C369" i="1"/>
  <c r="D369" i="1"/>
  <c r="E369" i="1"/>
  <c r="F369" i="1"/>
  <c r="G369" i="1"/>
  <c r="C367" i="1"/>
  <c r="D367" i="1"/>
  <c r="E367" i="1"/>
  <c r="F367" i="1"/>
  <c r="G367" i="1"/>
  <c r="C364" i="1"/>
  <c r="D364" i="1"/>
  <c r="E364" i="1"/>
  <c r="F364" i="1"/>
  <c r="G364" i="1"/>
  <c r="C362" i="1"/>
  <c r="D362" i="1"/>
  <c r="E362" i="1"/>
  <c r="F362" i="1"/>
  <c r="G362" i="1"/>
  <c r="C365" i="1"/>
  <c r="D365" i="1"/>
  <c r="E365" i="1"/>
  <c r="F365" i="1"/>
  <c r="G365" i="1"/>
  <c r="C368" i="1"/>
  <c r="D368" i="1"/>
  <c r="E368" i="1"/>
  <c r="F368" i="1"/>
  <c r="G368" i="1"/>
  <c r="C376" i="1"/>
  <c r="D376" i="1"/>
  <c r="E376" i="1"/>
  <c r="F376" i="1"/>
  <c r="G376" i="1"/>
  <c r="C374" i="1"/>
  <c r="D374" i="1"/>
  <c r="E374" i="1"/>
  <c r="F374" i="1"/>
  <c r="G374" i="1"/>
  <c r="C370" i="1"/>
  <c r="D370" i="1"/>
  <c r="E370" i="1"/>
  <c r="F370" i="1"/>
  <c r="G370" i="1"/>
  <c r="C375" i="1"/>
  <c r="D375" i="1"/>
  <c r="E375" i="1"/>
  <c r="F375" i="1"/>
  <c r="G375" i="1"/>
  <c r="C378" i="1"/>
  <c r="D378" i="1"/>
  <c r="E378" i="1"/>
  <c r="F378" i="1"/>
  <c r="G378" i="1"/>
  <c r="C384" i="1"/>
  <c r="D384" i="1"/>
  <c r="E384" i="1"/>
  <c r="F384" i="1"/>
  <c r="G384" i="1"/>
  <c r="C385" i="1"/>
  <c r="D385" i="1"/>
  <c r="E385" i="1"/>
  <c r="F385" i="1"/>
  <c r="G385" i="1"/>
  <c r="C379" i="1"/>
  <c r="D379" i="1"/>
  <c r="E379" i="1"/>
  <c r="F379" i="1"/>
  <c r="G379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86" i="1"/>
  <c r="D386" i="1"/>
  <c r="E386" i="1"/>
  <c r="F386" i="1"/>
  <c r="G386" i="1"/>
  <c r="C391" i="1"/>
  <c r="D391" i="1"/>
  <c r="E391" i="1"/>
  <c r="F391" i="1"/>
  <c r="G391" i="1"/>
  <c r="C392" i="1"/>
  <c r="D392" i="1"/>
  <c r="E392" i="1"/>
  <c r="F392" i="1"/>
  <c r="G392" i="1"/>
  <c r="C377" i="1"/>
  <c r="D377" i="1"/>
  <c r="E377" i="1"/>
  <c r="F377" i="1"/>
  <c r="G377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71" i="1"/>
  <c r="D371" i="1"/>
  <c r="E371" i="1"/>
  <c r="F371" i="1"/>
  <c r="G371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372" i="1"/>
  <c r="D372" i="1"/>
  <c r="E372" i="1"/>
  <c r="F372" i="1"/>
  <c r="G372" i="1"/>
  <c r="C380" i="1"/>
  <c r="D380" i="1"/>
  <c r="E380" i="1"/>
  <c r="F380" i="1"/>
  <c r="G38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383" i="1"/>
  <c r="D383" i="1"/>
  <c r="E383" i="1"/>
  <c r="F383" i="1"/>
  <c r="G383" i="1"/>
  <c r="C404" i="1"/>
  <c r="D404" i="1"/>
  <c r="E404" i="1"/>
  <c r="F404" i="1"/>
  <c r="G404" i="1"/>
  <c r="C382" i="1"/>
  <c r="D382" i="1"/>
  <c r="E382" i="1"/>
  <c r="F382" i="1"/>
  <c r="G382" i="1"/>
  <c r="C373" i="1"/>
  <c r="D373" i="1"/>
  <c r="E373" i="1"/>
  <c r="F373" i="1"/>
  <c r="G373" i="1"/>
  <c r="C405" i="1"/>
  <c r="D405" i="1"/>
  <c r="E405" i="1"/>
  <c r="F405" i="1"/>
  <c r="G405" i="1"/>
  <c r="C381" i="1"/>
  <c r="D381" i="1"/>
  <c r="E381" i="1"/>
  <c r="F381" i="1"/>
  <c r="G381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2" i="1"/>
  <c r="D432" i="1"/>
  <c r="E432" i="1"/>
  <c r="F432" i="1"/>
  <c r="G432" i="1"/>
  <c r="C433" i="1"/>
  <c r="D433" i="1"/>
  <c r="E433" i="1"/>
  <c r="F433" i="1"/>
  <c r="G433" i="1"/>
  <c r="C420" i="1"/>
  <c r="D420" i="1"/>
  <c r="E420" i="1"/>
  <c r="F420" i="1"/>
  <c r="G420" i="1"/>
  <c r="C421" i="1"/>
  <c r="D421" i="1"/>
  <c r="E421" i="1"/>
  <c r="F421" i="1"/>
  <c r="G421" i="1"/>
  <c r="C430" i="1"/>
  <c r="D430" i="1"/>
  <c r="E430" i="1"/>
  <c r="F430" i="1"/>
  <c r="G430" i="1"/>
  <c r="C422" i="1"/>
  <c r="D422" i="1"/>
  <c r="E422" i="1"/>
  <c r="F422" i="1"/>
  <c r="G422" i="1"/>
  <c r="C434" i="1"/>
  <c r="D434" i="1"/>
  <c r="E434" i="1"/>
  <c r="F434" i="1"/>
  <c r="G434" i="1"/>
  <c r="C423" i="1"/>
  <c r="D423" i="1"/>
  <c r="E423" i="1"/>
  <c r="F423" i="1"/>
  <c r="G423" i="1"/>
  <c r="C438" i="1"/>
  <c r="D438" i="1"/>
  <c r="E438" i="1"/>
  <c r="F438" i="1"/>
  <c r="G438" i="1"/>
  <c r="C424" i="1"/>
  <c r="D424" i="1"/>
  <c r="E424" i="1"/>
  <c r="F424" i="1"/>
  <c r="G424" i="1"/>
  <c r="C439" i="1"/>
  <c r="D439" i="1"/>
  <c r="E439" i="1"/>
  <c r="F439" i="1"/>
  <c r="G439" i="1"/>
  <c r="C412" i="1"/>
  <c r="D412" i="1"/>
  <c r="E412" i="1"/>
  <c r="F412" i="1"/>
  <c r="G412" i="1"/>
  <c r="C414" i="1"/>
  <c r="D414" i="1"/>
  <c r="E414" i="1"/>
  <c r="F414" i="1"/>
  <c r="G414" i="1"/>
  <c r="C435" i="1"/>
  <c r="D435" i="1"/>
  <c r="E435" i="1"/>
  <c r="F435" i="1"/>
  <c r="G435" i="1"/>
  <c r="C413" i="1"/>
  <c r="D413" i="1"/>
  <c r="E413" i="1"/>
  <c r="F413" i="1"/>
  <c r="G413" i="1"/>
  <c r="C415" i="1"/>
  <c r="D415" i="1"/>
  <c r="E415" i="1"/>
  <c r="F415" i="1"/>
  <c r="G415" i="1"/>
  <c r="C431" i="1"/>
  <c r="D431" i="1"/>
  <c r="E431" i="1"/>
  <c r="F431" i="1"/>
  <c r="G431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40" i="1"/>
  <c r="D440" i="1"/>
  <c r="E440" i="1"/>
  <c r="F440" i="1"/>
  <c r="G440" i="1"/>
  <c r="C436" i="1"/>
  <c r="D436" i="1"/>
  <c r="E436" i="1"/>
  <c r="F436" i="1"/>
  <c r="G436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3" i="1"/>
  <c r="D443" i="1"/>
  <c r="E443" i="1"/>
  <c r="F443" i="1"/>
  <c r="G443" i="1"/>
  <c r="C425" i="1"/>
  <c r="D425" i="1"/>
  <c r="E425" i="1"/>
  <c r="F425" i="1"/>
  <c r="G425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42" i="1"/>
  <c r="D442" i="1"/>
  <c r="E442" i="1"/>
  <c r="F442" i="1"/>
  <c r="G442" i="1"/>
  <c r="C441" i="1"/>
  <c r="D441" i="1"/>
  <c r="E441" i="1"/>
  <c r="F441" i="1"/>
  <c r="G441" i="1"/>
  <c r="C437" i="1"/>
  <c r="D437" i="1"/>
  <c r="E437" i="1"/>
  <c r="F437" i="1"/>
  <c r="G437" i="1"/>
  <c r="C456" i="1"/>
  <c r="D456" i="1"/>
  <c r="E456" i="1"/>
  <c r="F456" i="1"/>
  <c r="G456" i="1"/>
  <c r="C457" i="1"/>
  <c r="D457" i="1"/>
  <c r="E457" i="1"/>
  <c r="F457" i="1"/>
  <c r="G457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8" i="1"/>
  <c r="D468" i="1"/>
  <c r="E468" i="1"/>
  <c r="F468" i="1"/>
  <c r="G468" i="1"/>
  <c r="C466" i="1"/>
  <c r="D466" i="1"/>
  <c r="E466" i="1"/>
  <c r="F466" i="1"/>
  <c r="G466" i="1"/>
  <c r="C469" i="1"/>
  <c r="D469" i="1"/>
  <c r="E469" i="1"/>
  <c r="F469" i="1"/>
  <c r="G469" i="1"/>
  <c r="C470" i="1"/>
  <c r="D470" i="1"/>
  <c r="E470" i="1"/>
  <c r="F470" i="1"/>
  <c r="G470" i="1"/>
  <c r="C463" i="1"/>
  <c r="D463" i="1"/>
  <c r="E463" i="1"/>
  <c r="F463" i="1"/>
  <c r="G463" i="1"/>
  <c r="C476" i="1"/>
  <c r="D476" i="1"/>
  <c r="E476" i="1"/>
  <c r="F476" i="1"/>
  <c r="G476" i="1"/>
  <c r="C471" i="1"/>
  <c r="D471" i="1"/>
  <c r="E471" i="1"/>
  <c r="F471" i="1"/>
  <c r="G471" i="1"/>
  <c r="C477" i="1"/>
  <c r="D477" i="1"/>
  <c r="E477" i="1"/>
  <c r="F477" i="1"/>
  <c r="G477" i="1"/>
  <c r="C478" i="1"/>
  <c r="D478" i="1"/>
  <c r="E478" i="1"/>
  <c r="F478" i="1"/>
  <c r="G478" i="1"/>
  <c r="C483" i="1"/>
  <c r="D483" i="1"/>
  <c r="E483" i="1"/>
  <c r="F483" i="1"/>
  <c r="G483" i="1"/>
  <c r="C484" i="1"/>
  <c r="D484" i="1"/>
  <c r="E484" i="1"/>
  <c r="F484" i="1"/>
  <c r="G484" i="1"/>
  <c r="C479" i="1"/>
  <c r="D479" i="1"/>
  <c r="E479" i="1"/>
  <c r="F479" i="1"/>
  <c r="G479" i="1"/>
  <c r="C485" i="1"/>
  <c r="D485" i="1"/>
  <c r="E485" i="1"/>
  <c r="F485" i="1"/>
  <c r="G485" i="1"/>
  <c r="C481" i="1"/>
  <c r="D481" i="1"/>
  <c r="E481" i="1"/>
  <c r="F481" i="1"/>
  <c r="G481" i="1"/>
  <c r="C472" i="1"/>
  <c r="D472" i="1"/>
  <c r="E472" i="1"/>
  <c r="F472" i="1"/>
  <c r="G472" i="1"/>
  <c r="C486" i="1"/>
  <c r="D486" i="1"/>
  <c r="E486" i="1"/>
  <c r="F486" i="1"/>
  <c r="G486" i="1"/>
  <c r="C488" i="1"/>
  <c r="D488" i="1"/>
  <c r="E488" i="1"/>
  <c r="F488" i="1"/>
  <c r="G488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58" i="1"/>
  <c r="D458" i="1"/>
  <c r="E458" i="1"/>
  <c r="F458" i="1"/>
  <c r="G458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473" i="1"/>
  <c r="D473" i="1"/>
  <c r="E473" i="1"/>
  <c r="F473" i="1"/>
  <c r="G473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487" i="1"/>
  <c r="D487" i="1"/>
  <c r="E487" i="1"/>
  <c r="F487" i="1"/>
  <c r="G487" i="1"/>
  <c r="C504" i="1"/>
  <c r="D504" i="1"/>
  <c r="E504" i="1"/>
  <c r="F504" i="1"/>
  <c r="G504" i="1"/>
  <c r="C482" i="1"/>
  <c r="D482" i="1"/>
  <c r="E482" i="1"/>
  <c r="F482" i="1"/>
  <c r="G482" i="1"/>
  <c r="C505" i="1"/>
  <c r="D505" i="1"/>
  <c r="E505" i="1"/>
  <c r="F505" i="1"/>
  <c r="G505" i="1"/>
  <c r="C464" i="1"/>
  <c r="D464" i="1"/>
  <c r="E464" i="1"/>
  <c r="F464" i="1"/>
  <c r="G464" i="1"/>
  <c r="C474" i="1"/>
  <c r="D474" i="1"/>
  <c r="E474" i="1"/>
  <c r="F474" i="1"/>
  <c r="G474" i="1"/>
  <c r="C475" i="1"/>
  <c r="D475" i="1"/>
  <c r="E475" i="1"/>
  <c r="F475" i="1"/>
  <c r="G475" i="1"/>
  <c r="C465" i="1"/>
  <c r="D465" i="1"/>
  <c r="E465" i="1"/>
  <c r="F465" i="1"/>
  <c r="G465" i="1"/>
  <c r="C489" i="1"/>
  <c r="D489" i="1"/>
  <c r="E489" i="1"/>
  <c r="F489" i="1"/>
  <c r="G489" i="1"/>
  <c r="C490" i="1"/>
  <c r="D490" i="1"/>
  <c r="E490" i="1"/>
  <c r="F490" i="1"/>
  <c r="G490" i="1"/>
  <c r="C467" i="1"/>
  <c r="D467" i="1"/>
  <c r="E467" i="1"/>
  <c r="F467" i="1"/>
  <c r="G467" i="1"/>
  <c r="C480" i="1"/>
  <c r="D480" i="1"/>
  <c r="E480" i="1"/>
  <c r="F480" i="1"/>
  <c r="G480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3" i="1"/>
  <c r="D513" i="1"/>
  <c r="E513" i="1"/>
  <c r="F513" i="1"/>
  <c r="G513" i="1"/>
  <c r="C511" i="1"/>
  <c r="D511" i="1"/>
  <c r="E511" i="1"/>
  <c r="F511" i="1"/>
  <c r="G511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7" i="1"/>
  <c r="D527" i="1"/>
  <c r="E527" i="1"/>
  <c r="F527" i="1"/>
  <c r="G527" i="1"/>
  <c r="C529" i="1"/>
  <c r="D529" i="1"/>
  <c r="E529" i="1"/>
  <c r="F529" i="1"/>
  <c r="G529" i="1"/>
  <c r="C533" i="1"/>
  <c r="D533" i="1"/>
  <c r="E533" i="1"/>
  <c r="F533" i="1"/>
  <c r="G533" i="1"/>
  <c r="C512" i="1"/>
  <c r="D512" i="1"/>
  <c r="E512" i="1"/>
  <c r="F512" i="1"/>
  <c r="G512" i="1"/>
  <c r="C536" i="1"/>
  <c r="D536" i="1"/>
  <c r="E536" i="1"/>
  <c r="F536" i="1"/>
  <c r="G536" i="1"/>
  <c r="C537" i="1"/>
  <c r="D537" i="1"/>
  <c r="E537" i="1"/>
  <c r="F537" i="1"/>
  <c r="G537" i="1"/>
  <c r="C538" i="1"/>
  <c r="D538" i="1"/>
  <c r="E538" i="1"/>
  <c r="F538" i="1"/>
  <c r="G538" i="1"/>
  <c r="C528" i="1"/>
  <c r="D528" i="1"/>
  <c r="E528" i="1"/>
  <c r="F528" i="1"/>
  <c r="G528" i="1"/>
  <c r="C545" i="1"/>
  <c r="D545" i="1"/>
  <c r="E545" i="1"/>
  <c r="F545" i="1"/>
  <c r="G545" i="1"/>
  <c r="C547" i="1"/>
  <c r="D547" i="1"/>
  <c r="E547" i="1"/>
  <c r="F547" i="1"/>
  <c r="G547" i="1"/>
  <c r="C530" i="1"/>
  <c r="D530" i="1"/>
  <c r="E530" i="1"/>
  <c r="F530" i="1"/>
  <c r="G530" i="1"/>
  <c r="C546" i="1"/>
  <c r="D546" i="1"/>
  <c r="E546" i="1"/>
  <c r="F546" i="1"/>
  <c r="G546" i="1"/>
  <c r="C548" i="1"/>
  <c r="D548" i="1"/>
  <c r="E548" i="1"/>
  <c r="F548" i="1"/>
  <c r="G548" i="1"/>
  <c r="C549" i="1"/>
  <c r="D549" i="1"/>
  <c r="E549" i="1"/>
  <c r="F549" i="1"/>
  <c r="G549" i="1"/>
  <c r="C514" i="1"/>
  <c r="D514" i="1"/>
  <c r="E514" i="1"/>
  <c r="F514" i="1"/>
  <c r="G514" i="1"/>
  <c r="C515" i="1"/>
  <c r="D515" i="1"/>
  <c r="E515" i="1"/>
  <c r="F515" i="1"/>
  <c r="G515" i="1"/>
  <c r="C516" i="1"/>
  <c r="D516" i="1"/>
  <c r="E516" i="1"/>
  <c r="F516" i="1"/>
  <c r="G516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17" i="1"/>
  <c r="D517" i="1"/>
  <c r="E517" i="1"/>
  <c r="F517" i="1"/>
  <c r="G517" i="1"/>
  <c r="C526" i="1"/>
  <c r="D526" i="1"/>
  <c r="E526" i="1"/>
  <c r="F526" i="1"/>
  <c r="G526" i="1"/>
  <c r="C554" i="1"/>
  <c r="D554" i="1"/>
  <c r="E554" i="1"/>
  <c r="F554" i="1"/>
  <c r="G554" i="1"/>
  <c r="C534" i="1"/>
  <c r="D534" i="1"/>
  <c r="E534" i="1"/>
  <c r="F534" i="1"/>
  <c r="G534" i="1"/>
  <c r="C518" i="1"/>
  <c r="D518" i="1"/>
  <c r="E518" i="1"/>
  <c r="F518" i="1"/>
  <c r="G518" i="1"/>
  <c r="C519" i="1"/>
  <c r="D519" i="1"/>
  <c r="E519" i="1"/>
  <c r="F519" i="1"/>
  <c r="G519" i="1"/>
  <c r="C535" i="1"/>
  <c r="D535" i="1"/>
  <c r="E535" i="1"/>
  <c r="F535" i="1"/>
  <c r="G535" i="1"/>
  <c r="C541" i="1"/>
  <c r="D541" i="1"/>
  <c r="E541" i="1"/>
  <c r="F541" i="1"/>
  <c r="G541" i="1"/>
  <c r="C540" i="1"/>
  <c r="D540" i="1"/>
  <c r="E540" i="1"/>
  <c r="F540" i="1"/>
  <c r="G540" i="1"/>
  <c r="C542" i="1"/>
  <c r="D542" i="1"/>
  <c r="E542" i="1"/>
  <c r="F542" i="1"/>
  <c r="G542" i="1"/>
  <c r="C543" i="1"/>
  <c r="D543" i="1"/>
  <c r="E543" i="1"/>
  <c r="F543" i="1"/>
  <c r="G543" i="1"/>
  <c r="C539" i="1"/>
  <c r="D539" i="1"/>
  <c r="E539" i="1"/>
  <c r="F539" i="1"/>
  <c r="G539" i="1"/>
  <c r="C555" i="1"/>
  <c r="D555" i="1"/>
  <c r="E555" i="1"/>
  <c r="F555" i="1"/>
  <c r="G555" i="1"/>
  <c r="C556" i="1"/>
  <c r="D556" i="1"/>
  <c r="E556" i="1"/>
  <c r="F556" i="1"/>
  <c r="G556" i="1"/>
  <c r="C520" i="1"/>
  <c r="D520" i="1"/>
  <c r="E520" i="1"/>
  <c r="F520" i="1"/>
  <c r="G520" i="1"/>
</calcChain>
</file>

<file path=xl/sharedStrings.xml><?xml version="1.0" encoding="utf-8"?>
<sst xmlns="http://schemas.openxmlformats.org/spreadsheetml/2006/main" count="15" uniqueCount="15">
  <si>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</si>
  <si>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</si>
  <si>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</si>
  <si>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</si>
  <si>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</si>
  <si>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</si>
  <si>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</si>
  <si>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</si>
  <si>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</si>
  <si>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</si>
  <si>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</si>
  <si>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Начисленные доходы по операциям "РЕПО" с ценными бумагами</t>
  </si>
  <si>
    <t>Отчет об остатках на балансовых и внебалансовых счетах</t>
  </si>
  <si>
    <r>
      <rPr>
        <sz val="10"/>
        <rFont val="Times New Roman"/>
        <family val="1"/>
        <charset val="204"/>
      </rPr>
      <t>АО "First Heartland Jusan Bank"</t>
    </r>
  </si>
  <si>
    <t>по состоянию на 01.07.2023г.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</si>
</sst>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7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3.5703125" bestFit="1" customWidth="1"/>
    <col min="2" max="3" width="9.140625" style="4"/>
    <col min="4" max="4" width="55.7109375" customWidth="1"/>
    <col min="5" max="7" width="9.140625" style="4"/>
    <col min="8" max="8" width="24.5703125" style="1" customWidth="1"/>
  </cols>
  <sheetData>
    <row r="1" spans="1:8" x14ac:dyDescent="0.25">
      <c r="A1" s="2" t="s">
        <v>12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14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13</v>
      </c>
      <c r="B3" s="3"/>
      <c r="C3" s="3"/>
      <c r="D3" s="3"/>
      <c r="E3" s="3"/>
      <c r="F3" s="3"/>
      <c r="G3" s="3"/>
      <c r="H3" s="3"/>
    </row>
    <row r="4" spans="1:8" x14ac:dyDescent="0.25">
      <c r="A4" s="4"/>
    </row>
    <row r="5" spans="1:8" x14ac:dyDescent="0.25">
      <c r="A5" s="4"/>
    </row>
    <row r="6" spans="1:8" ht="60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1:8" x14ac:dyDescent="0.25">
      <c r="A7" s="7">
        <v>45107</v>
      </c>
      <c r="B7" s="10">
        <v>36</v>
      </c>
      <c r="C7" s="10" t="str">
        <f>"1001"</f>
        <v>1001</v>
      </c>
      <c r="D7" s="8" t="str">
        <f>"Наличность в кассе"</f>
        <v>Наличность в кассе</v>
      </c>
      <c r="E7" s="10" t="str">
        <f>"2"</f>
        <v>2</v>
      </c>
      <c r="F7" s="10" t="str">
        <f t="shared" ref="F7:F14" si="0">"3"</f>
        <v>3</v>
      </c>
      <c r="G7" s="10" t="str">
        <f>"2"</f>
        <v>2</v>
      </c>
      <c r="H7" s="9">
        <v>45633189913.059998</v>
      </c>
    </row>
    <row r="8" spans="1:8" x14ac:dyDescent="0.25">
      <c r="A8" s="7">
        <v>45107</v>
      </c>
      <c r="B8" s="10">
        <v>36</v>
      </c>
      <c r="C8" s="10" t="str">
        <f>"1001"</f>
        <v>1001</v>
      </c>
      <c r="D8" s="8" t="str">
        <f>"Наличность в кассе"</f>
        <v>Наличность в кассе</v>
      </c>
      <c r="E8" s="10" t="str">
        <f>"1"</f>
        <v>1</v>
      </c>
      <c r="F8" s="10" t="str">
        <f t="shared" si="0"/>
        <v>3</v>
      </c>
      <c r="G8" s="10" t="str">
        <f>"1"</f>
        <v>1</v>
      </c>
      <c r="H8" s="9">
        <v>13353456652</v>
      </c>
    </row>
    <row r="9" spans="1:8" x14ac:dyDescent="0.25">
      <c r="A9" s="7">
        <v>45107</v>
      </c>
      <c r="B9" s="10">
        <v>36</v>
      </c>
      <c r="C9" s="10" t="str">
        <f>"1001"</f>
        <v>1001</v>
      </c>
      <c r="D9" s="8" t="str">
        <f>"Наличность в кассе"</f>
        <v>Наличность в кассе</v>
      </c>
      <c r="E9" s="10" t="str">
        <f>"2"</f>
        <v>2</v>
      </c>
      <c r="F9" s="10" t="str">
        <f t="shared" si="0"/>
        <v>3</v>
      </c>
      <c r="G9" s="10" t="str">
        <f>"3"</f>
        <v>3</v>
      </c>
      <c r="H9" s="9">
        <v>2416913954.6199999</v>
      </c>
    </row>
    <row r="10" spans="1:8" x14ac:dyDescent="0.25">
      <c r="A10" s="7">
        <v>45107</v>
      </c>
      <c r="B10" s="10">
        <v>36</v>
      </c>
      <c r="C10" s="10" t="str">
        <f>"1002"</f>
        <v>1002</v>
      </c>
      <c r="D10" s="8" t="str">
        <f>"Банкноты и монеты в пути"</f>
        <v>Банкноты и монеты в пути</v>
      </c>
      <c r="E10" s="10" t="str">
        <f>"2"</f>
        <v>2</v>
      </c>
      <c r="F10" s="10" t="str">
        <f t="shared" si="0"/>
        <v>3</v>
      </c>
      <c r="G10" s="10" t="str">
        <f>"3"</f>
        <v>3</v>
      </c>
      <c r="H10" s="9">
        <v>219363121</v>
      </c>
    </row>
    <row r="11" spans="1:8" x14ac:dyDescent="0.25">
      <c r="A11" s="7">
        <v>45107</v>
      </c>
      <c r="B11" s="10">
        <v>36</v>
      </c>
      <c r="C11" s="10" t="str">
        <f>"1002"</f>
        <v>1002</v>
      </c>
      <c r="D11" s="8" t="str">
        <f>"Банкноты и монеты в пути"</f>
        <v>Банкноты и монеты в пути</v>
      </c>
      <c r="E11" s="10" t="str">
        <f>"2"</f>
        <v>2</v>
      </c>
      <c r="F11" s="10" t="str">
        <f t="shared" si="0"/>
        <v>3</v>
      </c>
      <c r="G11" s="10" t="str">
        <f>"2"</f>
        <v>2</v>
      </c>
      <c r="H11" s="9">
        <v>5243871194.1700001</v>
      </c>
    </row>
    <row r="12" spans="1:8" x14ac:dyDescent="0.25">
      <c r="A12" s="7">
        <v>45107</v>
      </c>
      <c r="B12" s="10">
        <v>36</v>
      </c>
      <c r="C12" s="10" t="str">
        <f>"1002"</f>
        <v>1002</v>
      </c>
      <c r="D12" s="8" t="str">
        <f>"Банкноты и монеты в пути"</f>
        <v>Банкноты и монеты в пути</v>
      </c>
      <c r="E12" s="10" t="str">
        <f>"1"</f>
        <v>1</v>
      </c>
      <c r="F12" s="10" t="str">
        <f t="shared" si="0"/>
        <v>3</v>
      </c>
      <c r="G12" s="10" t="str">
        <f>"1"</f>
        <v>1</v>
      </c>
      <c r="H12" s="9">
        <v>5647067264</v>
      </c>
    </row>
    <row r="13" spans="1:8" x14ac:dyDescent="0.25">
      <c r="A13" s="7">
        <v>45107</v>
      </c>
      <c r="B13" s="10">
        <v>36</v>
      </c>
      <c r="C13" s="10" t="str">
        <f>"1005"</f>
        <v>1005</v>
      </c>
      <c r="D13" s="8" t="str">
        <f>"Наличность в банкоматах и электронных терминалах"</f>
        <v>Наличность в банкоматах и электронных терминалах</v>
      </c>
      <c r="E13" s="10" t="str">
        <f>"2"</f>
        <v>2</v>
      </c>
      <c r="F13" s="10" t="str">
        <f t="shared" si="0"/>
        <v>3</v>
      </c>
      <c r="G13" s="10" t="str">
        <f>"2"</f>
        <v>2</v>
      </c>
      <c r="H13" s="9">
        <v>40363892</v>
      </c>
    </row>
    <row r="14" spans="1:8" x14ac:dyDescent="0.25">
      <c r="A14" s="7">
        <v>45107</v>
      </c>
      <c r="B14" s="10">
        <v>36</v>
      </c>
      <c r="C14" s="10" t="str">
        <f>"1005"</f>
        <v>1005</v>
      </c>
      <c r="D14" s="8" t="str">
        <f>"Наличность в банкоматах и электронных терминалах"</f>
        <v>Наличность в банкоматах и электронных терминалах</v>
      </c>
      <c r="E14" s="10" t="str">
        <f>"1"</f>
        <v>1</v>
      </c>
      <c r="F14" s="10" t="str">
        <f t="shared" si="0"/>
        <v>3</v>
      </c>
      <c r="G14" s="10" t="str">
        <f>"1"</f>
        <v>1</v>
      </c>
      <c r="H14" s="9">
        <v>17158044400</v>
      </c>
    </row>
    <row r="15" spans="1:8" x14ac:dyDescent="0.25">
      <c r="A15" s="7">
        <v>45107</v>
      </c>
      <c r="B15" s="10">
        <v>36</v>
      </c>
      <c r="C15" s="10" t="str">
        <f>"1011"</f>
        <v>1011</v>
      </c>
      <c r="D15" s="8" t="str">
        <f>"Аффинированные драгоценные металлы"</f>
        <v>Аффинированные драгоценные металлы</v>
      </c>
      <c r="E15" s="10" t="str">
        <f>""</f>
        <v/>
      </c>
      <c r="F15" s="10" t="str">
        <f>""</f>
        <v/>
      </c>
      <c r="G15" s="10" t="str">
        <f>""</f>
        <v/>
      </c>
      <c r="H15" s="9">
        <v>26168584.969999999</v>
      </c>
    </row>
    <row r="16" spans="1:8" ht="30" x14ac:dyDescent="0.25">
      <c r="A16" s="7">
        <v>45107</v>
      </c>
      <c r="B16" s="10">
        <v>36</v>
      </c>
      <c r="C16" s="10" t="str">
        <f>"1013"</f>
        <v>1013</v>
      </c>
      <c r="D16" s="1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10" t="str">
        <f>"2"</f>
        <v>2</v>
      </c>
      <c r="F16" s="10" t="str">
        <f>"4"</f>
        <v>4</v>
      </c>
      <c r="G16" s="10" t="str">
        <f>""</f>
        <v/>
      </c>
      <c r="H16" s="9">
        <v>0</v>
      </c>
    </row>
    <row r="17" spans="1:8" ht="30" x14ac:dyDescent="0.25">
      <c r="A17" s="7">
        <v>45107</v>
      </c>
      <c r="B17" s="10">
        <v>36</v>
      </c>
      <c r="C17" s="10" t="str">
        <f>"1051"</f>
        <v>1051</v>
      </c>
      <c r="D17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10" t="str">
        <f>"1"</f>
        <v>1</v>
      </c>
      <c r="F17" s="10" t="str">
        <f>"3"</f>
        <v>3</v>
      </c>
      <c r="G17" s="10" t="str">
        <f>"2"</f>
        <v>2</v>
      </c>
      <c r="H17" s="9">
        <v>689255963.77999997</v>
      </c>
    </row>
    <row r="18" spans="1:8" ht="30" x14ac:dyDescent="0.25">
      <c r="A18" s="7">
        <v>45107</v>
      </c>
      <c r="B18" s="10">
        <v>36</v>
      </c>
      <c r="C18" s="10" t="str">
        <f>"1051"</f>
        <v>1051</v>
      </c>
      <c r="D18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10" t="str">
        <f>"1"</f>
        <v>1</v>
      </c>
      <c r="F18" s="10" t="str">
        <f>"3"</f>
        <v>3</v>
      </c>
      <c r="G18" s="10" t="str">
        <f>"1"</f>
        <v>1</v>
      </c>
      <c r="H18" s="9">
        <v>24144778444.220001</v>
      </c>
    </row>
    <row r="19" spans="1:8" x14ac:dyDescent="0.25">
      <c r="A19" s="7">
        <v>45107</v>
      </c>
      <c r="B19" s="10">
        <v>36</v>
      </c>
      <c r="C19" s="10" t="str">
        <f t="shared" ref="C19:C28" si="1">"1052"</f>
        <v>1052</v>
      </c>
      <c r="D19" s="11" t="str">
        <f t="shared" ref="D19:D28" si="2">"Корреспондентские счета в других банках"</f>
        <v>Корреспондентские счета в других банках</v>
      </c>
      <c r="E19" s="10" t="str">
        <f>"2"</f>
        <v>2</v>
      </c>
      <c r="F19" s="10" t="str">
        <f>"4"</f>
        <v>4</v>
      </c>
      <c r="G19" s="10" t="str">
        <f>"3"</f>
        <v>3</v>
      </c>
      <c r="H19" s="9">
        <v>5111794307</v>
      </c>
    </row>
    <row r="20" spans="1:8" x14ac:dyDescent="0.25">
      <c r="A20" s="7">
        <v>45107</v>
      </c>
      <c r="B20" s="10">
        <v>36</v>
      </c>
      <c r="C20" s="10" t="str">
        <f t="shared" si="1"/>
        <v>1052</v>
      </c>
      <c r="D20" s="11" t="str">
        <f t="shared" si="2"/>
        <v>Корреспондентские счета в других банках</v>
      </c>
      <c r="E20" s="10" t="str">
        <f>"1"</f>
        <v>1</v>
      </c>
      <c r="F20" s="10" t="str">
        <f>"5"</f>
        <v>5</v>
      </c>
      <c r="G20" s="10" t="str">
        <f>"2"</f>
        <v>2</v>
      </c>
      <c r="H20" s="9">
        <v>1301604850.22</v>
      </c>
    </row>
    <row r="21" spans="1:8" x14ac:dyDescent="0.25">
      <c r="A21" s="7">
        <v>45107</v>
      </c>
      <c r="B21" s="10">
        <v>36</v>
      </c>
      <c r="C21" s="10" t="str">
        <f t="shared" si="1"/>
        <v>1052</v>
      </c>
      <c r="D21" s="11" t="str">
        <f t="shared" si="2"/>
        <v>Корреспондентские счета в других банках</v>
      </c>
      <c r="E21" s="10" t="str">
        <f>"2"</f>
        <v>2</v>
      </c>
      <c r="F21" s="10" t="str">
        <f>"5"</f>
        <v>5</v>
      </c>
      <c r="G21" s="10" t="str">
        <f>"1"</f>
        <v>1</v>
      </c>
      <c r="H21" s="9">
        <v>679551504.05999994</v>
      </c>
    </row>
    <row r="22" spans="1:8" x14ac:dyDescent="0.25">
      <c r="A22" s="7">
        <v>45107</v>
      </c>
      <c r="B22" s="10">
        <v>36</v>
      </c>
      <c r="C22" s="10" t="str">
        <f t="shared" si="1"/>
        <v>1052</v>
      </c>
      <c r="D22" s="11" t="str">
        <f t="shared" si="2"/>
        <v>Корреспондентские счета в других банках</v>
      </c>
      <c r="E22" s="10" t="str">
        <f>"1"</f>
        <v>1</v>
      </c>
      <c r="F22" s="10" t="str">
        <f>"4"</f>
        <v>4</v>
      </c>
      <c r="G22" s="10" t="str">
        <f>"1"</f>
        <v>1</v>
      </c>
      <c r="H22" s="9">
        <v>44134116.82</v>
      </c>
    </row>
    <row r="23" spans="1:8" x14ac:dyDescent="0.25">
      <c r="A23" s="7">
        <v>45107</v>
      </c>
      <c r="B23" s="10">
        <v>36</v>
      </c>
      <c r="C23" s="10" t="str">
        <f t="shared" si="1"/>
        <v>1052</v>
      </c>
      <c r="D23" s="11" t="str">
        <f t="shared" si="2"/>
        <v>Корреспондентские счета в других банках</v>
      </c>
      <c r="E23" s="10" t="str">
        <f>"2"</f>
        <v>2</v>
      </c>
      <c r="F23" s="10" t="str">
        <f>"5"</f>
        <v>5</v>
      </c>
      <c r="G23" s="10" t="str">
        <f>"3"</f>
        <v>3</v>
      </c>
      <c r="H23" s="9">
        <v>279591695.30000001</v>
      </c>
    </row>
    <row r="24" spans="1:8" x14ac:dyDescent="0.25">
      <c r="A24" s="7">
        <v>45107</v>
      </c>
      <c r="B24" s="10">
        <v>36</v>
      </c>
      <c r="C24" s="10" t="str">
        <f t="shared" si="1"/>
        <v>1052</v>
      </c>
      <c r="D24" s="11" t="str">
        <f t="shared" si="2"/>
        <v>Корреспондентские счета в других банках</v>
      </c>
      <c r="E24" s="10" t="str">
        <f>"2"</f>
        <v>2</v>
      </c>
      <c r="F24" s="10" t="str">
        <f>"5"</f>
        <v>5</v>
      </c>
      <c r="G24" s="10" t="str">
        <f>"2"</f>
        <v>2</v>
      </c>
      <c r="H24" s="9">
        <v>2418636415.6900001</v>
      </c>
    </row>
    <row r="25" spans="1:8" x14ac:dyDescent="0.25">
      <c r="A25" s="7">
        <v>45107</v>
      </c>
      <c r="B25" s="10">
        <v>36</v>
      </c>
      <c r="C25" s="10" t="str">
        <f t="shared" si="1"/>
        <v>1052</v>
      </c>
      <c r="D25" s="11" t="str">
        <f t="shared" si="2"/>
        <v>Корреспондентские счета в других банках</v>
      </c>
      <c r="E25" s="10" t="str">
        <f>"1"</f>
        <v>1</v>
      </c>
      <c r="F25" s="10" t="str">
        <f>"4"</f>
        <v>4</v>
      </c>
      <c r="G25" s="10" t="str">
        <f>"3"</f>
        <v>3</v>
      </c>
      <c r="H25" s="9">
        <v>37900987.210000001</v>
      </c>
    </row>
    <row r="26" spans="1:8" x14ac:dyDescent="0.25">
      <c r="A26" s="7">
        <v>45107</v>
      </c>
      <c r="B26" s="10">
        <v>36</v>
      </c>
      <c r="C26" s="10" t="str">
        <f t="shared" si="1"/>
        <v>1052</v>
      </c>
      <c r="D26" s="11" t="str">
        <f t="shared" si="2"/>
        <v>Корреспондентские счета в других банках</v>
      </c>
      <c r="E26" s="10" t="str">
        <f>"2"</f>
        <v>2</v>
      </c>
      <c r="F26" s="10" t="str">
        <f>"3"</f>
        <v>3</v>
      </c>
      <c r="G26" s="10" t="str">
        <f>"3"</f>
        <v>3</v>
      </c>
      <c r="H26" s="9">
        <v>207955025.78</v>
      </c>
    </row>
    <row r="27" spans="1:8" x14ac:dyDescent="0.25">
      <c r="A27" s="7">
        <v>45107</v>
      </c>
      <c r="B27" s="10">
        <v>36</v>
      </c>
      <c r="C27" s="10" t="str">
        <f t="shared" si="1"/>
        <v>1052</v>
      </c>
      <c r="D27" s="11" t="str">
        <f t="shared" si="2"/>
        <v>Корреспондентские счета в других банках</v>
      </c>
      <c r="E27" s="10" t="str">
        <f>"1"</f>
        <v>1</v>
      </c>
      <c r="F27" s="10" t="str">
        <f>"4"</f>
        <v>4</v>
      </c>
      <c r="G27" s="10" t="str">
        <f>"2"</f>
        <v>2</v>
      </c>
      <c r="H27" s="9">
        <v>3684403836.8400002</v>
      </c>
    </row>
    <row r="28" spans="1:8" x14ac:dyDescent="0.25">
      <c r="A28" s="7">
        <v>45107</v>
      </c>
      <c r="B28" s="10">
        <v>36</v>
      </c>
      <c r="C28" s="10" t="str">
        <f t="shared" si="1"/>
        <v>1052</v>
      </c>
      <c r="D28" s="11" t="str">
        <f t="shared" si="2"/>
        <v>Корреспондентские счета в других банках</v>
      </c>
      <c r="E28" s="10" t="str">
        <f>"2"</f>
        <v>2</v>
      </c>
      <c r="F28" s="10" t="str">
        <f>"4"</f>
        <v>4</v>
      </c>
      <c r="G28" s="10" t="str">
        <f>"2"</f>
        <v>2</v>
      </c>
      <c r="H28" s="9">
        <v>53095859648.389999</v>
      </c>
    </row>
    <row r="29" spans="1:8" ht="30" x14ac:dyDescent="0.25">
      <c r="A29" s="7">
        <v>45107</v>
      </c>
      <c r="B29" s="10">
        <v>36</v>
      </c>
      <c r="C29" s="10" t="str">
        <f t="shared" ref="C29:C38" si="3">"1054"</f>
        <v>1054</v>
      </c>
      <c r="D29" s="11" t="str">
        <f t="shared" ref="D29:D38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29" s="10" t="str">
        <f>"1"</f>
        <v>1</v>
      </c>
      <c r="F29" s="10" t="str">
        <f>"4"</f>
        <v>4</v>
      </c>
      <c r="G29" s="10" t="str">
        <f>"3"</f>
        <v>3</v>
      </c>
      <c r="H29" s="9">
        <v>-535.19000000000005</v>
      </c>
    </row>
    <row r="30" spans="1:8" ht="30" x14ac:dyDescent="0.25">
      <c r="A30" s="7">
        <v>45107</v>
      </c>
      <c r="B30" s="10">
        <v>36</v>
      </c>
      <c r="C30" s="10" t="str">
        <f t="shared" si="3"/>
        <v>1054</v>
      </c>
      <c r="D30" s="11" t="str">
        <f t="shared" si="4"/>
        <v>Резервы (провизии) по корреспондентским счетам в других банках и текущим счетам ипотечных организаций</v>
      </c>
      <c r="E30" s="10" t="str">
        <f>"1"</f>
        <v>1</v>
      </c>
      <c r="F30" s="10" t="str">
        <f>"4"</f>
        <v>4</v>
      </c>
      <c r="G30" s="10" t="str">
        <f>"1"</f>
        <v>1</v>
      </c>
      <c r="H30" s="9">
        <v>-37</v>
      </c>
    </row>
    <row r="31" spans="1:8" ht="30" x14ac:dyDescent="0.25">
      <c r="A31" s="7">
        <v>45107</v>
      </c>
      <c r="B31" s="10">
        <v>36</v>
      </c>
      <c r="C31" s="10" t="str">
        <f t="shared" si="3"/>
        <v>1054</v>
      </c>
      <c r="D31" s="11" t="str">
        <f t="shared" si="4"/>
        <v>Резервы (провизии) по корреспондентским счетам в других банках и текущим счетам ипотечных организаций</v>
      </c>
      <c r="E31" s="10" t="str">
        <f>"2"</f>
        <v>2</v>
      </c>
      <c r="F31" s="10" t="str">
        <f>"3"</f>
        <v>3</v>
      </c>
      <c r="G31" s="10" t="str">
        <f>"3"</f>
        <v>3</v>
      </c>
      <c r="H31" s="9">
        <v>-1572.37</v>
      </c>
    </row>
    <row r="32" spans="1:8" ht="30" x14ac:dyDescent="0.25">
      <c r="A32" s="7">
        <v>45107</v>
      </c>
      <c r="B32" s="10">
        <v>36</v>
      </c>
      <c r="C32" s="10" t="str">
        <f t="shared" si="3"/>
        <v>1054</v>
      </c>
      <c r="D32" s="11" t="str">
        <f t="shared" si="4"/>
        <v>Резервы (провизии) по корреспондентским счетам в других банках и текущим счетам ипотечных организаций</v>
      </c>
      <c r="E32" s="10" t="str">
        <f>"1"</f>
        <v>1</v>
      </c>
      <c r="F32" s="10" t="str">
        <f>"5"</f>
        <v>5</v>
      </c>
      <c r="G32" s="10" t="str">
        <f>"2"</f>
        <v>2</v>
      </c>
      <c r="H32" s="9">
        <v>-2214235.5099999998</v>
      </c>
    </row>
    <row r="33" spans="1:8" ht="30" x14ac:dyDescent="0.25">
      <c r="A33" s="7">
        <v>45107</v>
      </c>
      <c r="B33" s="10">
        <v>36</v>
      </c>
      <c r="C33" s="10" t="str">
        <f t="shared" si="3"/>
        <v>1054</v>
      </c>
      <c r="D33" s="11" t="str">
        <f t="shared" si="4"/>
        <v>Резервы (провизии) по корреспондентским счетам в других банках и текущим счетам ипотечных организаций</v>
      </c>
      <c r="E33" s="10" t="str">
        <f>"1"</f>
        <v>1</v>
      </c>
      <c r="F33" s="10" t="str">
        <f>"4"</f>
        <v>4</v>
      </c>
      <c r="G33" s="10" t="str">
        <f>"2"</f>
        <v>2</v>
      </c>
      <c r="H33" s="9">
        <v>-16801.419999999998</v>
      </c>
    </row>
    <row r="34" spans="1:8" ht="30" x14ac:dyDescent="0.25">
      <c r="A34" s="7">
        <v>45107</v>
      </c>
      <c r="B34" s="10">
        <v>36</v>
      </c>
      <c r="C34" s="10" t="str">
        <f t="shared" si="3"/>
        <v>1054</v>
      </c>
      <c r="D34" s="11" t="str">
        <f t="shared" si="4"/>
        <v>Резервы (провизии) по корреспондентским счетам в других банках и текущим счетам ипотечных организаций</v>
      </c>
      <c r="E34" s="10" t="str">
        <f>"2"</f>
        <v>2</v>
      </c>
      <c r="F34" s="10" t="str">
        <f>"5"</f>
        <v>5</v>
      </c>
      <c r="G34" s="10" t="str">
        <f>"1"</f>
        <v>1</v>
      </c>
      <c r="H34" s="9">
        <v>-136268939.13999999</v>
      </c>
    </row>
    <row r="35" spans="1:8" ht="30" x14ac:dyDescent="0.25">
      <c r="A35" s="7">
        <v>45107</v>
      </c>
      <c r="B35" s="10">
        <v>36</v>
      </c>
      <c r="C35" s="10" t="str">
        <f t="shared" si="3"/>
        <v>1054</v>
      </c>
      <c r="D35" s="11" t="str">
        <f t="shared" si="4"/>
        <v>Резервы (провизии) по корреспондентским счетам в других банках и текущим счетам ипотечных организаций</v>
      </c>
      <c r="E35" s="10" t="str">
        <f>"2"</f>
        <v>2</v>
      </c>
      <c r="F35" s="10" t="str">
        <f>"5"</f>
        <v>5</v>
      </c>
      <c r="G35" s="10" t="str">
        <f>"2"</f>
        <v>2</v>
      </c>
      <c r="H35" s="9">
        <v>-485003735.85000002</v>
      </c>
    </row>
    <row r="36" spans="1:8" ht="30" x14ac:dyDescent="0.25">
      <c r="A36" s="7">
        <v>45107</v>
      </c>
      <c r="B36" s="10">
        <v>36</v>
      </c>
      <c r="C36" s="10" t="str">
        <f t="shared" si="3"/>
        <v>1054</v>
      </c>
      <c r="D36" s="11" t="str">
        <f t="shared" si="4"/>
        <v>Резервы (провизии) по корреспондентским счетам в других банках и текущим счетам ипотечных организаций</v>
      </c>
      <c r="E36" s="10" t="str">
        <f>"2"</f>
        <v>2</v>
      </c>
      <c r="F36" s="10" t="str">
        <f>"4"</f>
        <v>4</v>
      </c>
      <c r="G36" s="10" t="str">
        <f>"3"</f>
        <v>3</v>
      </c>
      <c r="H36" s="9">
        <v>-4434090.53</v>
      </c>
    </row>
    <row r="37" spans="1:8" ht="30" x14ac:dyDescent="0.25">
      <c r="A37" s="7">
        <v>45107</v>
      </c>
      <c r="B37" s="10">
        <v>36</v>
      </c>
      <c r="C37" s="10" t="str">
        <f t="shared" si="3"/>
        <v>1054</v>
      </c>
      <c r="D37" s="11" t="str">
        <f t="shared" si="4"/>
        <v>Резервы (провизии) по корреспондентским счетам в других банках и текущим счетам ипотечных организаций</v>
      </c>
      <c r="E37" s="10" t="str">
        <f>"2"</f>
        <v>2</v>
      </c>
      <c r="F37" s="10" t="str">
        <f>"4"</f>
        <v>4</v>
      </c>
      <c r="G37" s="10" t="str">
        <f>"2"</f>
        <v>2</v>
      </c>
      <c r="H37" s="9">
        <v>-147604.73000000001</v>
      </c>
    </row>
    <row r="38" spans="1:8" ht="30" x14ac:dyDescent="0.25">
      <c r="A38" s="7">
        <v>45107</v>
      </c>
      <c r="B38" s="10">
        <v>36</v>
      </c>
      <c r="C38" s="10" t="str">
        <f t="shared" si="3"/>
        <v>1054</v>
      </c>
      <c r="D38" s="11" t="str">
        <f t="shared" si="4"/>
        <v>Резервы (провизии) по корреспондентским счетам в других банках и текущим счетам ипотечных организаций</v>
      </c>
      <c r="E38" s="10" t="str">
        <f>"2"</f>
        <v>2</v>
      </c>
      <c r="F38" s="10" t="str">
        <f>"5"</f>
        <v>5</v>
      </c>
      <c r="G38" s="10" t="str">
        <f>"3"</f>
        <v>3</v>
      </c>
      <c r="H38" s="9">
        <v>-56058165.299999997</v>
      </c>
    </row>
    <row r="39" spans="1:8" ht="30" x14ac:dyDescent="0.25">
      <c r="A39" s="7">
        <v>45107</v>
      </c>
      <c r="B39" s="10">
        <v>36</v>
      </c>
      <c r="C39" s="10" t="str">
        <f>"1055"</f>
        <v>1055</v>
      </c>
      <c r="D39" s="1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39" s="10" t="str">
        <f t="shared" ref="E39:E46" si="5">"1"</f>
        <v>1</v>
      </c>
      <c r="F39" s="10" t="str">
        <f>"3"</f>
        <v>3</v>
      </c>
      <c r="G39" s="10" t="str">
        <f>"1"</f>
        <v>1</v>
      </c>
      <c r="H39" s="9">
        <v>208897890.22</v>
      </c>
    </row>
    <row r="40" spans="1:8" ht="30" x14ac:dyDescent="0.25">
      <c r="A40" s="7">
        <v>45107</v>
      </c>
      <c r="B40" s="10">
        <v>36</v>
      </c>
      <c r="C40" s="10" t="str">
        <f>"1101"</f>
        <v>1101</v>
      </c>
      <c r="D40" s="1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0" s="10" t="str">
        <f t="shared" si="5"/>
        <v>1</v>
      </c>
      <c r="F40" s="10" t="str">
        <f>"3"</f>
        <v>3</v>
      </c>
      <c r="G40" s="10" t="str">
        <f>"1"</f>
        <v>1</v>
      </c>
      <c r="H40" s="9">
        <v>20000000000</v>
      </c>
    </row>
    <row r="41" spans="1:8" x14ac:dyDescent="0.25">
      <c r="A41" s="7">
        <v>45107</v>
      </c>
      <c r="B41" s="10">
        <v>36</v>
      </c>
      <c r="C41" s="10" t="str">
        <f>"1103"</f>
        <v>1103</v>
      </c>
      <c r="D41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1" s="10" t="str">
        <f t="shared" si="5"/>
        <v>1</v>
      </c>
      <c r="F41" s="10" t="str">
        <f>"3"</f>
        <v>3</v>
      </c>
      <c r="G41" s="10" t="str">
        <f>"1"</f>
        <v>1</v>
      </c>
      <c r="H41" s="9">
        <v>40000000000</v>
      </c>
    </row>
    <row r="42" spans="1:8" x14ac:dyDescent="0.25">
      <c r="A42" s="7">
        <v>45107</v>
      </c>
      <c r="B42" s="10">
        <v>36</v>
      </c>
      <c r="C42" s="10" t="str">
        <f>"1103"</f>
        <v>1103</v>
      </c>
      <c r="D42" s="1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10" t="str">
        <f t="shared" si="5"/>
        <v>1</v>
      </c>
      <c r="F42" s="10" t="str">
        <f>"3"</f>
        <v>3</v>
      </c>
      <c r="G42" s="10" t="str">
        <f>"2"</f>
        <v>2</v>
      </c>
      <c r="H42" s="9">
        <v>131227900000</v>
      </c>
    </row>
    <row r="43" spans="1:8" ht="30" x14ac:dyDescent="0.25">
      <c r="A43" s="7">
        <v>45107</v>
      </c>
      <c r="B43" s="10">
        <v>36</v>
      </c>
      <c r="C43" s="10" t="str">
        <f>"1201"</f>
        <v>1201</v>
      </c>
      <c r="D43" s="1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3" s="10" t="str">
        <f t="shared" si="5"/>
        <v>1</v>
      </c>
      <c r="F43" s="10" t="str">
        <f t="shared" ref="F43:G45" si="6">"1"</f>
        <v>1</v>
      </c>
      <c r="G43" s="10" t="str">
        <f t="shared" si="6"/>
        <v>1</v>
      </c>
      <c r="H43" s="9">
        <v>1000</v>
      </c>
    </row>
    <row r="44" spans="1:8" ht="30" x14ac:dyDescent="0.25">
      <c r="A44" s="7">
        <v>45107</v>
      </c>
      <c r="B44" s="10">
        <v>36</v>
      </c>
      <c r="C44" s="10" t="str">
        <f>"1205"</f>
        <v>1205</v>
      </c>
      <c r="D44" s="11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4" s="10" t="str">
        <f t="shared" si="5"/>
        <v>1</v>
      </c>
      <c r="F44" s="10" t="str">
        <f t="shared" si="6"/>
        <v>1</v>
      </c>
      <c r="G44" s="10" t="str">
        <f t="shared" si="6"/>
        <v>1</v>
      </c>
      <c r="H44" s="9">
        <v>-37.32</v>
      </c>
    </row>
    <row r="45" spans="1:8" ht="45" x14ac:dyDescent="0.25">
      <c r="A45" s="7">
        <v>45107</v>
      </c>
      <c r="B45" s="10">
        <v>36</v>
      </c>
      <c r="C45" s="10" t="str">
        <f>"1208"</f>
        <v>1208</v>
      </c>
      <c r="D45" s="1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E45" s="10" t="str">
        <f t="shared" si="5"/>
        <v>1</v>
      </c>
      <c r="F45" s="10" t="str">
        <f t="shared" si="6"/>
        <v>1</v>
      </c>
      <c r="G45" s="10" t="str">
        <f t="shared" si="6"/>
        <v>1</v>
      </c>
      <c r="H45" s="9">
        <v>31.66</v>
      </c>
    </row>
    <row r="46" spans="1:8" ht="30" x14ac:dyDescent="0.25">
      <c r="A46" s="7">
        <v>45107</v>
      </c>
      <c r="B46" s="10">
        <v>36</v>
      </c>
      <c r="C46" s="10" t="str">
        <f>"1253"</f>
        <v>1253</v>
      </c>
      <c r="D46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6" s="10" t="str">
        <f t="shared" si="5"/>
        <v>1</v>
      </c>
      <c r="F46" s="10" t="str">
        <f>"4"</f>
        <v>4</v>
      </c>
      <c r="G46" s="10" t="str">
        <f>"3"</f>
        <v>3</v>
      </c>
      <c r="H46" s="9">
        <v>1542000000</v>
      </c>
    </row>
    <row r="47" spans="1:8" ht="30" x14ac:dyDescent="0.25">
      <c r="A47" s="7">
        <v>45107</v>
      </c>
      <c r="B47" s="10">
        <v>36</v>
      </c>
      <c r="C47" s="10" t="str">
        <f>"1253"</f>
        <v>1253</v>
      </c>
      <c r="D47" s="1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7" s="10" t="str">
        <f>"2"</f>
        <v>2</v>
      </c>
      <c r="F47" s="10" t="str">
        <f>"4"</f>
        <v>4</v>
      </c>
      <c r="G47" s="10" t="str">
        <f>"2"</f>
        <v>2</v>
      </c>
      <c r="H47" s="9">
        <v>37728400000</v>
      </c>
    </row>
    <row r="48" spans="1:8" ht="30" x14ac:dyDescent="0.25">
      <c r="A48" s="7">
        <v>45107</v>
      </c>
      <c r="B48" s="10">
        <v>36</v>
      </c>
      <c r="C48" s="10" t="str">
        <f>"1254"</f>
        <v>1254</v>
      </c>
      <c r="D48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8" s="10" t="str">
        <f>"2"</f>
        <v>2</v>
      </c>
      <c r="F48" s="10" t="str">
        <f>"4"</f>
        <v>4</v>
      </c>
      <c r="G48" s="10" t="str">
        <f>"2"</f>
        <v>2</v>
      </c>
      <c r="H48" s="9">
        <v>13575300000</v>
      </c>
    </row>
    <row r="49" spans="1:8" ht="30" x14ac:dyDescent="0.25">
      <c r="A49" s="7">
        <v>45107</v>
      </c>
      <c r="B49" s="10">
        <v>36</v>
      </c>
      <c r="C49" s="10" t="str">
        <f>"1254"</f>
        <v>1254</v>
      </c>
      <c r="D49" s="1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9" s="10" t="str">
        <f>"1"</f>
        <v>1</v>
      </c>
      <c r="F49" s="10" t="str">
        <f>"4"</f>
        <v>4</v>
      </c>
      <c r="G49" s="10" t="str">
        <f>"1"</f>
        <v>1</v>
      </c>
      <c r="H49" s="9">
        <v>9900000000</v>
      </c>
    </row>
    <row r="50" spans="1:8" x14ac:dyDescent="0.25">
      <c r="A50" s="7">
        <v>45107</v>
      </c>
      <c r="B50" s="10">
        <v>36</v>
      </c>
      <c r="C50" s="10" t="str">
        <f>"1259"</f>
        <v>1259</v>
      </c>
      <c r="D50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10" t="str">
        <f>"2"</f>
        <v>2</v>
      </c>
      <c r="F50" s="10" t="str">
        <f>"5"</f>
        <v>5</v>
      </c>
      <c r="G50" s="10" t="str">
        <f>"2"</f>
        <v>2</v>
      </c>
      <c r="H50" s="9">
        <v>-4658599.5</v>
      </c>
    </row>
    <row r="51" spans="1:8" x14ac:dyDescent="0.25">
      <c r="A51" s="7">
        <v>45107</v>
      </c>
      <c r="B51" s="10">
        <v>36</v>
      </c>
      <c r="C51" s="10" t="str">
        <f>"1259"</f>
        <v>1259</v>
      </c>
      <c r="D51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1" s="10" t="str">
        <f>"2"</f>
        <v>2</v>
      </c>
      <c r="F51" s="10" t="str">
        <f>"4"</f>
        <v>4</v>
      </c>
      <c r="G51" s="10" t="str">
        <f>"2"</f>
        <v>2</v>
      </c>
      <c r="H51" s="9">
        <v>-1586030.01</v>
      </c>
    </row>
    <row r="52" spans="1:8" x14ac:dyDescent="0.25">
      <c r="A52" s="7">
        <v>45107</v>
      </c>
      <c r="B52" s="10">
        <v>36</v>
      </c>
      <c r="C52" s="10" t="str">
        <f>"1259"</f>
        <v>1259</v>
      </c>
      <c r="D52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2" s="10" t="str">
        <f>"1"</f>
        <v>1</v>
      </c>
      <c r="F52" s="10" t="str">
        <f>"5"</f>
        <v>5</v>
      </c>
      <c r="G52" s="10" t="str">
        <f>"2"</f>
        <v>2</v>
      </c>
      <c r="H52" s="9">
        <v>-30791613.109999999</v>
      </c>
    </row>
    <row r="53" spans="1:8" x14ac:dyDescent="0.25">
      <c r="A53" s="7">
        <v>45107</v>
      </c>
      <c r="B53" s="10">
        <v>36</v>
      </c>
      <c r="C53" s="10" t="str">
        <f>"1259"</f>
        <v>1259</v>
      </c>
      <c r="D53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3" s="10" t="str">
        <f>"1"</f>
        <v>1</v>
      </c>
      <c r="F53" s="10" t="str">
        <f>"5"</f>
        <v>5</v>
      </c>
      <c r="G53" s="10" t="str">
        <f>"1"</f>
        <v>1</v>
      </c>
      <c r="H53" s="9">
        <v>-98667.08</v>
      </c>
    </row>
    <row r="54" spans="1:8" x14ac:dyDescent="0.25">
      <c r="A54" s="7">
        <v>45107</v>
      </c>
      <c r="B54" s="10">
        <v>36</v>
      </c>
      <c r="C54" s="10" t="str">
        <f>"1259"</f>
        <v>1259</v>
      </c>
      <c r="D54" s="1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4" s="10" t="str">
        <f>"1"</f>
        <v>1</v>
      </c>
      <c r="F54" s="10" t="str">
        <f>"4"</f>
        <v>4</v>
      </c>
      <c r="G54" s="10" t="str">
        <f>"3"</f>
        <v>3</v>
      </c>
      <c r="H54" s="9">
        <v>-217833.05</v>
      </c>
    </row>
    <row r="55" spans="1:8" ht="45" x14ac:dyDescent="0.25">
      <c r="A55" s="7">
        <v>45107</v>
      </c>
      <c r="B55" s="10">
        <v>36</v>
      </c>
      <c r="C55" s="10" t="str">
        <f>"1264"</f>
        <v>1264</v>
      </c>
      <c r="D55" s="1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5" s="10" t="str">
        <f>"2"</f>
        <v>2</v>
      </c>
      <c r="F55" s="10" t="str">
        <f>"5"</f>
        <v>5</v>
      </c>
      <c r="G55" s="10" t="str">
        <f>"2"</f>
        <v>2</v>
      </c>
      <c r="H55" s="9">
        <v>15070874211.98</v>
      </c>
    </row>
    <row r="56" spans="1:8" ht="30" x14ac:dyDescent="0.25">
      <c r="A56" s="7">
        <v>45107</v>
      </c>
      <c r="B56" s="10">
        <v>36</v>
      </c>
      <c r="C56" s="10" t="str">
        <f>"1267"</f>
        <v>1267</v>
      </c>
      <c r="D56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6" s="10" t="str">
        <f>"1"</f>
        <v>1</v>
      </c>
      <c r="F56" s="10" t="str">
        <f>"5"</f>
        <v>5</v>
      </c>
      <c r="G56" s="10" t="str">
        <f>"1"</f>
        <v>1</v>
      </c>
      <c r="H56" s="9">
        <v>58000000</v>
      </c>
    </row>
    <row r="57" spans="1:8" ht="30" x14ac:dyDescent="0.25">
      <c r="A57" s="7">
        <v>45107</v>
      </c>
      <c r="B57" s="10">
        <v>36</v>
      </c>
      <c r="C57" s="10" t="str">
        <f>"1267"</f>
        <v>1267</v>
      </c>
      <c r="D57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7" s="10" t="str">
        <f>"1"</f>
        <v>1</v>
      </c>
      <c r="F57" s="10" t="str">
        <f>"5"</f>
        <v>5</v>
      </c>
      <c r="G57" s="10" t="str">
        <f>"2"</f>
        <v>2</v>
      </c>
      <c r="H57" s="9">
        <v>18100400000</v>
      </c>
    </row>
    <row r="58" spans="1:8" ht="30" x14ac:dyDescent="0.25">
      <c r="A58" s="7">
        <v>45107</v>
      </c>
      <c r="B58" s="10">
        <v>36</v>
      </c>
      <c r="C58" s="10" t="str">
        <f>"1267"</f>
        <v>1267</v>
      </c>
      <c r="D58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8" s="10" t="str">
        <f>"2"</f>
        <v>2</v>
      </c>
      <c r="F58" s="10" t="str">
        <f>"4"</f>
        <v>4</v>
      </c>
      <c r="G58" s="10" t="str">
        <f>"2"</f>
        <v>2</v>
      </c>
      <c r="H58" s="9">
        <v>401392600</v>
      </c>
    </row>
    <row r="59" spans="1:8" x14ac:dyDescent="0.25">
      <c r="A59" s="7">
        <v>45107</v>
      </c>
      <c r="B59" s="10">
        <v>36</v>
      </c>
      <c r="C59" s="10" t="str">
        <f>"1302"</f>
        <v>1302</v>
      </c>
      <c r="D59" s="11" t="str">
        <f>"Краткосрочные займы, предоставленные другим банкам"</f>
        <v>Краткосрочные займы, предоставленные другим банкам</v>
      </c>
      <c r="E59" s="10" t="str">
        <f>"2"</f>
        <v>2</v>
      </c>
      <c r="F59" s="10" t="str">
        <f>"4"</f>
        <v>4</v>
      </c>
      <c r="G59" s="10" t="str">
        <f>"2"</f>
        <v>2</v>
      </c>
      <c r="H59" s="9">
        <v>1010256856.88</v>
      </c>
    </row>
    <row r="60" spans="1:8" x14ac:dyDescent="0.25">
      <c r="A60" s="7">
        <v>45107</v>
      </c>
      <c r="B60" s="10">
        <v>36</v>
      </c>
      <c r="C60" s="10" t="str">
        <f>"1312"</f>
        <v>1312</v>
      </c>
      <c r="D60" s="11" t="str">
        <f>"Дисконт по займам, предоставленным другим банкам"</f>
        <v>Дисконт по займам, предоставленным другим банкам</v>
      </c>
      <c r="E60" s="10" t="str">
        <f>"2"</f>
        <v>2</v>
      </c>
      <c r="F60" s="10" t="str">
        <f>"4"</f>
        <v>4</v>
      </c>
      <c r="G60" s="10" t="str">
        <f>"2"</f>
        <v>2</v>
      </c>
      <c r="H60" s="9">
        <v>-6063122.6699999999</v>
      </c>
    </row>
    <row r="61" spans="1:8" ht="30" x14ac:dyDescent="0.25">
      <c r="A61" s="7">
        <v>45107</v>
      </c>
      <c r="B61" s="10">
        <v>36</v>
      </c>
      <c r="C61" s="10" t="str">
        <f>"1319"</f>
        <v>1319</v>
      </c>
      <c r="D61" s="1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1" s="10" t="str">
        <f>"2"</f>
        <v>2</v>
      </c>
      <c r="F61" s="10" t="str">
        <f>"4"</f>
        <v>4</v>
      </c>
      <c r="G61" s="10" t="str">
        <f>"2"</f>
        <v>2</v>
      </c>
      <c r="H61" s="9">
        <v>-3039278.89</v>
      </c>
    </row>
    <row r="62" spans="1:8" x14ac:dyDescent="0.25">
      <c r="A62" s="7">
        <v>45107</v>
      </c>
      <c r="B62" s="10">
        <v>36</v>
      </c>
      <c r="C62" s="10" t="str">
        <f>"1401"</f>
        <v>1401</v>
      </c>
      <c r="D62" s="11" t="str">
        <f>"Займы овердрафт, предоставленные клиентам"</f>
        <v>Займы овердрафт, предоставленные клиентам</v>
      </c>
      <c r="E62" s="10" t="str">
        <f t="shared" ref="E62:E71" si="7">"1"</f>
        <v>1</v>
      </c>
      <c r="F62" s="10" t="str">
        <f>"7"</f>
        <v>7</v>
      </c>
      <c r="G62" s="10" t="str">
        <f>"1"</f>
        <v>1</v>
      </c>
      <c r="H62" s="9">
        <v>2189405112.0500002</v>
      </c>
    </row>
    <row r="63" spans="1:8" x14ac:dyDescent="0.25">
      <c r="A63" s="7">
        <v>45107</v>
      </c>
      <c r="B63" s="10">
        <v>36</v>
      </c>
      <c r="C63" s="10" t="str">
        <f>"1401"</f>
        <v>1401</v>
      </c>
      <c r="D63" s="11" t="str">
        <f>"Займы овердрафт, предоставленные клиентам"</f>
        <v>Займы овердрафт, предоставленные клиентам</v>
      </c>
      <c r="E63" s="10" t="str">
        <f t="shared" si="7"/>
        <v>1</v>
      </c>
      <c r="F63" s="10" t="str">
        <f>"9"</f>
        <v>9</v>
      </c>
      <c r="G63" s="10" t="str">
        <f>"1"</f>
        <v>1</v>
      </c>
      <c r="H63" s="9">
        <v>66200000</v>
      </c>
    </row>
    <row r="64" spans="1:8" x14ac:dyDescent="0.25">
      <c r="A64" s="7">
        <v>45107</v>
      </c>
      <c r="B64" s="10">
        <v>36</v>
      </c>
      <c r="C64" s="10" t="str">
        <f>"1401"</f>
        <v>1401</v>
      </c>
      <c r="D64" s="11" t="str">
        <f>"Займы овердрафт, предоставленные клиентам"</f>
        <v>Займы овердрафт, предоставленные клиентам</v>
      </c>
      <c r="E64" s="10" t="str">
        <f t="shared" si="7"/>
        <v>1</v>
      </c>
      <c r="F64" s="10" t="str">
        <f>"6"</f>
        <v>6</v>
      </c>
      <c r="G64" s="10" t="str">
        <f>"1"</f>
        <v>1</v>
      </c>
      <c r="H64" s="9">
        <v>95000000</v>
      </c>
    </row>
    <row r="65" spans="1:8" x14ac:dyDescent="0.25">
      <c r="A65" s="7">
        <v>45107</v>
      </c>
      <c r="B65" s="10">
        <v>36</v>
      </c>
      <c r="C65" s="10" t="str">
        <f>"1403"</f>
        <v>1403</v>
      </c>
      <c r="D65" s="11" t="str">
        <f>"Счета по кредитным карточкам клиентов"</f>
        <v>Счета по кредитным карточкам клиентов</v>
      </c>
      <c r="E65" s="10" t="str">
        <f t="shared" si="7"/>
        <v>1</v>
      </c>
      <c r="F65" s="10" t="str">
        <f>"9"</f>
        <v>9</v>
      </c>
      <c r="G65" s="10" t="str">
        <f>"1"</f>
        <v>1</v>
      </c>
      <c r="H65" s="9">
        <v>1124780576.3699999</v>
      </c>
    </row>
    <row r="66" spans="1:8" x14ac:dyDescent="0.25">
      <c r="A66" s="7">
        <v>45107</v>
      </c>
      <c r="B66" s="10">
        <v>36</v>
      </c>
      <c r="C66" s="10" t="str">
        <f>"1403"</f>
        <v>1403</v>
      </c>
      <c r="D66" s="11" t="str">
        <f>"Счета по кредитным карточкам клиентов"</f>
        <v>Счета по кредитным карточкам клиентов</v>
      </c>
      <c r="E66" s="10" t="str">
        <f t="shared" si="7"/>
        <v>1</v>
      </c>
      <c r="F66" s="10" t="str">
        <f>"7"</f>
        <v>7</v>
      </c>
      <c r="G66" s="10" t="str">
        <f>"1"</f>
        <v>1</v>
      </c>
      <c r="H66" s="9">
        <v>81.31</v>
      </c>
    </row>
    <row r="67" spans="1:8" x14ac:dyDescent="0.25">
      <c r="A67" s="7">
        <v>45107</v>
      </c>
      <c r="B67" s="10">
        <v>36</v>
      </c>
      <c r="C67" s="10" t="str">
        <f>"1403"</f>
        <v>1403</v>
      </c>
      <c r="D67" s="11" t="str">
        <f>"Счета по кредитным карточкам клиентов"</f>
        <v>Счета по кредитным карточкам клиентов</v>
      </c>
      <c r="E67" s="10" t="str">
        <f t="shared" si="7"/>
        <v>1</v>
      </c>
      <c r="F67" s="10" t="str">
        <f>"9"</f>
        <v>9</v>
      </c>
      <c r="G67" s="10" t="str">
        <f>"2"</f>
        <v>2</v>
      </c>
      <c r="H67" s="9">
        <v>314625.68</v>
      </c>
    </row>
    <row r="68" spans="1:8" x14ac:dyDescent="0.25">
      <c r="A68" s="7">
        <v>45107</v>
      </c>
      <c r="B68" s="10">
        <v>36</v>
      </c>
      <c r="C68" s="10" t="str">
        <f>"1411"</f>
        <v>1411</v>
      </c>
      <c r="D68" s="11" t="str">
        <f>"Краткосрочные займы, предоставленные клиентам"</f>
        <v>Краткосрочные займы, предоставленные клиентам</v>
      </c>
      <c r="E68" s="10" t="str">
        <f t="shared" si="7"/>
        <v>1</v>
      </c>
      <c r="F68" s="10" t="str">
        <f>"5"</f>
        <v>5</v>
      </c>
      <c r="G68" s="10" t="str">
        <f>"1"</f>
        <v>1</v>
      </c>
      <c r="H68" s="9">
        <v>10479692460.93</v>
      </c>
    </row>
    <row r="69" spans="1:8" x14ac:dyDescent="0.25">
      <c r="A69" s="7">
        <v>45107</v>
      </c>
      <c r="B69" s="10">
        <v>36</v>
      </c>
      <c r="C69" s="10" t="str">
        <f>"1411"</f>
        <v>1411</v>
      </c>
      <c r="D69" s="11" t="str">
        <f>"Краткосрочные займы, предоставленные клиентам"</f>
        <v>Краткосрочные займы, предоставленные клиентам</v>
      </c>
      <c r="E69" s="10" t="str">
        <f t="shared" si="7"/>
        <v>1</v>
      </c>
      <c r="F69" s="10" t="str">
        <f>"9"</f>
        <v>9</v>
      </c>
      <c r="G69" s="10" t="str">
        <f>"1"</f>
        <v>1</v>
      </c>
      <c r="H69" s="9">
        <v>32622019114.869999</v>
      </c>
    </row>
    <row r="70" spans="1:8" x14ac:dyDescent="0.25">
      <c r="A70" s="7">
        <v>45107</v>
      </c>
      <c r="B70" s="10">
        <v>36</v>
      </c>
      <c r="C70" s="10" t="str">
        <f>"1411"</f>
        <v>1411</v>
      </c>
      <c r="D70" s="11" t="str">
        <f>"Краткосрочные займы, предоставленные клиентам"</f>
        <v>Краткосрочные займы, предоставленные клиентам</v>
      </c>
      <c r="E70" s="10" t="str">
        <f t="shared" si="7"/>
        <v>1</v>
      </c>
      <c r="F70" s="10" t="str">
        <f>"7"</f>
        <v>7</v>
      </c>
      <c r="G70" s="10" t="str">
        <f>"2"</f>
        <v>2</v>
      </c>
      <c r="H70" s="9">
        <v>25335506970.16</v>
      </c>
    </row>
    <row r="71" spans="1:8" x14ac:dyDescent="0.25">
      <c r="A71" s="7">
        <v>45107</v>
      </c>
      <c r="B71" s="10">
        <v>36</v>
      </c>
      <c r="C71" s="10" t="str">
        <f>"1411"</f>
        <v>1411</v>
      </c>
      <c r="D71" s="11" t="str">
        <f>"Краткосрочные займы, предоставленные клиентам"</f>
        <v>Краткосрочные займы, предоставленные клиентам</v>
      </c>
      <c r="E71" s="10" t="str">
        <f t="shared" si="7"/>
        <v>1</v>
      </c>
      <c r="F71" s="10" t="str">
        <f>"7"</f>
        <v>7</v>
      </c>
      <c r="G71" s="10" t="str">
        <f>"1"</f>
        <v>1</v>
      </c>
      <c r="H71" s="9">
        <v>82594977859.699997</v>
      </c>
    </row>
    <row r="72" spans="1:8" x14ac:dyDescent="0.25">
      <c r="A72" s="7">
        <v>45107</v>
      </c>
      <c r="B72" s="10">
        <v>36</v>
      </c>
      <c r="C72" s="10" t="str">
        <f>"1411"</f>
        <v>1411</v>
      </c>
      <c r="D72" s="11" t="str">
        <f>"Краткосрочные займы, предоставленные клиентам"</f>
        <v>Краткосрочные займы, предоставленные клиентам</v>
      </c>
      <c r="E72" s="10" t="str">
        <f>"2"</f>
        <v>2</v>
      </c>
      <c r="F72" s="10" t="str">
        <f>"9"</f>
        <v>9</v>
      </c>
      <c r="G72" s="10" t="str">
        <f>"1"</f>
        <v>1</v>
      </c>
      <c r="H72" s="9">
        <v>762386.41</v>
      </c>
    </row>
    <row r="73" spans="1:8" x14ac:dyDescent="0.25">
      <c r="A73" s="7">
        <v>45107</v>
      </c>
      <c r="B73" s="10">
        <v>36</v>
      </c>
      <c r="C73" s="10" t="str">
        <f t="shared" ref="C73:C80" si="8">"1417"</f>
        <v>1417</v>
      </c>
      <c r="D73" s="11" t="str">
        <f t="shared" ref="D73:D80" si="9">"Долгосрочные займы, предоставленные клиентам"</f>
        <v>Долгосрочные займы, предоставленные клиентам</v>
      </c>
      <c r="E73" s="10" t="str">
        <f>"1"</f>
        <v>1</v>
      </c>
      <c r="F73" s="10" t="str">
        <f>"7"</f>
        <v>7</v>
      </c>
      <c r="G73" s="10" t="str">
        <f>"2"</f>
        <v>2</v>
      </c>
      <c r="H73" s="9">
        <v>63183768656.970001</v>
      </c>
    </row>
    <row r="74" spans="1:8" x14ac:dyDescent="0.25">
      <c r="A74" s="7">
        <v>45107</v>
      </c>
      <c r="B74" s="10">
        <v>36</v>
      </c>
      <c r="C74" s="10" t="str">
        <f t="shared" si="8"/>
        <v>1417</v>
      </c>
      <c r="D74" s="11" t="str">
        <f t="shared" si="9"/>
        <v>Долгосрочные займы, предоставленные клиентам</v>
      </c>
      <c r="E74" s="10" t="str">
        <f>"1"</f>
        <v>1</v>
      </c>
      <c r="F74" s="10" t="str">
        <f>"8"</f>
        <v>8</v>
      </c>
      <c r="G74" s="10" t="str">
        <f>"1"</f>
        <v>1</v>
      </c>
      <c r="H74" s="9">
        <v>504273883.69</v>
      </c>
    </row>
    <row r="75" spans="1:8" x14ac:dyDescent="0.25">
      <c r="A75" s="7">
        <v>45107</v>
      </c>
      <c r="B75" s="10">
        <v>36</v>
      </c>
      <c r="C75" s="10" t="str">
        <f t="shared" si="8"/>
        <v>1417</v>
      </c>
      <c r="D75" s="11" t="str">
        <f t="shared" si="9"/>
        <v>Долгосрочные займы, предоставленные клиентам</v>
      </c>
      <c r="E75" s="10" t="str">
        <f>"2"</f>
        <v>2</v>
      </c>
      <c r="F75" s="10" t="str">
        <f>"9"</f>
        <v>9</v>
      </c>
      <c r="G75" s="10" t="str">
        <f>"1"</f>
        <v>1</v>
      </c>
      <c r="H75" s="9">
        <v>20544550.010000002</v>
      </c>
    </row>
    <row r="76" spans="1:8" x14ac:dyDescent="0.25">
      <c r="A76" s="7">
        <v>45107</v>
      </c>
      <c r="B76" s="10">
        <v>36</v>
      </c>
      <c r="C76" s="10" t="str">
        <f t="shared" si="8"/>
        <v>1417</v>
      </c>
      <c r="D76" s="11" t="str">
        <f t="shared" si="9"/>
        <v>Долгосрочные займы, предоставленные клиентам</v>
      </c>
      <c r="E76" s="10" t="str">
        <f t="shared" ref="E76:E86" si="10">"1"</f>
        <v>1</v>
      </c>
      <c r="F76" s="10" t="str">
        <f>"5"</f>
        <v>5</v>
      </c>
      <c r="G76" s="10" t="str">
        <f>"1"</f>
        <v>1</v>
      </c>
      <c r="H76" s="9">
        <v>34700049332.339996</v>
      </c>
    </row>
    <row r="77" spans="1:8" x14ac:dyDescent="0.25">
      <c r="A77" s="7">
        <v>45107</v>
      </c>
      <c r="B77" s="10">
        <v>36</v>
      </c>
      <c r="C77" s="10" t="str">
        <f t="shared" si="8"/>
        <v>1417</v>
      </c>
      <c r="D77" s="11" t="str">
        <f t="shared" si="9"/>
        <v>Долгосрочные займы, предоставленные клиентам</v>
      </c>
      <c r="E77" s="10" t="str">
        <f t="shared" si="10"/>
        <v>1</v>
      </c>
      <c r="F77" s="10" t="str">
        <f>"9"</f>
        <v>9</v>
      </c>
      <c r="G77" s="10" t="str">
        <f>"2"</f>
        <v>2</v>
      </c>
      <c r="H77" s="9">
        <v>1038380860.1799999</v>
      </c>
    </row>
    <row r="78" spans="1:8" x14ac:dyDescent="0.25">
      <c r="A78" s="7">
        <v>45107</v>
      </c>
      <c r="B78" s="10">
        <v>36</v>
      </c>
      <c r="C78" s="10" t="str">
        <f t="shared" si="8"/>
        <v>1417</v>
      </c>
      <c r="D78" s="11" t="str">
        <f t="shared" si="9"/>
        <v>Долгосрочные займы, предоставленные клиентам</v>
      </c>
      <c r="E78" s="10" t="str">
        <f t="shared" si="10"/>
        <v>1</v>
      </c>
      <c r="F78" s="10" t="str">
        <f>"7"</f>
        <v>7</v>
      </c>
      <c r="G78" s="10" t="str">
        <f t="shared" ref="G78:G83" si="11">"1"</f>
        <v>1</v>
      </c>
      <c r="H78" s="9">
        <v>280300550005.34998</v>
      </c>
    </row>
    <row r="79" spans="1:8" x14ac:dyDescent="0.25">
      <c r="A79" s="7">
        <v>45107</v>
      </c>
      <c r="B79" s="10">
        <v>36</v>
      </c>
      <c r="C79" s="10" t="str">
        <f t="shared" si="8"/>
        <v>1417</v>
      </c>
      <c r="D79" s="11" t="str">
        <f t="shared" si="9"/>
        <v>Долгосрочные займы, предоставленные клиентам</v>
      </c>
      <c r="E79" s="10" t="str">
        <f t="shared" si="10"/>
        <v>1</v>
      </c>
      <c r="F79" s="10" t="str">
        <f>"6"</f>
        <v>6</v>
      </c>
      <c r="G79" s="10" t="str">
        <f t="shared" si="11"/>
        <v>1</v>
      </c>
      <c r="H79" s="9">
        <v>13904216435.16</v>
      </c>
    </row>
    <row r="80" spans="1:8" x14ac:dyDescent="0.25">
      <c r="A80" s="7">
        <v>45107</v>
      </c>
      <c r="B80" s="10">
        <v>36</v>
      </c>
      <c r="C80" s="10" t="str">
        <f t="shared" si="8"/>
        <v>1417</v>
      </c>
      <c r="D80" s="11" t="str">
        <f t="shared" si="9"/>
        <v>Долгосрочные займы, предоставленные клиентам</v>
      </c>
      <c r="E80" s="10" t="str">
        <f t="shared" si="10"/>
        <v>1</v>
      </c>
      <c r="F80" s="10" t="str">
        <f>"9"</f>
        <v>9</v>
      </c>
      <c r="G80" s="10" t="str">
        <f t="shared" si="11"/>
        <v>1</v>
      </c>
      <c r="H80" s="9">
        <v>436319186710.08002</v>
      </c>
    </row>
    <row r="81" spans="1:8" x14ac:dyDescent="0.25">
      <c r="A81" s="7">
        <v>45107</v>
      </c>
      <c r="B81" s="10">
        <v>36</v>
      </c>
      <c r="C81" s="10" t="str">
        <f>"1421"</f>
        <v>1421</v>
      </c>
      <c r="D81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1" s="10" t="str">
        <f t="shared" si="10"/>
        <v>1</v>
      </c>
      <c r="F81" s="10" t="str">
        <f>"7"</f>
        <v>7</v>
      </c>
      <c r="G81" s="10" t="str">
        <f t="shared" si="11"/>
        <v>1</v>
      </c>
      <c r="H81" s="9">
        <v>20472721.510000002</v>
      </c>
    </row>
    <row r="82" spans="1:8" x14ac:dyDescent="0.25">
      <c r="A82" s="7">
        <v>45107</v>
      </c>
      <c r="B82" s="10">
        <v>36</v>
      </c>
      <c r="C82" s="10" t="str">
        <f>"1421"</f>
        <v>1421</v>
      </c>
      <c r="D82" s="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2" s="10" t="str">
        <f t="shared" si="10"/>
        <v>1</v>
      </c>
      <c r="F82" s="10" t="str">
        <f>"9"</f>
        <v>9</v>
      </c>
      <c r="G82" s="10" t="str">
        <f t="shared" si="11"/>
        <v>1</v>
      </c>
      <c r="H82" s="9">
        <v>11787019.189999999</v>
      </c>
    </row>
    <row r="83" spans="1:8" x14ac:dyDescent="0.25">
      <c r="A83" s="7">
        <v>45107</v>
      </c>
      <c r="B83" s="10">
        <v>36</v>
      </c>
      <c r="C83" s="10" t="str">
        <f>"1422"</f>
        <v>1422</v>
      </c>
      <c r="D83" s="11" t="str">
        <f>"Форфейтинг клиентам"</f>
        <v>Форфейтинг клиентам</v>
      </c>
      <c r="E83" s="10" t="str">
        <f t="shared" si="10"/>
        <v>1</v>
      </c>
      <c r="F83" s="10" t="str">
        <f>"1"</f>
        <v>1</v>
      </c>
      <c r="G83" s="10" t="str">
        <f t="shared" si="11"/>
        <v>1</v>
      </c>
      <c r="H83" s="9">
        <v>81451800000</v>
      </c>
    </row>
    <row r="84" spans="1:8" x14ac:dyDescent="0.25">
      <c r="A84" s="7">
        <v>45107</v>
      </c>
      <c r="B84" s="10">
        <v>36</v>
      </c>
      <c r="C84" s="10" t="str">
        <f>"1422"</f>
        <v>1422</v>
      </c>
      <c r="D84" s="11" t="str">
        <f>"Форфейтинг клиентам"</f>
        <v>Форфейтинг клиентам</v>
      </c>
      <c r="E84" s="10" t="str">
        <f t="shared" si="10"/>
        <v>1</v>
      </c>
      <c r="F84" s="10" t="str">
        <f>"1"</f>
        <v>1</v>
      </c>
      <c r="G84" s="10" t="str">
        <f>"2"</f>
        <v>2</v>
      </c>
      <c r="H84" s="9">
        <v>24888050000</v>
      </c>
    </row>
    <row r="85" spans="1:8" x14ac:dyDescent="0.25">
      <c r="A85" s="7">
        <v>45107</v>
      </c>
      <c r="B85" s="10">
        <v>36</v>
      </c>
      <c r="C85" s="10" t="str">
        <f t="shared" ref="C85:C92" si="12">"1424"</f>
        <v>1424</v>
      </c>
      <c r="D85" s="11" t="str">
        <f t="shared" ref="D85:D92" si="13">"Просроченная задолженность клиентов по займам"</f>
        <v>Просроченная задолженность клиентов по займам</v>
      </c>
      <c r="E85" s="10" t="str">
        <f t="shared" si="10"/>
        <v>1</v>
      </c>
      <c r="F85" s="10" t="str">
        <f>"7"</f>
        <v>7</v>
      </c>
      <c r="G85" s="10" t="str">
        <f>"1"</f>
        <v>1</v>
      </c>
      <c r="H85" s="9">
        <v>79147157720.259995</v>
      </c>
    </row>
    <row r="86" spans="1:8" x14ac:dyDescent="0.25">
      <c r="A86" s="7">
        <v>45107</v>
      </c>
      <c r="B86" s="10">
        <v>36</v>
      </c>
      <c r="C86" s="10" t="str">
        <f t="shared" si="12"/>
        <v>1424</v>
      </c>
      <c r="D86" s="11" t="str">
        <f t="shared" si="13"/>
        <v>Просроченная задолженность клиентов по займам</v>
      </c>
      <c r="E86" s="10" t="str">
        <f t="shared" si="10"/>
        <v>1</v>
      </c>
      <c r="F86" s="10" t="str">
        <f>"7"</f>
        <v>7</v>
      </c>
      <c r="G86" s="10" t="str">
        <f>"2"</f>
        <v>2</v>
      </c>
      <c r="H86" s="9">
        <v>1082415624.5</v>
      </c>
    </row>
    <row r="87" spans="1:8" x14ac:dyDescent="0.25">
      <c r="A87" s="7">
        <v>45107</v>
      </c>
      <c r="B87" s="10">
        <v>36</v>
      </c>
      <c r="C87" s="10" t="str">
        <f t="shared" si="12"/>
        <v>1424</v>
      </c>
      <c r="D87" s="11" t="str">
        <f t="shared" si="13"/>
        <v>Просроченная задолженность клиентов по займам</v>
      </c>
      <c r="E87" s="10" t="str">
        <f>"2"</f>
        <v>2</v>
      </c>
      <c r="F87" s="10" t="str">
        <f>"9"</f>
        <v>9</v>
      </c>
      <c r="G87" s="10" t="str">
        <f>"1"</f>
        <v>1</v>
      </c>
      <c r="H87" s="9">
        <v>65692776.060000002</v>
      </c>
    </row>
    <row r="88" spans="1:8" x14ac:dyDescent="0.25">
      <c r="A88" s="7">
        <v>45107</v>
      </c>
      <c r="B88" s="10">
        <v>36</v>
      </c>
      <c r="C88" s="10" t="str">
        <f t="shared" si="12"/>
        <v>1424</v>
      </c>
      <c r="D88" s="11" t="str">
        <f t="shared" si="13"/>
        <v>Просроченная задолженность клиентов по займам</v>
      </c>
      <c r="E88" s="10" t="str">
        <f>"1"</f>
        <v>1</v>
      </c>
      <c r="F88" s="10" t="str">
        <f>"6"</f>
        <v>6</v>
      </c>
      <c r="G88" s="10" t="str">
        <f>"1"</f>
        <v>1</v>
      </c>
      <c r="H88" s="9">
        <v>19521730.210000001</v>
      </c>
    </row>
    <row r="89" spans="1:8" x14ac:dyDescent="0.25">
      <c r="A89" s="7">
        <v>45107</v>
      </c>
      <c r="B89" s="10">
        <v>36</v>
      </c>
      <c r="C89" s="10" t="str">
        <f t="shared" si="12"/>
        <v>1424</v>
      </c>
      <c r="D89" s="11" t="str">
        <f t="shared" si="13"/>
        <v>Просроченная задолженность клиентов по займам</v>
      </c>
      <c r="E89" s="10" t="str">
        <f>"1"</f>
        <v>1</v>
      </c>
      <c r="F89" s="10" t="str">
        <f>"9"</f>
        <v>9</v>
      </c>
      <c r="G89" s="10" t="str">
        <f>"1"</f>
        <v>1</v>
      </c>
      <c r="H89" s="9">
        <v>44198874295.150002</v>
      </c>
    </row>
    <row r="90" spans="1:8" x14ac:dyDescent="0.25">
      <c r="A90" s="7">
        <v>45107</v>
      </c>
      <c r="B90" s="10">
        <v>36</v>
      </c>
      <c r="C90" s="10" t="str">
        <f t="shared" si="12"/>
        <v>1424</v>
      </c>
      <c r="D90" s="11" t="str">
        <f t="shared" si="13"/>
        <v>Просроченная задолженность клиентов по займам</v>
      </c>
      <c r="E90" s="10" t="str">
        <f>"2"</f>
        <v>2</v>
      </c>
      <c r="F90" s="10" t="str">
        <f>"9"</f>
        <v>9</v>
      </c>
      <c r="G90" s="10" t="str">
        <f>"2"</f>
        <v>2</v>
      </c>
      <c r="H90" s="9">
        <v>660203.5</v>
      </c>
    </row>
    <row r="91" spans="1:8" x14ac:dyDescent="0.25">
      <c r="A91" s="7">
        <v>45107</v>
      </c>
      <c r="B91" s="10">
        <v>36</v>
      </c>
      <c r="C91" s="10" t="str">
        <f t="shared" si="12"/>
        <v>1424</v>
      </c>
      <c r="D91" s="11" t="str">
        <f t="shared" si="13"/>
        <v>Просроченная задолженность клиентов по займам</v>
      </c>
      <c r="E91" s="10" t="str">
        <f>"1"</f>
        <v>1</v>
      </c>
      <c r="F91" s="10" t="str">
        <f>"5"</f>
        <v>5</v>
      </c>
      <c r="G91" s="10" t="str">
        <f>"1"</f>
        <v>1</v>
      </c>
      <c r="H91" s="9">
        <v>495135459.06</v>
      </c>
    </row>
    <row r="92" spans="1:8" x14ac:dyDescent="0.25">
      <c r="A92" s="7">
        <v>45107</v>
      </c>
      <c r="B92" s="10">
        <v>36</v>
      </c>
      <c r="C92" s="10" t="str">
        <f t="shared" si="12"/>
        <v>1424</v>
      </c>
      <c r="D92" s="11" t="str">
        <f t="shared" si="13"/>
        <v>Просроченная задолженность клиентов по займам</v>
      </c>
      <c r="E92" s="10" t="str">
        <f>"1"</f>
        <v>1</v>
      </c>
      <c r="F92" s="10" t="str">
        <f>"9"</f>
        <v>9</v>
      </c>
      <c r="G92" s="10" t="str">
        <f>"2"</f>
        <v>2</v>
      </c>
      <c r="H92" s="9">
        <v>223836335.63999999</v>
      </c>
    </row>
    <row r="93" spans="1:8" ht="30" x14ac:dyDescent="0.25">
      <c r="A93" s="7">
        <v>45107</v>
      </c>
      <c r="B93" s="10">
        <v>36</v>
      </c>
      <c r="C93" s="10" t="str">
        <f t="shared" ref="C93:C101" si="14">"1428"</f>
        <v>1428</v>
      </c>
      <c r="D93" s="11" t="str">
        <f t="shared" ref="D93:D101" si="15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93" s="10" t="str">
        <f>"1"</f>
        <v>1</v>
      </c>
      <c r="F93" s="10" t="str">
        <f>"9"</f>
        <v>9</v>
      </c>
      <c r="G93" s="10" t="str">
        <f>"2"</f>
        <v>2</v>
      </c>
      <c r="H93" s="9">
        <v>-269056323.36000001</v>
      </c>
    </row>
    <row r="94" spans="1:8" ht="30" x14ac:dyDescent="0.25">
      <c r="A94" s="7">
        <v>45107</v>
      </c>
      <c r="B94" s="10">
        <v>36</v>
      </c>
      <c r="C94" s="10" t="str">
        <f t="shared" si="14"/>
        <v>1428</v>
      </c>
      <c r="D94" s="11" t="str">
        <f t="shared" si="15"/>
        <v>Резервы (провизии) по займам и финансовому лизингу, предоставленным клиентам</v>
      </c>
      <c r="E94" s="10" t="str">
        <f>"2"</f>
        <v>2</v>
      </c>
      <c r="F94" s="10" t="str">
        <f>"9"</f>
        <v>9</v>
      </c>
      <c r="G94" s="10" t="str">
        <f>"2"</f>
        <v>2</v>
      </c>
      <c r="H94" s="9">
        <v>-526711.32999999996</v>
      </c>
    </row>
    <row r="95" spans="1:8" ht="30" x14ac:dyDescent="0.25">
      <c r="A95" s="7">
        <v>45107</v>
      </c>
      <c r="B95" s="10">
        <v>36</v>
      </c>
      <c r="C95" s="10" t="str">
        <f t="shared" si="14"/>
        <v>1428</v>
      </c>
      <c r="D95" s="11" t="str">
        <f t="shared" si="15"/>
        <v>Резервы (провизии) по займам и финансовому лизингу, предоставленным клиентам</v>
      </c>
      <c r="E95" s="10" t="str">
        <f>"1"</f>
        <v>1</v>
      </c>
      <c r="F95" s="10" t="str">
        <f>"6"</f>
        <v>6</v>
      </c>
      <c r="G95" s="10" t="str">
        <f>"1"</f>
        <v>1</v>
      </c>
      <c r="H95" s="9">
        <v>-14593791.609999999</v>
      </c>
    </row>
    <row r="96" spans="1:8" ht="30" x14ac:dyDescent="0.25">
      <c r="A96" s="7">
        <v>45107</v>
      </c>
      <c r="B96" s="10">
        <v>36</v>
      </c>
      <c r="C96" s="10" t="str">
        <f t="shared" si="14"/>
        <v>1428</v>
      </c>
      <c r="D96" s="11" t="str">
        <f t="shared" si="15"/>
        <v>Резервы (провизии) по займам и финансовому лизингу, предоставленным клиентам</v>
      </c>
      <c r="E96" s="10" t="str">
        <f>"2"</f>
        <v>2</v>
      </c>
      <c r="F96" s="10" t="str">
        <f>"9"</f>
        <v>9</v>
      </c>
      <c r="G96" s="10" t="str">
        <f>"1"</f>
        <v>1</v>
      </c>
      <c r="H96" s="9">
        <v>-61975221.859999999</v>
      </c>
    </row>
    <row r="97" spans="1:8" ht="30" x14ac:dyDescent="0.25">
      <c r="A97" s="7">
        <v>45107</v>
      </c>
      <c r="B97" s="10">
        <v>36</v>
      </c>
      <c r="C97" s="10" t="str">
        <f t="shared" si="14"/>
        <v>1428</v>
      </c>
      <c r="D97" s="11" t="str">
        <f t="shared" si="15"/>
        <v>Резервы (провизии) по займам и финансовому лизингу, предоставленным клиентам</v>
      </c>
      <c r="E97" s="10" t="str">
        <f t="shared" ref="E97:E106" si="16">"1"</f>
        <v>1</v>
      </c>
      <c r="F97" s="10" t="str">
        <f>"9"</f>
        <v>9</v>
      </c>
      <c r="G97" s="10" t="str">
        <f>"1"</f>
        <v>1</v>
      </c>
      <c r="H97" s="9">
        <v>-44937348143.650002</v>
      </c>
    </row>
    <row r="98" spans="1:8" ht="30" x14ac:dyDescent="0.25">
      <c r="A98" s="7">
        <v>45107</v>
      </c>
      <c r="B98" s="10">
        <v>36</v>
      </c>
      <c r="C98" s="10" t="str">
        <f t="shared" si="14"/>
        <v>1428</v>
      </c>
      <c r="D98" s="11" t="str">
        <f t="shared" si="15"/>
        <v>Резервы (провизии) по займам и финансовому лизингу, предоставленным клиентам</v>
      </c>
      <c r="E98" s="10" t="str">
        <f t="shared" si="16"/>
        <v>1</v>
      </c>
      <c r="F98" s="10" t="str">
        <f>"7"</f>
        <v>7</v>
      </c>
      <c r="G98" s="10" t="str">
        <f>"1"</f>
        <v>1</v>
      </c>
      <c r="H98" s="9">
        <v>-155601912429.34</v>
      </c>
    </row>
    <row r="99" spans="1:8" ht="30" x14ac:dyDescent="0.25">
      <c r="A99" s="7">
        <v>45107</v>
      </c>
      <c r="B99" s="10">
        <v>36</v>
      </c>
      <c r="C99" s="10" t="str">
        <f t="shared" si="14"/>
        <v>1428</v>
      </c>
      <c r="D99" s="11" t="str">
        <f t="shared" si="15"/>
        <v>Резервы (провизии) по займам и финансовому лизингу, предоставленным клиентам</v>
      </c>
      <c r="E99" s="10" t="str">
        <f t="shared" si="16"/>
        <v>1</v>
      </c>
      <c r="F99" s="10" t="str">
        <f>"7"</f>
        <v>7</v>
      </c>
      <c r="G99" s="10" t="str">
        <f>"2"</f>
        <v>2</v>
      </c>
      <c r="H99" s="9">
        <v>-65005913297.519997</v>
      </c>
    </row>
    <row r="100" spans="1:8" ht="30" x14ac:dyDescent="0.25">
      <c r="A100" s="7">
        <v>45107</v>
      </c>
      <c r="B100" s="10">
        <v>36</v>
      </c>
      <c r="C100" s="10" t="str">
        <f t="shared" si="14"/>
        <v>1428</v>
      </c>
      <c r="D100" s="11" t="str">
        <f t="shared" si="15"/>
        <v>Резервы (провизии) по займам и финансовому лизингу, предоставленным клиентам</v>
      </c>
      <c r="E100" s="10" t="str">
        <f t="shared" si="16"/>
        <v>1</v>
      </c>
      <c r="F100" s="10" t="str">
        <f>"8"</f>
        <v>8</v>
      </c>
      <c r="G100" s="10" t="str">
        <f>"1"</f>
        <v>1</v>
      </c>
      <c r="H100" s="9">
        <v>-9022830.75</v>
      </c>
    </row>
    <row r="101" spans="1:8" ht="30" x14ac:dyDescent="0.25">
      <c r="A101" s="7">
        <v>45107</v>
      </c>
      <c r="B101" s="10">
        <v>36</v>
      </c>
      <c r="C101" s="10" t="str">
        <f t="shared" si="14"/>
        <v>1428</v>
      </c>
      <c r="D101" s="11" t="str">
        <f t="shared" si="15"/>
        <v>Резервы (провизии) по займам и финансовому лизингу, предоставленным клиентам</v>
      </c>
      <c r="E101" s="10" t="str">
        <f t="shared" si="16"/>
        <v>1</v>
      </c>
      <c r="F101" s="10" t="str">
        <f>"5"</f>
        <v>5</v>
      </c>
      <c r="G101" s="10" t="str">
        <f>"1"</f>
        <v>1</v>
      </c>
      <c r="H101" s="9">
        <v>-311719443.86000001</v>
      </c>
    </row>
    <row r="102" spans="1:8" ht="30" x14ac:dyDescent="0.25">
      <c r="A102" s="7">
        <v>45107</v>
      </c>
      <c r="B102" s="10">
        <v>36</v>
      </c>
      <c r="C102" s="10" t="str">
        <f>"1430"</f>
        <v>1430</v>
      </c>
      <c r="D102" s="11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102" s="10" t="str">
        <f t="shared" si="16"/>
        <v>1</v>
      </c>
      <c r="F102" s="10" t="str">
        <f>"9"</f>
        <v>9</v>
      </c>
      <c r="G102" s="10" t="str">
        <f>"1"</f>
        <v>1</v>
      </c>
      <c r="H102" s="9">
        <v>38424722.850000001</v>
      </c>
    </row>
    <row r="103" spans="1:8" ht="30" x14ac:dyDescent="0.25">
      <c r="A103" s="7">
        <v>45107</v>
      </c>
      <c r="B103" s="10">
        <v>36</v>
      </c>
      <c r="C103" s="10" t="str">
        <f>"1431"</f>
        <v>1431</v>
      </c>
      <c r="D103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3" s="10" t="str">
        <f t="shared" si="16"/>
        <v>1</v>
      </c>
      <c r="F103" s="10" t="str">
        <f>"1"</f>
        <v>1</v>
      </c>
      <c r="G103" s="10" t="str">
        <f>"1"</f>
        <v>1</v>
      </c>
      <c r="H103" s="9">
        <v>-1650213468</v>
      </c>
    </row>
    <row r="104" spans="1:8" ht="30" x14ac:dyDescent="0.25">
      <c r="A104" s="7">
        <v>45107</v>
      </c>
      <c r="B104" s="10">
        <v>36</v>
      </c>
      <c r="C104" s="10" t="str">
        <f>"1431"</f>
        <v>1431</v>
      </c>
      <c r="D104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4" s="10" t="str">
        <f t="shared" si="16"/>
        <v>1</v>
      </c>
      <c r="F104" s="10" t="str">
        <f>"1"</f>
        <v>1</v>
      </c>
      <c r="G104" s="10" t="str">
        <f>"2"</f>
        <v>2</v>
      </c>
      <c r="H104" s="9">
        <v>-868095184</v>
      </c>
    </row>
    <row r="105" spans="1:8" ht="30" x14ac:dyDescent="0.25">
      <c r="A105" s="7">
        <v>45107</v>
      </c>
      <c r="B105" s="10">
        <v>36</v>
      </c>
      <c r="C105" s="10" t="str">
        <f>"1431"</f>
        <v>1431</v>
      </c>
      <c r="D105" s="11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5" s="10" t="str">
        <f t="shared" si="16"/>
        <v>1</v>
      </c>
      <c r="F105" s="10" t="str">
        <f>"7"</f>
        <v>7</v>
      </c>
      <c r="G105" s="10" t="str">
        <f t="shared" ref="G105:G112" si="17">"1"</f>
        <v>1</v>
      </c>
      <c r="H105" s="9">
        <v>-31920260752.610001</v>
      </c>
    </row>
    <row r="106" spans="1:8" x14ac:dyDescent="0.25">
      <c r="A106" s="7">
        <v>45107</v>
      </c>
      <c r="B106" s="10">
        <v>36</v>
      </c>
      <c r="C106" s="10" t="str">
        <f t="shared" ref="C106:C114" si="18">"1434"</f>
        <v>1434</v>
      </c>
      <c r="D106" s="11" t="str">
        <f t="shared" ref="D106:D114" si="19">"Дисконт по займам, предоставленным клиентам"</f>
        <v>Дисконт по займам, предоставленным клиентам</v>
      </c>
      <c r="E106" s="10" t="str">
        <f t="shared" si="16"/>
        <v>1</v>
      </c>
      <c r="F106" s="10" t="str">
        <f>"5"</f>
        <v>5</v>
      </c>
      <c r="G106" s="10" t="str">
        <f t="shared" si="17"/>
        <v>1</v>
      </c>
      <c r="H106" s="9">
        <v>-2294516764.7600002</v>
      </c>
    </row>
    <row r="107" spans="1:8" x14ac:dyDescent="0.25">
      <c r="A107" s="7">
        <v>45107</v>
      </c>
      <c r="B107" s="10">
        <v>36</v>
      </c>
      <c r="C107" s="10" t="str">
        <f t="shared" si="18"/>
        <v>1434</v>
      </c>
      <c r="D107" s="11" t="str">
        <f t="shared" si="19"/>
        <v>Дисконт по займам, предоставленным клиентам</v>
      </c>
      <c r="E107" s="10" t="str">
        <f>"2"</f>
        <v>2</v>
      </c>
      <c r="F107" s="10" t="str">
        <f>"9"</f>
        <v>9</v>
      </c>
      <c r="G107" s="10" t="str">
        <f t="shared" si="17"/>
        <v>1</v>
      </c>
      <c r="H107" s="9">
        <v>-217759.02</v>
      </c>
    </row>
    <row r="108" spans="1:8" x14ac:dyDescent="0.25">
      <c r="A108" s="7">
        <v>45107</v>
      </c>
      <c r="B108" s="10">
        <v>36</v>
      </c>
      <c r="C108" s="10" t="str">
        <f t="shared" si="18"/>
        <v>1434</v>
      </c>
      <c r="D108" s="11" t="str">
        <f t="shared" si="19"/>
        <v>Дисконт по займам, предоставленным клиентам</v>
      </c>
      <c r="E108" s="10" t="str">
        <f>"1"</f>
        <v>1</v>
      </c>
      <c r="F108" s="10" t="str">
        <f>"6"</f>
        <v>6</v>
      </c>
      <c r="G108" s="10" t="str">
        <f t="shared" si="17"/>
        <v>1</v>
      </c>
      <c r="H108" s="9">
        <v>-22749836.809999999</v>
      </c>
    </row>
    <row r="109" spans="1:8" x14ac:dyDescent="0.25">
      <c r="A109" s="7">
        <v>45107</v>
      </c>
      <c r="B109" s="10">
        <v>36</v>
      </c>
      <c r="C109" s="10" t="str">
        <f t="shared" si="18"/>
        <v>1434</v>
      </c>
      <c r="D109" s="11" t="str">
        <f t="shared" si="19"/>
        <v>Дисконт по займам, предоставленным клиентам</v>
      </c>
      <c r="E109" s="10" t="str">
        <f>"1"</f>
        <v>1</v>
      </c>
      <c r="F109" s="10" t="str">
        <f>"8"</f>
        <v>8</v>
      </c>
      <c r="G109" s="10" t="str">
        <f t="shared" si="17"/>
        <v>1</v>
      </c>
      <c r="H109" s="9">
        <v>-816835.67</v>
      </c>
    </row>
    <row r="110" spans="1:8" x14ac:dyDescent="0.25">
      <c r="A110" s="7">
        <v>45107</v>
      </c>
      <c r="B110" s="10">
        <v>36</v>
      </c>
      <c r="C110" s="10" t="str">
        <f t="shared" si="18"/>
        <v>1434</v>
      </c>
      <c r="D110" s="11" t="str">
        <f t="shared" si="19"/>
        <v>Дисконт по займам, предоставленным клиентам</v>
      </c>
      <c r="E110" s="10" t="str">
        <f>"1"</f>
        <v>1</v>
      </c>
      <c r="F110" s="10" t="str">
        <f>"7"</f>
        <v>7</v>
      </c>
      <c r="G110" s="10" t="str">
        <f t="shared" si="17"/>
        <v>1</v>
      </c>
      <c r="H110" s="9">
        <v>-24600597959.049999</v>
      </c>
    </row>
    <row r="111" spans="1:8" x14ac:dyDescent="0.25">
      <c r="A111" s="7">
        <v>45107</v>
      </c>
      <c r="B111" s="10">
        <v>36</v>
      </c>
      <c r="C111" s="10" t="str">
        <f t="shared" si="18"/>
        <v>1434</v>
      </c>
      <c r="D111" s="11" t="str">
        <f t="shared" si="19"/>
        <v>Дисконт по займам, предоставленным клиентам</v>
      </c>
      <c r="E111" s="10" t="str">
        <f>"1"</f>
        <v>1</v>
      </c>
      <c r="F111" s="10" t="str">
        <f>"9"</f>
        <v>9</v>
      </c>
      <c r="G111" s="10" t="str">
        <f t="shared" si="17"/>
        <v>1</v>
      </c>
      <c r="H111" s="9">
        <v>-8688497165.2000008</v>
      </c>
    </row>
    <row r="112" spans="1:8" x14ac:dyDescent="0.25">
      <c r="A112" s="7">
        <v>45107</v>
      </c>
      <c r="B112" s="10">
        <v>36</v>
      </c>
      <c r="C112" s="10" t="str">
        <f t="shared" si="18"/>
        <v>1434</v>
      </c>
      <c r="D112" s="11" t="str">
        <f t="shared" si="19"/>
        <v>Дисконт по займам, предоставленным клиентам</v>
      </c>
      <c r="E112" s="10" t="str">
        <f>"2"</f>
        <v>2</v>
      </c>
      <c r="F112" s="10" t="str">
        <f>"7"</f>
        <v>7</v>
      </c>
      <c r="G112" s="10" t="str">
        <f t="shared" si="17"/>
        <v>1</v>
      </c>
      <c r="H112" s="9">
        <v>-1868865931.8299999</v>
      </c>
    </row>
    <row r="113" spans="1:8" x14ac:dyDescent="0.25">
      <c r="A113" s="7">
        <v>45107</v>
      </c>
      <c r="B113" s="10">
        <v>36</v>
      </c>
      <c r="C113" s="10" t="str">
        <f t="shared" si="18"/>
        <v>1434</v>
      </c>
      <c r="D113" s="11" t="str">
        <f t="shared" si="19"/>
        <v>Дисконт по займам, предоставленным клиентам</v>
      </c>
      <c r="E113" s="10" t="str">
        <f>"1"</f>
        <v>1</v>
      </c>
      <c r="F113" s="10" t="str">
        <f>"7"</f>
        <v>7</v>
      </c>
      <c r="G113" s="10" t="str">
        <f>"2"</f>
        <v>2</v>
      </c>
      <c r="H113" s="9">
        <v>-227717281.53999999</v>
      </c>
    </row>
    <row r="114" spans="1:8" x14ac:dyDescent="0.25">
      <c r="A114" s="7">
        <v>45107</v>
      </c>
      <c r="B114" s="10">
        <v>36</v>
      </c>
      <c r="C114" s="10" t="str">
        <f t="shared" si="18"/>
        <v>1434</v>
      </c>
      <c r="D114" s="11" t="str">
        <f t="shared" si="19"/>
        <v>Дисконт по займам, предоставленным клиентам</v>
      </c>
      <c r="E114" s="10" t="str">
        <f>"1"</f>
        <v>1</v>
      </c>
      <c r="F114" s="10" t="str">
        <f>"9"</f>
        <v>9</v>
      </c>
      <c r="G114" s="10" t="str">
        <f>"2"</f>
        <v>2</v>
      </c>
      <c r="H114" s="9">
        <v>-4400849.8099999996</v>
      </c>
    </row>
    <row r="115" spans="1:8" x14ac:dyDescent="0.25">
      <c r="A115" s="7">
        <v>45107</v>
      </c>
      <c r="B115" s="10">
        <v>36</v>
      </c>
      <c r="C115" s="10" t="str">
        <f t="shared" ref="C115:C121" si="20">"1435"</f>
        <v>1435</v>
      </c>
      <c r="D115" s="11" t="str">
        <f t="shared" ref="D115:D121" si="21">"Премия по займам, предоставленным клиентам"</f>
        <v>Премия по займам, предоставленным клиентам</v>
      </c>
      <c r="E115" s="10" t="str">
        <f>"1"</f>
        <v>1</v>
      </c>
      <c r="F115" s="10" t="str">
        <f>"5"</f>
        <v>5</v>
      </c>
      <c r="G115" s="10" t="str">
        <f>"1"</f>
        <v>1</v>
      </c>
      <c r="H115" s="9">
        <v>86714178.780000001</v>
      </c>
    </row>
    <row r="116" spans="1:8" x14ac:dyDescent="0.25">
      <c r="A116" s="7">
        <v>45107</v>
      </c>
      <c r="B116" s="10">
        <v>36</v>
      </c>
      <c r="C116" s="10" t="str">
        <f t="shared" si="20"/>
        <v>1435</v>
      </c>
      <c r="D116" s="11" t="str">
        <f t="shared" si="21"/>
        <v>Премия по займам, предоставленным клиентам</v>
      </c>
      <c r="E116" s="10" t="str">
        <f>"1"</f>
        <v>1</v>
      </c>
      <c r="F116" s="10" t="str">
        <f>"7"</f>
        <v>7</v>
      </c>
      <c r="G116" s="10" t="str">
        <f>"1"</f>
        <v>1</v>
      </c>
      <c r="H116" s="9">
        <v>31180987333.27</v>
      </c>
    </row>
    <row r="117" spans="1:8" x14ac:dyDescent="0.25">
      <c r="A117" s="7">
        <v>45107</v>
      </c>
      <c r="B117" s="10">
        <v>36</v>
      </c>
      <c r="C117" s="10" t="str">
        <f t="shared" si="20"/>
        <v>1435</v>
      </c>
      <c r="D117" s="11" t="str">
        <f t="shared" si="21"/>
        <v>Премия по займам, предоставленным клиентам</v>
      </c>
      <c r="E117" s="10" t="str">
        <f>"1"</f>
        <v>1</v>
      </c>
      <c r="F117" s="10" t="str">
        <f>"9"</f>
        <v>9</v>
      </c>
      <c r="G117" s="10" t="str">
        <f>"2"</f>
        <v>2</v>
      </c>
      <c r="H117" s="9">
        <v>9294.56</v>
      </c>
    </row>
    <row r="118" spans="1:8" x14ac:dyDescent="0.25">
      <c r="A118" s="7">
        <v>45107</v>
      </c>
      <c r="B118" s="10">
        <v>36</v>
      </c>
      <c r="C118" s="10" t="str">
        <f t="shared" si="20"/>
        <v>1435</v>
      </c>
      <c r="D118" s="11" t="str">
        <f t="shared" si="21"/>
        <v>Премия по займам, предоставленным клиентам</v>
      </c>
      <c r="E118" s="10" t="str">
        <f>"2"</f>
        <v>2</v>
      </c>
      <c r="F118" s="10" t="str">
        <f>"9"</f>
        <v>9</v>
      </c>
      <c r="G118" s="10" t="str">
        <f>"1"</f>
        <v>1</v>
      </c>
      <c r="H118" s="9">
        <v>14177.14</v>
      </c>
    </row>
    <row r="119" spans="1:8" x14ac:dyDescent="0.25">
      <c r="A119" s="7">
        <v>45107</v>
      </c>
      <c r="B119" s="10">
        <v>36</v>
      </c>
      <c r="C119" s="10" t="str">
        <f t="shared" si="20"/>
        <v>1435</v>
      </c>
      <c r="D119" s="11" t="str">
        <f t="shared" si="21"/>
        <v>Премия по займам, предоставленным клиентам</v>
      </c>
      <c r="E119" s="10" t="str">
        <f t="shared" ref="E119:E126" si="22">"1"</f>
        <v>1</v>
      </c>
      <c r="F119" s="10" t="str">
        <f>"8"</f>
        <v>8</v>
      </c>
      <c r="G119" s="10" t="str">
        <f>"1"</f>
        <v>1</v>
      </c>
      <c r="H119" s="9">
        <v>800328.37</v>
      </c>
    </row>
    <row r="120" spans="1:8" x14ac:dyDescent="0.25">
      <c r="A120" s="7">
        <v>45107</v>
      </c>
      <c r="B120" s="10">
        <v>36</v>
      </c>
      <c r="C120" s="10" t="str">
        <f t="shared" si="20"/>
        <v>1435</v>
      </c>
      <c r="D120" s="11" t="str">
        <f t="shared" si="21"/>
        <v>Премия по займам, предоставленным клиентам</v>
      </c>
      <c r="E120" s="10" t="str">
        <f t="shared" si="22"/>
        <v>1</v>
      </c>
      <c r="F120" s="10" t="str">
        <f>"7"</f>
        <v>7</v>
      </c>
      <c r="G120" s="10" t="str">
        <f>"2"</f>
        <v>2</v>
      </c>
      <c r="H120" s="9">
        <v>472553541.29000002</v>
      </c>
    </row>
    <row r="121" spans="1:8" x14ac:dyDescent="0.25">
      <c r="A121" s="7">
        <v>45107</v>
      </c>
      <c r="B121" s="10">
        <v>36</v>
      </c>
      <c r="C121" s="10" t="str">
        <f t="shared" si="20"/>
        <v>1435</v>
      </c>
      <c r="D121" s="11" t="str">
        <f t="shared" si="21"/>
        <v>Премия по займам, предоставленным клиентам</v>
      </c>
      <c r="E121" s="10" t="str">
        <f t="shared" si="22"/>
        <v>1</v>
      </c>
      <c r="F121" s="10" t="str">
        <f>"9"</f>
        <v>9</v>
      </c>
      <c r="G121" s="10" t="str">
        <f>"1"</f>
        <v>1</v>
      </c>
      <c r="H121" s="9">
        <v>10514677995.83</v>
      </c>
    </row>
    <row r="122" spans="1:8" ht="30" x14ac:dyDescent="0.25">
      <c r="A122" s="7">
        <v>45107</v>
      </c>
      <c r="B122" s="10">
        <v>36</v>
      </c>
      <c r="C122" s="10" t="str">
        <f t="shared" ref="C122:C129" si="23">"1452"</f>
        <v>1452</v>
      </c>
      <c r="D122" s="11" t="str">
        <f t="shared" ref="D122:D129" si="2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22" s="10" t="str">
        <f t="shared" si="22"/>
        <v>1</v>
      </c>
      <c r="F122" s="10" t="str">
        <f>"6"</f>
        <v>6</v>
      </c>
      <c r="G122" s="10" t="str">
        <f>"2"</f>
        <v>2</v>
      </c>
      <c r="H122" s="9">
        <v>22625500000</v>
      </c>
    </row>
    <row r="123" spans="1:8" ht="30" x14ac:dyDescent="0.25">
      <c r="A123" s="7">
        <v>45107</v>
      </c>
      <c r="B123" s="10">
        <v>36</v>
      </c>
      <c r="C123" s="10" t="str">
        <f t="shared" si="23"/>
        <v>1452</v>
      </c>
      <c r="D123" s="11" t="str">
        <f t="shared" si="24"/>
        <v>Ценные бумаги, учитываемые по справедливой стоимости через прочий совокупный доход</v>
      </c>
      <c r="E123" s="10" t="str">
        <f t="shared" si="22"/>
        <v>1</v>
      </c>
      <c r="F123" s="10" t="str">
        <f>"3"</f>
        <v>3</v>
      </c>
      <c r="G123" s="10" t="str">
        <f>"1"</f>
        <v>1</v>
      </c>
      <c r="H123" s="9">
        <v>468100998600</v>
      </c>
    </row>
    <row r="124" spans="1:8" ht="30" x14ac:dyDescent="0.25">
      <c r="A124" s="7">
        <v>45107</v>
      </c>
      <c r="B124" s="10">
        <v>36</v>
      </c>
      <c r="C124" s="10" t="str">
        <f t="shared" si="23"/>
        <v>1452</v>
      </c>
      <c r="D124" s="11" t="str">
        <f t="shared" si="24"/>
        <v>Ценные бумаги, учитываемые по справедливой стоимости через прочий совокупный доход</v>
      </c>
      <c r="E124" s="10" t="str">
        <f t="shared" si="22"/>
        <v>1</v>
      </c>
      <c r="F124" s="10" t="str">
        <f>"5"</f>
        <v>5</v>
      </c>
      <c r="G124" s="10" t="str">
        <f>"1"</f>
        <v>1</v>
      </c>
      <c r="H124" s="9">
        <v>55231419000</v>
      </c>
    </row>
    <row r="125" spans="1:8" ht="30" x14ac:dyDescent="0.25">
      <c r="A125" s="7">
        <v>45107</v>
      </c>
      <c r="B125" s="10">
        <v>36</v>
      </c>
      <c r="C125" s="10" t="str">
        <f t="shared" si="23"/>
        <v>1452</v>
      </c>
      <c r="D125" s="11" t="str">
        <f t="shared" si="24"/>
        <v>Ценные бумаги, учитываемые по справедливой стоимости через прочий совокупный доход</v>
      </c>
      <c r="E125" s="10" t="str">
        <f t="shared" si="22"/>
        <v>1</v>
      </c>
      <c r="F125" s="10" t="str">
        <f>"1"</f>
        <v>1</v>
      </c>
      <c r="G125" s="10" t="str">
        <f>"2"</f>
        <v>2</v>
      </c>
      <c r="H125" s="9">
        <v>4423285250</v>
      </c>
    </row>
    <row r="126" spans="1:8" ht="30" x14ac:dyDescent="0.25">
      <c r="A126" s="7">
        <v>45107</v>
      </c>
      <c r="B126" s="10">
        <v>36</v>
      </c>
      <c r="C126" s="10" t="str">
        <f t="shared" si="23"/>
        <v>1452</v>
      </c>
      <c r="D126" s="11" t="str">
        <f t="shared" si="24"/>
        <v>Ценные бумаги, учитываемые по справедливой стоимости через прочий совокупный доход</v>
      </c>
      <c r="E126" s="10" t="str">
        <f t="shared" si="22"/>
        <v>1</v>
      </c>
      <c r="F126" s="10" t="str">
        <f>"1"</f>
        <v>1</v>
      </c>
      <c r="G126" s="10" t="str">
        <f>"1"</f>
        <v>1</v>
      </c>
      <c r="H126" s="9">
        <v>184262671900</v>
      </c>
    </row>
    <row r="127" spans="1:8" ht="30" x14ac:dyDescent="0.25">
      <c r="A127" s="7">
        <v>45107</v>
      </c>
      <c r="B127" s="10">
        <v>36</v>
      </c>
      <c r="C127" s="10" t="str">
        <f t="shared" si="23"/>
        <v>1452</v>
      </c>
      <c r="D127" s="11" t="str">
        <f t="shared" si="24"/>
        <v>Ценные бумаги, учитываемые по справедливой стоимости через прочий совокупный доход</v>
      </c>
      <c r="E127" s="10" t="str">
        <f>"2"</f>
        <v>2</v>
      </c>
      <c r="F127" s="10" t="str">
        <f>"1"</f>
        <v>1</v>
      </c>
      <c r="G127" s="10" t="str">
        <f>"2"</f>
        <v>2</v>
      </c>
      <c r="H127" s="9">
        <v>4525100000</v>
      </c>
    </row>
    <row r="128" spans="1:8" ht="30" x14ac:dyDescent="0.25">
      <c r="A128" s="7">
        <v>45107</v>
      </c>
      <c r="B128" s="10">
        <v>36</v>
      </c>
      <c r="C128" s="10" t="str">
        <f t="shared" si="23"/>
        <v>1452</v>
      </c>
      <c r="D128" s="11" t="str">
        <f t="shared" si="24"/>
        <v>Ценные бумаги, учитываемые по справедливой стоимости через прочий совокупный доход</v>
      </c>
      <c r="E128" s="10" t="str">
        <f t="shared" ref="E128:E135" si="25">"1"</f>
        <v>1</v>
      </c>
      <c r="F128" s="10" t="str">
        <f>"4"</f>
        <v>4</v>
      </c>
      <c r="G128" s="10" t="str">
        <f>"1"</f>
        <v>1</v>
      </c>
      <c r="H128" s="9">
        <v>9805100000</v>
      </c>
    </row>
    <row r="129" spans="1:8" ht="30" x14ac:dyDescent="0.25">
      <c r="A129" s="7">
        <v>45107</v>
      </c>
      <c r="B129" s="10">
        <v>36</v>
      </c>
      <c r="C129" s="10" t="str">
        <f t="shared" si="23"/>
        <v>1452</v>
      </c>
      <c r="D129" s="11" t="str">
        <f t="shared" si="24"/>
        <v>Ценные бумаги, учитываемые по справедливой стоимости через прочий совокупный доход</v>
      </c>
      <c r="E129" s="10" t="str">
        <f t="shared" si="25"/>
        <v>1</v>
      </c>
      <c r="F129" s="10" t="str">
        <f>"7"</f>
        <v>7</v>
      </c>
      <c r="G129" s="10" t="str">
        <f>"1"</f>
        <v>1</v>
      </c>
      <c r="H129" s="9">
        <v>21280939069.330002</v>
      </c>
    </row>
    <row r="130" spans="1:8" ht="30" x14ac:dyDescent="0.25">
      <c r="A130" s="7">
        <v>45107</v>
      </c>
      <c r="B130" s="10">
        <v>36</v>
      </c>
      <c r="C130" s="10" t="str">
        <f>"1453"</f>
        <v>1453</v>
      </c>
      <c r="D130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0" s="10" t="str">
        <f t="shared" si="25"/>
        <v>1</v>
      </c>
      <c r="F130" s="10" t="str">
        <f>"5"</f>
        <v>5</v>
      </c>
      <c r="G130" s="10" t="str">
        <f>"1"</f>
        <v>1</v>
      </c>
      <c r="H130" s="9">
        <v>-2227489913.8800001</v>
      </c>
    </row>
    <row r="131" spans="1:8" ht="30" x14ac:dyDescent="0.25">
      <c r="A131" s="7">
        <v>45107</v>
      </c>
      <c r="B131" s="10">
        <v>36</v>
      </c>
      <c r="C131" s="10" t="str">
        <f>"1453"</f>
        <v>1453</v>
      </c>
      <c r="D131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1" s="10" t="str">
        <f t="shared" si="25"/>
        <v>1</v>
      </c>
      <c r="F131" s="10" t="str">
        <f>"1"</f>
        <v>1</v>
      </c>
      <c r="G131" s="10" t="str">
        <f>"1"</f>
        <v>1</v>
      </c>
      <c r="H131" s="9">
        <v>-10303691652.540001</v>
      </c>
    </row>
    <row r="132" spans="1:8" ht="30" x14ac:dyDescent="0.25">
      <c r="A132" s="7">
        <v>45107</v>
      </c>
      <c r="B132" s="10">
        <v>36</v>
      </c>
      <c r="C132" s="10" t="str">
        <f>"1453"</f>
        <v>1453</v>
      </c>
      <c r="D132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2" s="10" t="str">
        <f t="shared" si="25"/>
        <v>1</v>
      </c>
      <c r="F132" s="10" t="str">
        <f>"3"</f>
        <v>3</v>
      </c>
      <c r="G132" s="10" t="str">
        <f>"1"</f>
        <v>1</v>
      </c>
      <c r="H132" s="9">
        <v>-4100956043.4400001</v>
      </c>
    </row>
    <row r="133" spans="1:8" ht="30" x14ac:dyDescent="0.25">
      <c r="A133" s="7">
        <v>45107</v>
      </c>
      <c r="B133" s="10">
        <v>36</v>
      </c>
      <c r="C133" s="10" t="str">
        <f>"1453"</f>
        <v>1453</v>
      </c>
      <c r="D133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3" s="10" t="str">
        <f t="shared" si="25"/>
        <v>1</v>
      </c>
      <c r="F133" s="10" t="str">
        <f>"6"</f>
        <v>6</v>
      </c>
      <c r="G133" s="10" t="str">
        <f>"2"</f>
        <v>2</v>
      </c>
      <c r="H133" s="9">
        <v>-166637223.81</v>
      </c>
    </row>
    <row r="134" spans="1:8" ht="30" x14ac:dyDescent="0.25">
      <c r="A134" s="7">
        <v>45107</v>
      </c>
      <c r="B134" s="10">
        <v>36</v>
      </c>
      <c r="C134" s="10" t="str">
        <f>"1453"</f>
        <v>1453</v>
      </c>
      <c r="D134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4" s="10" t="str">
        <f t="shared" si="25"/>
        <v>1</v>
      </c>
      <c r="F134" s="10" t="str">
        <f>"4"</f>
        <v>4</v>
      </c>
      <c r="G134" s="10" t="str">
        <f>"1"</f>
        <v>1</v>
      </c>
      <c r="H134" s="9">
        <v>-2723434.18</v>
      </c>
    </row>
    <row r="135" spans="1:8" ht="30" x14ac:dyDescent="0.25">
      <c r="A135" s="7">
        <v>45107</v>
      </c>
      <c r="B135" s="10">
        <v>36</v>
      </c>
      <c r="C135" s="10" t="str">
        <f>"1454"</f>
        <v>1454</v>
      </c>
      <c r="D135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5" s="10" t="str">
        <f t="shared" si="25"/>
        <v>1</v>
      </c>
      <c r="F135" s="10" t="str">
        <f>"1"</f>
        <v>1</v>
      </c>
      <c r="G135" s="10" t="str">
        <f>"1"</f>
        <v>1</v>
      </c>
      <c r="H135" s="9">
        <v>104626927.89</v>
      </c>
    </row>
    <row r="136" spans="1:8" ht="30" x14ac:dyDescent="0.25">
      <c r="A136" s="7">
        <v>45107</v>
      </c>
      <c r="B136" s="10">
        <v>36</v>
      </c>
      <c r="C136" s="10" t="str">
        <f>"1454"</f>
        <v>1454</v>
      </c>
      <c r="D136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6" s="10" t="str">
        <f>"2"</f>
        <v>2</v>
      </c>
      <c r="F136" s="10" t="str">
        <f>"1"</f>
        <v>1</v>
      </c>
      <c r="G136" s="10" t="str">
        <f>"2"</f>
        <v>2</v>
      </c>
      <c r="H136" s="9">
        <v>8670553.1600000001</v>
      </c>
    </row>
    <row r="137" spans="1:8" ht="30" x14ac:dyDescent="0.25">
      <c r="A137" s="7">
        <v>45107</v>
      </c>
      <c r="B137" s="10">
        <v>36</v>
      </c>
      <c r="C137" s="10" t="str">
        <f>"1454"</f>
        <v>1454</v>
      </c>
      <c r="D137" s="1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10" t="str">
        <f t="shared" ref="E137:E147" si="26">"1"</f>
        <v>1</v>
      </c>
      <c r="F137" s="10" t="str">
        <f>"1"</f>
        <v>1</v>
      </c>
      <c r="G137" s="10" t="str">
        <f>"2"</f>
        <v>2</v>
      </c>
      <c r="H137" s="9">
        <v>100902096.16</v>
      </c>
    </row>
    <row r="138" spans="1:8" ht="45" x14ac:dyDescent="0.25">
      <c r="A138" s="7">
        <v>45107</v>
      </c>
      <c r="B138" s="10">
        <v>36</v>
      </c>
      <c r="C138" s="10" t="str">
        <f>"1456"</f>
        <v>1456</v>
      </c>
      <c r="D138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8" s="10" t="str">
        <f t="shared" si="26"/>
        <v>1</v>
      </c>
      <c r="F138" s="10" t="str">
        <f>"1"</f>
        <v>1</v>
      </c>
      <c r="G138" s="10" t="str">
        <f>"1"</f>
        <v>1</v>
      </c>
      <c r="H138" s="9">
        <v>986501876.00999999</v>
      </c>
    </row>
    <row r="139" spans="1:8" ht="45" x14ac:dyDescent="0.25">
      <c r="A139" s="7">
        <v>45107</v>
      </c>
      <c r="B139" s="10">
        <v>36</v>
      </c>
      <c r="C139" s="10" t="str">
        <f>"1456"</f>
        <v>1456</v>
      </c>
      <c r="D139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10" t="str">
        <f t="shared" si="26"/>
        <v>1</v>
      </c>
      <c r="F139" s="10" t="str">
        <f>"1"</f>
        <v>1</v>
      </c>
      <c r="G139" s="10" t="str">
        <f>"2"</f>
        <v>2</v>
      </c>
      <c r="H139" s="9">
        <v>10507585.380000001</v>
      </c>
    </row>
    <row r="140" spans="1:8" ht="45" x14ac:dyDescent="0.25">
      <c r="A140" s="7">
        <v>45107</v>
      </c>
      <c r="B140" s="10">
        <v>36</v>
      </c>
      <c r="C140" s="10" t="str">
        <f>"1456"</f>
        <v>1456</v>
      </c>
      <c r="D140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10" t="str">
        <f t="shared" si="26"/>
        <v>1</v>
      </c>
      <c r="F140" s="10" t="str">
        <f>"3"</f>
        <v>3</v>
      </c>
      <c r="G140" s="10" t="str">
        <f>"1"</f>
        <v>1</v>
      </c>
      <c r="H140" s="9">
        <v>14631426.890000001</v>
      </c>
    </row>
    <row r="141" spans="1:8" ht="45" x14ac:dyDescent="0.25">
      <c r="A141" s="7">
        <v>45107</v>
      </c>
      <c r="B141" s="10">
        <v>36</v>
      </c>
      <c r="C141" s="10" t="str">
        <f>"1456"</f>
        <v>1456</v>
      </c>
      <c r="D141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10" t="str">
        <f t="shared" si="26"/>
        <v>1</v>
      </c>
      <c r="F141" s="10" t="str">
        <f>"7"</f>
        <v>7</v>
      </c>
      <c r="G141" s="10" t="str">
        <f>"1"</f>
        <v>1</v>
      </c>
      <c r="H141" s="9">
        <v>13232396288.209999</v>
      </c>
    </row>
    <row r="142" spans="1:8" ht="45" x14ac:dyDescent="0.25">
      <c r="A142" s="7">
        <v>45107</v>
      </c>
      <c r="B142" s="10">
        <v>36</v>
      </c>
      <c r="C142" s="10" t="str">
        <f>"1456"</f>
        <v>1456</v>
      </c>
      <c r="D142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2" s="10" t="str">
        <f t="shared" si="26"/>
        <v>1</v>
      </c>
      <c r="F142" s="10" t="str">
        <f>"5"</f>
        <v>5</v>
      </c>
      <c r="G142" s="10" t="str">
        <f>"1"</f>
        <v>1</v>
      </c>
      <c r="H142" s="9">
        <v>142820069.63999999</v>
      </c>
    </row>
    <row r="143" spans="1:8" ht="45" x14ac:dyDescent="0.25">
      <c r="A143" s="7">
        <v>45107</v>
      </c>
      <c r="B143" s="10">
        <v>36</v>
      </c>
      <c r="C143" s="10" t="str">
        <f t="shared" ref="C143:C149" si="27">"1457"</f>
        <v>1457</v>
      </c>
      <c r="D143" s="11" t="str">
        <f t="shared" ref="D143:D149" si="28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10" t="str">
        <f t="shared" si="26"/>
        <v>1</v>
      </c>
      <c r="F143" s="10" t="str">
        <f>"3"</f>
        <v>3</v>
      </c>
      <c r="G143" s="10" t="str">
        <f>"1"</f>
        <v>1</v>
      </c>
      <c r="H143" s="9">
        <v>-47408426.369999997</v>
      </c>
    </row>
    <row r="144" spans="1:8" ht="45" x14ac:dyDescent="0.25">
      <c r="A144" s="7">
        <v>45107</v>
      </c>
      <c r="B144" s="10">
        <v>36</v>
      </c>
      <c r="C144" s="10" t="str">
        <f t="shared" si="27"/>
        <v>1457</v>
      </c>
      <c r="D144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10" t="str">
        <f t="shared" si="26"/>
        <v>1</v>
      </c>
      <c r="F144" s="10" t="str">
        <f>"1"</f>
        <v>1</v>
      </c>
      <c r="G144" s="10" t="str">
        <f>"1"</f>
        <v>1</v>
      </c>
      <c r="H144" s="9">
        <v>-655065991.04999995</v>
      </c>
    </row>
    <row r="145" spans="1:8" ht="45" x14ac:dyDescent="0.25">
      <c r="A145" s="7">
        <v>45107</v>
      </c>
      <c r="B145" s="10">
        <v>36</v>
      </c>
      <c r="C145" s="10" t="str">
        <f t="shared" si="27"/>
        <v>1457</v>
      </c>
      <c r="D145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10" t="str">
        <f t="shared" si="26"/>
        <v>1</v>
      </c>
      <c r="F145" s="10" t="str">
        <f>"6"</f>
        <v>6</v>
      </c>
      <c r="G145" s="10" t="str">
        <f>"2"</f>
        <v>2</v>
      </c>
      <c r="H145" s="9">
        <v>-1974165078.3399999</v>
      </c>
    </row>
    <row r="146" spans="1:8" ht="45" x14ac:dyDescent="0.25">
      <c r="A146" s="7">
        <v>45107</v>
      </c>
      <c r="B146" s="10">
        <v>36</v>
      </c>
      <c r="C146" s="10" t="str">
        <f t="shared" si="27"/>
        <v>1457</v>
      </c>
      <c r="D146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10" t="str">
        <f t="shared" si="26"/>
        <v>1</v>
      </c>
      <c r="F146" s="10" t="str">
        <f>"4"</f>
        <v>4</v>
      </c>
      <c r="G146" s="10" t="str">
        <f>"1"</f>
        <v>1</v>
      </c>
      <c r="H146" s="9">
        <v>-201806154.18000001</v>
      </c>
    </row>
    <row r="147" spans="1:8" ht="45" x14ac:dyDescent="0.25">
      <c r="A147" s="7">
        <v>45107</v>
      </c>
      <c r="B147" s="10">
        <v>36</v>
      </c>
      <c r="C147" s="10" t="str">
        <f t="shared" si="27"/>
        <v>1457</v>
      </c>
      <c r="D147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10" t="str">
        <f t="shared" si="26"/>
        <v>1</v>
      </c>
      <c r="F147" s="10" t="str">
        <f>"5"</f>
        <v>5</v>
      </c>
      <c r="G147" s="10" t="str">
        <f>"1"</f>
        <v>1</v>
      </c>
      <c r="H147" s="9">
        <v>-185191776.56</v>
      </c>
    </row>
    <row r="148" spans="1:8" ht="45" x14ac:dyDescent="0.25">
      <c r="A148" s="7">
        <v>45107</v>
      </c>
      <c r="B148" s="10">
        <v>36</v>
      </c>
      <c r="C148" s="10" t="str">
        <f t="shared" si="27"/>
        <v>1457</v>
      </c>
      <c r="D148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10" t="str">
        <f>"2"</f>
        <v>2</v>
      </c>
      <c r="F148" s="10" t="str">
        <f>"1"</f>
        <v>1</v>
      </c>
      <c r="G148" s="10" t="str">
        <f>"2"</f>
        <v>2</v>
      </c>
      <c r="H148" s="9">
        <v>-56131073.509999998</v>
      </c>
    </row>
    <row r="149" spans="1:8" ht="45" x14ac:dyDescent="0.25">
      <c r="A149" s="7">
        <v>45107</v>
      </c>
      <c r="B149" s="10">
        <v>36</v>
      </c>
      <c r="C149" s="10" t="str">
        <f t="shared" si="27"/>
        <v>1457</v>
      </c>
      <c r="D149" s="11" t="str">
        <f t="shared" si="28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10" t="str">
        <f>"1"</f>
        <v>1</v>
      </c>
      <c r="F149" s="10" t="str">
        <f>"1"</f>
        <v>1</v>
      </c>
      <c r="G149" s="10" t="str">
        <f>"2"</f>
        <v>2</v>
      </c>
      <c r="H149" s="9">
        <v>-24500135.800000001</v>
      </c>
    </row>
    <row r="150" spans="1:8" x14ac:dyDescent="0.25">
      <c r="A150" s="7">
        <v>45107</v>
      </c>
      <c r="B150" s="10">
        <v>36</v>
      </c>
      <c r="C150" s="10" t="str">
        <f>"1461"</f>
        <v>1461</v>
      </c>
      <c r="D150" s="11" t="str">
        <f>"Операции «обратное РЕПО» с ценными бумагами"</f>
        <v>Операции «обратное РЕПО» с ценными бумагами</v>
      </c>
      <c r="E150" s="10" t="str">
        <f>"1"</f>
        <v>1</v>
      </c>
      <c r="F150" s="10" t="str">
        <f>"5"</f>
        <v>5</v>
      </c>
      <c r="G150" s="10" t="str">
        <f t="shared" ref="G150:G158" si="29">"1"</f>
        <v>1</v>
      </c>
      <c r="H150" s="9">
        <v>44912022591.360001</v>
      </c>
    </row>
    <row r="151" spans="1:8" x14ac:dyDescent="0.25">
      <c r="A151" s="7">
        <v>45107</v>
      </c>
      <c r="B151" s="10">
        <v>36</v>
      </c>
      <c r="C151" s="10" t="str">
        <f>"1471"</f>
        <v>1471</v>
      </c>
      <c r="D151" s="11" t="str">
        <f>"Инвестиции в дочерние организации"</f>
        <v>Инвестиции в дочерние организации</v>
      </c>
      <c r="E151" s="10" t="str">
        <f>"1"</f>
        <v>1</v>
      </c>
      <c r="F151" s="10" t="str">
        <f>"5"</f>
        <v>5</v>
      </c>
      <c r="G151" s="10" t="str">
        <f t="shared" si="29"/>
        <v>1</v>
      </c>
      <c r="H151" s="9">
        <v>73871636883.979996</v>
      </c>
    </row>
    <row r="152" spans="1:8" x14ac:dyDescent="0.25">
      <c r="A152" s="7">
        <v>45107</v>
      </c>
      <c r="B152" s="10">
        <v>36</v>
      </c>
      <c r="C152" s="10" t="str">
        <f>"1471"</f>
        <v>1471</v>
      </c>
      <c r="D152" s="11" t="str">
        <f>"Инвестиции в дочерние организации"</f>
        <v>Инвестиции в дочерние организации</v>
      </c>
      <c r="E152" s="10" t="str">
        <f>"2"</f>
        <v>2</v>
      </c>
      <c r="F152" s="10" t="str">
        <f>"4"</f>
        <v>4</v>
      </c>
      <c r="G152" s="10" t="str">
        <f t="shared" si="29"/>
        <v>1</v>
      </c>
      <c r="H152" s="9">
        <v>23790062413.25</v>
      </c>
    </row>
    <row r="153" spans="1:8" x14ac:dyDescent="0.25">
      <c r="A153" s="7">
        <v>45107</v>
      </c>
      <c r="B153" s="10">
        <v>36</v>
      </c>
      <c r="C153" s="10" t="str">
        <f>"1471"</f>
        <v>1471</v>
      </c>
      <c r="D153" s="11" t="str">
        <f>"Инвестиции в дочерние организации"</f>
        <v>Инвестиции в дочерние организации</v>
      </c>
      <c r="E153" s="10" t="str">
        <f>"1"</f>
        <v>1</v>
      </c>
      <c r="F153" s="10" t="str">
        <f>"7"</f>
        <v>7</v>
      </c>
      <c r="G153" s="10" t="str">
        <f t="shared" si="29"/>
        <v>1</v>
      </c>
      <c r="H153" s="9">
        <v>54977034635.309998</v>
      </c>
    </row>
    <row r="154" spans="1:8" x14ac:dyDescent="0.25">
      <c r="A154" s="7">
        <v>45107</v>
      </c>
      <c r="B154" s="10">
        <v>36</v>
      </c>
      <c r="C154" s="10" t="str">
        <f>"1476"</f>
        <v>1476</v>
      </c>
      <c r="D154" s="11" t="str">
        <f>"Прочие инвестиции"</f>
        <v>Прочие инвестиции</v>
      </c>
      <c r="E154" s="10" t="str">
        <f>"2"</f>
        <v>2</v>
      </c>
      <c r="F154" s="10" t="str">
        <f>"5"</f>
        <v>5</v>
      </c>
      <c r="G154" s="10" t="str">
        <f t="shared" si="29"/>
        <v>1</v>
      </c>
      <c r="H154" s="9">
        <v>88616997.739999995</v>
      </c>
    </row>
    <row r="155" spans="1:8" x14ac:dyDescent="0.25">
      <c r="A155" s="7">
        <v>45107</v>
      </c>
      <c r="B155" s="10">
        <v>36</v>
      </c>
      <c r="C155" s="10" t="str">
        <f>"1476"</f>
        <v>1476</v>
      </c>
      <c r="D155" s="11" t="str">
        <f>"Прочие инвестиции"</f>
        <v>Прочие инвестиции</v>
      </c>
      <c r="E155" s="10" t="str">
        <f>"1"</f>
        <v>1</v>
      </c>
      <c r="F155" s="10" t="str">
        <f>"5"</f>
        <v>5</v>
      </c>
      <c r="G155" s="10" t="str">
        <f t="shared" si="29"/>
        <v>1</v>
      </c>
      <c r="H155" s="9">
        <v>9483313.2400000002</v>
      </c>
    </row>
    <row r="156" spans="1:8" x14ac:dyDescent="0.25">
      <c r="A156" s="7">
        <v>45107</v>
      </c>
      <c r="B156" s="10">
        <v>36</v>
      </c>
      <c r="C156" s="10" t="str">
        <f>"1476"</f>
        <v>1476</v>
      </c>
      <c r="D156" s="11" t="str">
        <f>"Прочие инвестиции"</f>
        <v>Прочие инвестиции</v>
      </c>
      <c r="E156" s="10" t="str">
        <f>"2"</f>
        <v>2</v>
      </c>
      <c r="F156" s="10" t="str">
        <f>"7"</f>
        <v>7</v>
      </c>
      <c r="G156" s="10" t="str">
        <f t="shared" si="29"/>
        <v>1</v>
      </c>
      <c r="H156" s="9">
        <v>10458155.619999999</v>
      </c>
    </row>
    <row r="157" spans="1:8" x14ac:dyDescent="0.25">
      <c r="A157" s="7">
        <v>45107</v>
      </c>
      <c r="B157" s="10">
        <v>36</v>
      </c>
      <c r="C157" s="10" t="str">
        <f>"1476"</f>
        <v>1476</v>
      </c>
      <c r="D157" s="11" t="str">
        <f>"Прочие инвестиции"</f>
        <v>Прочие инвестиции</v>
      </c>
      <c r="E157" s="10" t="str">
        <f>"2"</f>
        <v>2</v>
      </c>
      <c r="F157" s="10" t="str">
        <f>"4"</f>
        <v>4</v>
      </c>
      <c r="G157" s="10" t="str">
        <f t="shared" si="29"/>
        <v>1</v>
      </c>
      <c r="H157" s="9">
        <v>1177092799.9000001</v>
      </c>
    </row>
    <row r="158" spans="1:8" x14ac:dyDescent="0.25">
      <c r="A158" s="7">
        <v>45107</v>
      </c>
      <c r="B158" s="10">
        <v>36</v>
      </c>
      <c r="C158" s="10" t="str">
        <f>"1476"</f>
        <v>1476</v>
      </c>
      <c r="D158" s="11" t="str">
        <f>"Прочие инвестиции"</f>
        <v>Прочие инвестиции</v>
      </c>
      <c r="E158" s="10" t="str">
        <f>"1"</f>
        <v>1</v>
      </c>
      <c r="F158" s="10" t="str">
        <f>"7"</f>
        <v>7</v>
      </c>
      <c r="G158" s="10" t="str">
        <f t="shared" si="29"/>
        <v>1</v>
      </c>
      <c r="H158" s="9">
        <v>8000</v>
      </c>
    </row>
    <row r="159" spans="1:8" x14ac:dyDescent="0.25">
      <c r="A159" s="7">
        <v>45107</v>
      </c>
      <c r="B159" s="10">
        <v>36</v>
      </c>
      <c r="C159" s="10" t="str">
        <f>"1481"</f>
        <v>1481</v>
      </c>
      <c r="D159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9" s="10" t="str">
        <f>"1"</f>
        <v>1</v>
      </c>
      <c r="F159" s="10" t="str">
        <f>"1"</f>
        <v>1</v>
      </c>
      <c r="G159" s="10" t="str">
        <f>"2"</f>
        <v>2</v>
      </c>
      <c r="H159" s="9">
        <v>19593683000</v>
      </c>
    </row>
    <row r="160" spans="1:8" x14ac:dyDescent="0.25">
      <c r="A160" s="7">
        <v>45107</v>
      </c>
      <c r="B160" s="10">
        <v>36</v>
      </c>
      <c r="C160" s="10" t="str">
        <f>"1481"</f>
        <v>1481</v>
      </c>
      <c r="D160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0" s="10" t="str">
        <f>"1"</f>
        <v>1</v>
      </c>
      <c r="F160" s="10" t="str">
        <f>"1"</f>
        <v>1</v>
      </c>
      <c r="G160" s="10" t="str">
        <f>"1"</f>
        <v>1</v>
      </c>
      <c r="H160" s="9">
        <v>34779202000</v>
      </c>
    </row>
    <row r="161" spans="1:8" x14ac:dyDescent="0.25">
      <c r="A161" s="7">
        <v>45107</v>
      </c>
      <c r="B161" s="10">
        <v>36</v>
      </c>
      <c r="C161" s="10" t="str">
        <f>"1481"</f>
        <v>1481</v>
      </c>
      <c r="D161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1" s="10" t="str">
        <f>"1"</f>
        <v>1</v>
      </c>
      <c r="F161" s="10" t="str">
        <f>"4"</f>
        <v>4</v>
      </c>
      <c r="G161" s="10" t="str">
        <f>"2"</f>
        <v>2</v>
      </c>
      <c r="H161" s="9">
        <v>22625500000</v>
      </c>
    </row>
    <row r="162" spans="1:8" x14ac:dyDescent="0.25">
      <c r="A162" s="7">
        <v>45107</v>
      </c>
      <c r="B162" s="10">
        <v>36</v>
      </c>
      <c r="C162" s="10" t="str">
        <f>"1481"</f>
        <v>1481</v>
      </c>
      <c r="D162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2" s="10" t="str">
        <f>"2"</f>
        <v>2</v>
      </c>
      <c r="F162" s="10" t="str">
        <f>"3"</f>
        <v>3</v>
      </c>
      <c r="G162" s="10" t="str">
        <f>"1"</f>
        <v>1</v>
      </c>
      <c r="H162" s="9">
        <v>5000000000</v>
      </c>
    </row>
    <row r="163" spans="1:8" ht="30" x14ac:dyDescent="0.25">
      <c r="A163" s="7">
        <v>45107</v>
      </c>
      <c r="B163" s="10">
        <v>36</v>
      </c>
      <c r="C163" s="10" t="str">
        <f>"1482"</f>
        <v>1482</v>
      </c>
      <c r="D163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3" s="10" t="str">
        <f>"1"</f>
        <v>1</v>
      </c>
      <c r="F163" s="10" t="str">
        <f>"1"</f>
        <v>1</v>
      </c>
      <c r="G163" s="10" t="str">
        <f>"1"</f>
        <v>1</v>
      </c>
      <c r="H163" s="9">
        <v>-2836530155.96</v>
      </c>
    </row>
    <row r="164" spans="1:8" ht="30" x14ac:dyDescent="0.25">
      <c r="A164" s="7">
        <v>45107</v>
      </c>
      <c r="B164" s="10">
        <v>36</v>
      </c>
      <c r="C164" s="10" t="str">
        <f>"1482"</f>
        <v>1482</v>
      </c>
      <c r="D164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4" s="10" t="str">
        <f t="shared" ref="E164:E171" si="30">"1"</f>
        <v>1</v>
      </c>
      <c r="F164" s="10" t="str">
        <f>"4"</f>
        <v>4</v>
      </c>
      <c r="G164" s="10" t="str">
        <f>"2"</f>
        <v>2</v>
      </c>
      <c r="H164" s="9">
        <v>-64043857.950000003</v>
      </c>
    </row>
    <row r="165" spans="1:8" ht="30" x14ac:dyDescent="0.25">
      <c r="A165" s="7">
        <v>45107</v>
      </c>
      <c r="B165" s="10">
        <v>36</v>
      </c>
      <c r="C165" s="10" t="str">
        <f>"1483"</f>
        <v>1483</v>
      </c>
      <c r="D165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5" s="10" t="str">
        <f t="shared" si="30"/>
        <v>1</v>
      </c>
      <c r="F165" s="10" t="str">
        <f>"1"</f>
        <v>1</v>
      </c>
      <c r="G165" s="10" t="str">
        <f>"2"</f>
        <v>2</v>
      </c>
      <c r="H165" s="9">
        <v>116233302.39</v>
      </c>
    </row>
    <row r="166" spans="1:8" ht="30" x14ac:dyDescent="0.25">
      <c r="A166" s="7">
        <v>45107</v>
      </c>
      <c r="B166" s="10">
        <v>36</v>
      </c>
      <c r="C166" s="10" t="str">
        <f>"1486"</f>
        <v>1486</v>
      </c>
      <c r="D166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6" s="10" t="str">
        <f t="shared" si="30"/>
        <v>1</v>
      </c>
      <c r="F166" s="10" t="str">
        <f>"4"</f>
        <v>4</v>
      </c>
      <c r="G166" s="10" t="str">
        <f>"2"</f>
        <v>2</v>
      </c>
      <c r="H166" s="9">
        <v>-62755797.289999999</v>
      </c>
    </row>
    <row r="167" spans="1:8" ht="30" x14ac:dyDescent="0.25">
      <c r="A167" s="7">
        <v>45107</v>
      </c>
      <c r="B167" s="10">
        <v>36</v>
      </c>
      <c r="C167" s="10" t="str">
        <f>"1491"</f>
        <v>1491</v>
      </c>
      <c r="D167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7" s="10" t="str">
        <f t="shared" si="30"/>
        <v>1</v>
      </c>
      <c r="F167" s="10" t="str">
        <f>"9"</f>
        <v>9</v>
      </c>
      <c r="G167" s="10" t="str">
        <f>"1"</f>
        <v>1</v>
      </c>
      <c r="H167" s="9">
        <v>49948000</v>
      </c>
    </row>
    <row r="168" spans="1:8" ht="30" x14ac:dyDescent="0.25">
      <c r="A168" s="7">
        <v>45107</v>
      </c>
      <c r="B168" s="10">
        <v>36</v>
      </c>
      <c r="C168" s="10" t="str">
        <f>"1491"</f>
        <v>1491</v>
      </c>
      <c r="D168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8" s="10" t="str">
        <f t="shared" si="30"/>
        <v>1</v>
      </c>
      <c r="F168" s="10" t="str">
        <f>"7"</f>
        <v>7</v>
      </c>
      <c r="G168" s="10" t="str">
        <f>"1"</f>
        <v>1</v>
      </c>
      <c r="H168" s="9">
        <v>5541084787.1000004</v>
      </c>
    </row>
    <row r="169" spans="1:8" ht="30" x14ac:dyDescent="0.25">
      <c r="A169" s="7">
        <v>45107</v>
      </c>
      <c r="B169" s="10">
        <v>36</v>
      </c>
      <c r="C169" s="10" t="str">
        <f>"1492"</f>
        <v>1492</v>
      </c>
      <c r="D169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69" s="10" t="str">
        <f t="shared" si="30"/>
        <v>1</v>
      </c>
      <c r="F169" s="10" t="str">
        <f>"9"</f>
        <v>9</v>
      </c>
      <c r="G169" s="10" t="str">
        <f>"1"</f>
        <v>1</v>
      </c>
      <c r="H169" s="9">
        <v>-8685849</v>
      </c>
    </row>
    <row r="170" spans="1:8" ht="30" x14ac:dyDescent="0.25">
      <c r="A170" s="7">
        <v>45107</v>
      </c>
      <c r="B170" s="10">
        <v>36</v>
      </c>
      <c r="C170" s="10" t="str">
        <f>"1492"</f>
        <v>1492</v>
      </c>
      <c r="D170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0" s="10" t="str">
        <f t="shared" si="30"/>
        <v>1</v>
      </c>
      <c r="F170" s="10" t="str">
        <f>"7"</f>
        <v>7</v>
      </c>
      <c r="G170" s="10" t="str">
        <f>"1"</f>
        <v>1</v>
      </c>
      <c r="H170" s="9">
        <v>-439611076.61000001</v>
      </c>
    </row>
    <row r="171" spans="1:8" ht="30" x14ac:dyDescent="0.25">
      <c r="A171" s="7">
        <v>45107</v>
      </c>
      <c r="B171" s="10">
        <v>36</v>
      </c>
      <c r="C171" s="10" t="str">
        <f>"1495"</f>
        <v>1495</v>
      </c>
      <c r="D171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1" s="10" t="str">
        <f t="shared" si="30"/>
        <v>1</v>
      </c>
      <c r="F171" s="10" t="str">
        <f>"7"</f>
        <v>7</v>
      </c>
      <c r="G171" s="10" t="str">
        <f>"1"</f>
        <v>1</v>
      </c>
      <c r="H171" s="9">
        <v>-654695673.21000004</v>
      </c>
    </row>
    <row r="172" spans="1:8" x14ac:dyDescent="0.25">
      <c r="A172" s="7">
        <v>45107</v>
      </c>
      <c r="B172" s="10">
        <v>36</v>
      </c>
      <c r="C172" s="10" t="str">
        <f>"1551"</f>
        <v>1551</v>
      </c>
      <c r="D172" s="11" t="str">
        <f>"Расчеты с другими банками"</f>
        <v>Расчеты с другими банками</v>
      </c>
      <c r="E172" s="10" t="str">
        <f>"2"</f>
        <v>2</v>
      </c>
      <c r="F172" s="10" t="str">
        <f>"4"</f>
        <v>4</v>
      </c>
      <c r="G172" s="10" t="str">
        <f>"2"</f>
        <v>2</v>
      </c>
      <c r="H172" s="9">
        <v>242975.24</v>
      </c>
    </row>
    <row r="173" spans="1:8" x14ac:dyDescent="0.25">
      <c r="A173" s="7">
        <v>45107</v>
      </c>
      <c r="B173" s="10">
        <v>36</v>
      </c>
      <c r="C173" s="10" t="str">
        <f>"1551"</f>
        <v>1551</v>
      </c>
      <c r="D173" s="11" t="str">
        <f>"Расчеты с другими банками"</f>
        <v>Расчеты с другими банками</v>
      </c>
      <c r="E173" s="10" t="str">
        <f>"1"</f>
        <v>1</v>
      </c>
      <c r="F173" s="10" t="str">
        <f>"3"</f>
        <v>3</v>
      </c>
      <c r="G173" s="10" t="str">
        <f>"1"</f>
        <v>1</v>
      </c>
      <c r="H173" s="9">
        <v>438878376.55000001</v>
      </c>
    </row>
    <row r="174" spans="1:8" x14ac:dyDescent="0.25">
      <c r="A174" s="7">
        <v>45107</v>
      </c>
      <c r="B174" s="10">
        <v>36</v>
      </c>
      <c r="C174" s="10" t="str">
        <f>"1552"</f>
        <v>1552</v>
      </c>
      <c r="D174" s="11" t="str">
        <f>"Расчеты с клиентами"</f>
        <v>Расчеты с клиентами</v>
      </c>
      <c r="E174" s="10" t="str">
        <f>"2"</f>
        <v>2</v>
      </c>
      <c r="F174" s="10" t="str">
        <f>"5"</f>
        <v>5</v>
      </c>
      <c r="G174" s="10" t="str">
        <f>"2"</f>
        <v>2</v>
      </c>
      <c r="H174" s="9">
        <v>51176273.579999998</v>
      </c>
    </row>
    <row r="175" spans="1:8" x14ac:dyDescent="0.25">
      <c r="A175" s="7">
        <v>45107</v>
      </c>
      <c r="B175" s="10">
        <v>36</v>
      </c>
      <c r="C175" s="10" t="str">
        <f>"1552"</f>
        <v>1552</v>
      </c>
      <c r="D175" s="11" t="str">
        <f>"Расчеты с клиентами"</f>
        <v>Расчеты с клиентами</v>
      </c>
      <c r="E175" s="10" t="str">
        <f>"2"</f>
        <v>2</v>
      </c>
      <c r="F175" s="10" t="str">
        <f>"5"</f>
        <v>5</v>
      </c>
      <c r="G175" s="10" t="str">
        <f>"1"</f>
        <v>1</v>
      </c>
      <c r="H175" s="9">
        <v>40174977.420000002</v>
      </c>
    </row>
    <row r="176" spans="1:8" x14ac:dyDescent="0.25">
      <c r="A176" s="7">
        <v>45107</v>
      </c>
      <c r="B176" s="10">
        <v>36</v>
      </c>
      <c r="C176" s="10" t="str">
        <f>"1552"</f>
        <v>1552</v>
      </c>
      <c r="D176" s="11" t="str">
        <f>"Расчеты с клиентами"</f>
        <v>Расчеты с клиентами</v>
      </c>
      <c r="E176" s="10" t="str">
        <f>"2"</f>
        <v>2</v>
      </c>
      <c r="F176" s="10" t="str">
        <f>"5"</f>
        <v>5</v>
      </c>
      <c r="G176" s="10" t="str">
        <f>"3"</f>
        <v>3</v>
      </c>
      <c r="H176" s="9">
        <v>22358556.32</v>
      </c>
    </row>
    <row r="177" spans="1:8" x14ac:dyDescent="0.25">
      <c r="A177" s="7">
        <v>45107</v>
      </c>
      <c r="B177" s="10">
        <v>36</v>
      </c>
      <c r="C177" s="10" t="str">
        <f>"1552"</f>
        <v>1552</v>
      </c>
      <c r="D177" s="11" t="str">
        <f>"Расчеты с клиентами"</f>
        <v>Расчеты с клиентами</v>
      </c>
      <c r="E177" s="10" t="str">
        <f>"1"</f>
        <v>1</v>
      </c>
      <c r="F177" s="10" t="str">
        <f>"7"</f>
        <v>7</v>
      </c>
      <c r="G177" s="10" t="str">
        <f>"1"</f>
        <v>1</v>
      </c>
      <c r="H177" s="9">
        <v>44374176.07</v>
      </c>
    </row>
    <row r="178" spans="1:8" x14ac:dyDescent="0.25">
      <c r="A178" s="7">
        <v>45107</v>
      </c>
      <c r="B178" s="10">
        <v>36</v>
      </c>
      <c r="C178" s="10" t="str">
        <f>"1602"</f>
        <v>1602</v>
      </c>
      <c r="D178" s="11" t="str">
        <f>"Прочие запасы"</f>
        <v>Прочие запасы</v>
      </c>
      <c r="E178" s="10" t="str">
        <f>""</f>
        <v/>
      </c>
      <c r="F178" s="10" t="str">
        <f>""</f>
        <v/>
      </c>
      <c r="G178" s="10" t="str">
        <f>""</f>
        <v/>
      </c>
      <c r="H178" s="9">
        <v>27962627408.91</v>
      </c>
    </row>
    <row r="179" spans="1:8" x14ac:dyDescent="0.25">
      <c r="A179" s="7">
        <v>45107</v>
      </c>
      <c r="B179" s="10">
        <v>36</v>
      </c>
      <c r="C179" s="10" t="str">
        <f>"1610"</f>
        <v>1610</v>
      </c>
      <c r="D179" s="11" t="str">
        <f>"Долгосрочные активы, предназначенные для продажи"</f>
        <v>Долгосрочные активы, предназначенные для продажи</v>
      </c>
      <c r="E179" s="10" t="str">
        <f>""</f>
        <v/>
      </c>
      <c r="F179" s="10" t="str">
        <f>""</f>
        <v/>
      </c>
      <c r="G179" s="10" t="str">
        <f>""</f>
        <v/>
      </c>
      <c r="H179" s="9">
        <v>4868429948.71</v>
      </c>
    </row>
    <row r="180" spans="1:8" x14ac:dyDescent="0.25">
      <c r="A180" s="7">
        <v>45107</v>
      </c>
      <c r="B180" s="10">
        <v>36</v>
      </c>
      <c r="C180" s="10" t="str">
        <f>"1651"</f>
        <v>1651</v>
      </c>
      <c r="D180" s="11" t="str">
        <f>"Строящиеся (устанавливаемые) основные средства"</f>
        <v>Строящиеся (устанавливаемые) основные средства</v>
      </c>
      <c r="E180" s="10" t="str">
        <f>""</f>
        <v/>
      </c>
      <c r="F180" s="10" t="str">
        <f>""</f>
        <v/>
      </c>
      <c r="G180" s="10" t="str">
        <f>""</f>
        <v/>
      </c>
      <c r="H180" s="9">
        <v>540937678</v>
      </c>
    </row>
    <row r="181" spans="1:8" x14ac:dyDescent="0.25">
      <c r="A181" s="7">
        <v>45107</v>
      </c>
      <c r="B181" s="10">
        <v>36</v>
      </c>
      <c r="C181" s="10" t="str">
        <f>"1652"</f>
        <v>1652</v>
      </c>
      <c r="D181" s="11" t="str">
        <f>"Земля, здания и сооружения"</f>
        <v>Земля, здания и сооружения</v>
      </c>
      <c r="E181" s="10" t="str">
        <f>""</f>
        <v/>
      </c>
      <c r="F181" s="10" t="str">
        <f>""</f>
        <v/>
      </c>
      <c r="G181" s="10" t="str">
        <f>""</f>
        <v/>
      </c>
      <c r="H181" s="9">
        <v>46756427306.839996</v>
      </c>
    </row>
    <row r="182" spans="1:8" x14ac:dyDescent="0.25">
      <c r="A182" s="7">
        <v>45107</v>
      </c>
      <c r="B182" s="10">
        <v>36</v>
      </c>
      <c r="C182" s="10" t="str">
        <f>"1653"</f>
        <v>1653</v>
      </c>
      <c r="D182" s="11" t="str">
        <f>"Компьютерное оборудование"</f>
        <v>Компьютерное оборудование</v>
      </c>
      <c r="E182" s="10" t="str">
        <f>""</f>
        <v/>
      </c>
      <c r="F182" s="10" t="str">
        <f>""</f>
        <v/>
      </c>
      <c r="G182" s="10" t="str">
        <f>""</f>
        <v/>
      </c>
      <c r="H182" s="9">
        <v>13753336289.83</v>
      </c>
    </row>
    <row r="183" spans="1:8" x14ac:dyDescent="0.25">
      <c r="A183" s="7">
        <v>45107</v>
      </c>
      <c r="B183" s="10">
        <v>36</v>
      </c>
      <c r="C183" s="10" t="str">
        <f>"1654"</f>
        <v>1654</v>
      </c>
      <c r="D183" s="11" t="str">
        <f>"Прочие основные средства"</f>
        <v>Прочие основные средства</v>
      </c>
      <c r="E183" s="10" t="str">
        <f>""</f>
        <v/>
      </c>
      <c r="F183" s="10" t="str">
        <f>""</f>
        <v/>
      </c>
      <c r="G183" s="10" t="str">
        <f>""</f>
        <v/>
      </c>
      <c r="H183" s="9">
        <v>21865179100.040001</v>
      </c>
    </row>
    <row r="184" spans="1:8" x14ac:dyDescent="0.25">
      <c r="A184" s="7">
        <v>45107</v>
      </c>
      <c r="B184" s="10">
        <v>36</v>
      </c>
      <c r="C184" s="10" t="str">
        <f>"1655"</f>
        <v>1655</v>
      </c>
      <c r="D184" s="11" t="str">
        <f>"Активы в форме права пользования"</f>
        <v>Активы в форме права пользования</v>
      </c>
      <c r="E184" s="10" t="str">
        <f>""</f>
        <v/>
      </c>
      <c r="F184" s="10" t="str">
        <f>""</f>
        <v/>
      </c>
      <c r="G184" s="10" t="str">
        <f>""</f>
        <v/>
      </c>
      <c r="H184" s="9">
        <v>4043327014.4000001</v>
      </c>
    </row>
    <row r="185" spans="1:8" x14ac:dyDescent="0.25">
      <c r="A185" s="7">
        <v>45107</v>
      </c>
      <c r="B185" s="10">
        <v>36</v>
      </c>
      <c r="C185" s="10" t="str">
        <f>"1657"</f>
        <v>1657</v>
      </c>
      <c r="D185" s="11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85" s="10" t="str">
        <f>""</f>
        <v/>
      </c>
      <c r="F185" s="10" t="str">
        <f>""</f>
        <v/>
      </c>
      <c r="G185" s="10" t="str">
        <f>""</f>
        <v/>
      </c>
      <c r="H185" s="9">
        <v>766056830.98000002</v>
      </c>
    </row>
    <row r="186" spans="1:8" x14ac:dyDescent="0.25">
      <c r="A186" s="7">
        <v>45107</v>
      </c>
      <c r="B186" s="10">
        <v>36</v>
      </c>
      <c r="C186" s="10" t="str">
        <f>"1658"</f>
        <v>1658</v>
      </c>
      <c r="D186" s="11" t="str">
        <f>"Транспортные средства"</f>
        <v>Транспортные средства</v>
      </c>
      <c r="E186" s="10" t="str">
        <f>""</f>
        <v/>
      </c>
      <c r="F186" s="10" t="str">
        <f>""</f>
        <v/>
      </c>
      <c r="G186" s="10" t="str">
        <f>""</f>
        <v/>
      </c>
      <c r="H186" s="9">
        <v>533510329.60000002</v>
      </c>
    </row>
    <row r="187" spans="1:8" x14ac:dyDescent="0.25">
      <c r="A187" s="7">
        <v>45107</v>
      </c>
      <c r="B187" s="10">
        <v>36</v>
      </c>
      <c r="C187" s="10" t="str">
        <f>"1659"</f>
        <v>1659</v>
      </c>
      <c r="D187" s="11" t="str">
        <f>"Нематериальные активы"</f>
        <v>Нематериальные активы</v>
      </c>
      <c r="E187" s="10" t="str">
        <f>""</f>
        <v/>
      </c>
      <c r="F187" s="10" t="str">
        <f>""</f>
        <v/>
      </c>
      <c r="G187" s="10" t="str">
        <f>""</f>
        <v/>
      </c>
      <c r="H187" s="9">
        <v>13239553103.290001</v>
      </c>
    </row>
    <row r="188" spans="1:8" x14ac:dyDescent="0.25">
      <c r="A188" s="7">
        <v>45107</v>
      </c>
      <c r="B188" s="10">
        <v>36</v>
      </c>
      <c r="C188" s="10" t="str">
        <f>"1660"</f>
        <v>1660</v>
      </c>
      <c r="D188" s="11" t="str">
        <f>"Создаваемые (разрабатываемые) нематериальные активы"</f>
        <v>Создаваемые (разрабатываемые) нематериальные активы</v>
      </c>
      <c r="E188" s="10" t="str">
        <f>""</f>
        <v/>
      </c>
      <c r="F188" s="10" t="str">
        <f>""</f>
        <v/>
      </c>
      <c r="G188" s="10" t="str">
        <f>""</f>
        <v/>
      </c>
      <c r="H188" s="9">
        <v>224693250.96000001</v>
      </c>
    </row>
    <row r="189" spans="1:8" x14ac:dyDescent="0.25">
      <c r="A189" s="7">
        <v>45107</v>
      </c>
      <c r="B189" s="10">
        <v>36</v>
      </c>
      <c r="C189" s="10" t="str">
        <f>"1692"</f>
        <v>1692</v>
      </c>
      <c r="D189" s="11" t="str">
        <f>"Начисленная амортизация по зданиям и сооружениям"</f>
        <v>Начисленная амортизация по зданиям и сооружениям</v>
      </c>
      <c r="E189" s="10" t="str">
        <f>""</f>
        <v/>
      </c>
      <c r="F189" s="10" t="str">
        <f>""</f>
        <v/>
      </c>
      <c r="G189" s="10" t="str">
        <f>""</f>
        <v/>
      </c>
      <c r="H189" s="9">
        <v>-850232610.84000003</v>
      </c>
    </row>
    <row r="190" spans="1:8" x14ac:dyDescent="0.25">
      <c r="A190" s="7">
        <v>45107</v>
      </c>
      <c r="B190" s="10">
        <v>36</v>
      </c>
      <c r="C190" s="10" t="str">
        <f>"1693"</f>
        <v>1693</v>
      </c>
      <c r="D190" s="11" t="str">
        <f>"Начисленная амортизация по компьютерному оборудованию"</f>
        <v>Начисленная амортизация по компьютерному оборудованию</v>
      </c>
      <c r="E190" s="10" t="str">
        <f>""</f>
        <v/>
      </c>
      <c r="F190" s="10" t="str">
        <f>""</f>
        <v/>
      </c>
      <c r="G190" s="10" t="str">
        <f>""</f>
        <v/>
      </c>
      <c r="H190" s="9">
        <v>-8006383929.9700003</v>
      </c>
    </row>
    <row r="191" spans="1:8" x14ac:dyDescent="0.25">
      <c r="A191" s="7">
        <v>45107</v>
      </c>
      <c r="B191" s="10">
        <v>36</v>
      </c>
      <c r="C191" s="10" t="str">
        <f>"1694"</f>
        <v>1694</v>
      </c>
      <c r="D191" s="11" t="str">
        <f>"Начисленная амортизация по прочим основным средствам"</f>
        <v>Начисленная амортизация по прочим основным средствам</v>
      </c>
      <c r="E191" s="10" t="str">
        <f>""</f>
        <v/>
      </c>
      <c r="F191" s="10" t="str">
        <f>""</f>
        <v/>
      </c>
      <c r="G191" s="10" t="str">
        <f>""</f>
        <v/>
      </c>
      <c r="H191" s="9">
        <v>-11859980023.6</v>
      </c>
    </row>
    <row r="192" spans="1:8" x14ac:dyDescent="0.25">
      <c r="A192" s="7">
        <v>45107</v>
      </c>
      <c r="B192" s="10">
        <v>36</v>
      </c>
      <c r="C192" s="10" t="str">
        <f>"1695"</f>
        <v>1695</v>
      </c>
      <c r="D192" s="1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2" s="10" t="str">
        <f>""</f>
        <v/>
      </c>
      <c r="F192" s="10" t="str">
        <f>""</f>
        <v/>
      </c>
      <c r="G192" s="10" t="str">
        <f>""</f>
        <v/>
      </c>
      <c r="H192" s="9">
        <v>-2158373001.8600001</v>
      </c>
    </row>
    <row r="193" spans="1:8" ht="30" x14ac:dyDescent="0.25">
      <c r="A193" s="7">
        <v>45107</v>
      </c>
      <c r="B193" s="10">
        <v>36</v>
      </c>
      <c r="C193" s="10" t="str">
        <f>"1697"</f>
        <v>1697</v>
      </c>
      <c r="D193" s="1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3" s="10" t="str">
        <f>""</f>
        <v/>
      </c>
      <c r="F193" s="10" t="str">
        <f>""</f>
        <v/>
      </c>
      <c r="G193" s="10" t="str">
        <f>""</f>
        <v/>
      </c>
      <c r="H193" s="9">
        <v>-467198140.48000002</v>
      </c>
    </row>
    <row r="194" spans="1:8" x14ac:dyDescent="0.25">
      <c r="A194" s="7">
        <v>45107</v>
      </c>
      <c r="B194" s="10">
        <v>36</v>
      </c>
      <c r="C194" s="10" t="str">
        <f>"1698"</f>
        <v>1698</v>
      </c>
      <c r="D194" s="11" t="str">
        <f>"Начисленная амортизация по транспортным средствам"</f>
        <v>Начисленная амортизация по транспортным средствам</v>
      </c>
      <c r="E194" s="10" t="str">
        <f>""</f>
        <v/>
      </c>
      <c r="F194" s="10" t="str">
        <f>""</f>
        <v/>
      </c>
      <c r="G194" s="10" t="str">
        <f>""</f>
        <v/>
      </c>
      <c r="H194" s="9">
        <v>-414911929.37</v>
      </c>
    </row>
    <row r="195" spans="1:8" x14ac:dyDescent="0.25">
      <c r="A195" s="7">
        <v>45107</v>
      </c>
      <c r="B195" s="10">
        <v>36</v>
      </c>
      <c r="C195" s="10" t="str">
        <f>"1699"</f>
        <v>1699</v>
      </c>
      <c r="D195" s="11" t="str">
        <f>"Начисленная амортизация по нематериальным активам"</f>
        <v>Начисленная амортизация по нематериальным активам</v>
      </c>
      <c r="E195" s="10" t="str">
        <f>""</f>
        <v/>
      </c>
      <c r="F195" s="10" t="str">
        <f>""</f>
        <v/>
      </c>
      <c r="G195" s="10" t="str">
        <f>""</f>
        <v/>
      </c>
      <c r="H195" s="9">
        <v>-9080977888.75</v>
      </c>
    </row>
    <row r="196" spans="1:8" x14ac:dyDescent="0.25">
      <c r="A196" s="7">
        <v>45107</v>
      </c>
      <c r="B196" s="10">
        <v>36</v>
      </c>
      <c r="C196" s="10" t="str">
        <f>"1705"</f>
        <v>1705</v>
      </c>
      <c r="D196" s="11" t="str">
        <f>"Начисленные доходы по корреспондентским счетам"</f>
        <v>Начисленные доходы по корреспондентским счетам</v>
      </c>
      <c r="E196" s="10" t="str">
        <f>"2"</f>
        <v>2</v>
      </c>
      <c r="F196" s="10" t="str">
        <f>"4"</f>
        <v>4</v>
      </c>
      <c r="G196" s="10" t="str">
        <f>"2"</f>
        <v>2</v>
      </c>
      <c r="H196" s="9">
        <v>90221.440000000002</v>
      </c>
    </row>
    <row r="197" spans="1:8" ht="30" x14ac:dyDescent="0.25">
      <c r="A197" s="7">
        <v>45107</v>
      </c>
      <c r="B197" s="10">
        <v>36</v>
      </c>
      <c r="C197" s="10" t="str">
        <f>"1710"</f>
        <v>1710</v>
      </c>
      <c r="D197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7" s="10" t="str">
        <f>"1"</f>
        <v>1</v>
      </c>
      <c r="F197" s="10" t="str">
        <f>"3"</f>
        <v>3</v>
      </c>
      <c r="G197" s="10" t="str">
        <f>"1"</f>
        <v>1</v>
      </c>
      <c r="H197" s="9">
        <v>64583333.329999998</v>
      </c>
    </row>
    <row r="198" spans="1:8" ht="30" x14ac:dyDescent="0.25">
      <c r="A198" s="7">
        <v>45107</v>
      </c>
      <c r="B198" s="10">
        <v>36</v>
      </c>
      <c r="C198" s="10" t="str">
        <f>"1710"</f>
        <v>1710</v>
      </c>
      <c r="D198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198" s="10" t="str">
        <f>"1"</f>
        <v>1</v>
      </c>
      <c r="F198" s="10" t="str">
        <f>"3"</f>
        <v>3</v>
      </c>
      <c r="G198" s="10" t="str">
        <f>"2"</f>
        <v>2</v>
      </c>
      <c r="H198" s="9">
        <v>321130006.86000001</v>
      </c>
    </row>
    <row r="199" spans="1:8" x14ac:dyDescent="0.25">
      <c r="A199" s="7">
        <v>45107</v>
      </c>
      <c r="B199" s="10">
        <v>36</v>
      </c>
      <c r="C199" s="10" t="str">
        <f>"1725"</f>
        <v>1725</v>
      </c>
      <c r="D199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199" s="10" t="str">
        <f>"2"</f>
        <v>2</v>
      </c>
      <c r="F199" s="10" t="str">
        <f>"4"</f>
        <v>4</v>
      </c>
      <c r="G199" s="10" t="str">
        <f>"2"</f>
        <v>2</v>
      </c>
      <c r="H199" s="9">
        <v>23971896.98</v>
      </c>
    </row>
    <row r="200" spans="1:8" x14ac:dyDescent="0.25">
      <c r="A200" s="7">
        <v>45107</v>
      </c>
      <c r="B200" s="10">
        <v>36</v>
      </c>
      <c r="C200" s="10" t="str">
        <f>"1725"</f>
        <v>1725</v>
      </c>
      <c r="D200" s="1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0" s="10" t="str">
        <f>"1"</f>
        <v>1</v>
      </c>
      <c r="F200" s="10" t="str">
        <f>"4"</f>
        <v>4</v>
      </c>
      <c r="G200" s="10" t="str">
        <f>"3"</f>
        <v>3</v>
      </c>
      <c r="H200" s="9">
        <v>633698.62</v>
      </c>
    </row>
    <row r="201" spans="1:8" ht="30" x14ac:dyDescent="0.25">
      <c r="A201" s="7">
        <v>45107</v>
      </c>
      <c r="B201" s="10">
        <v>36</v>
      </c>
      <c r="C201" s="10" t="str">
        <f>"1730"</f>
        <v>1730</v>
      </c>
      <c r="D201" s="1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1" s="10" t="str">
        <f>"2"</f>
        <v>2</v>
      </c>
      <c r="F201" s="10" t="str">
        <f>"4"</f>
        <v>4</v>
      </c>
      <c r="G201" s="10" t="str">
        <f>"2"</f>
        <v>2</v>
      </c>
      <c r="H201" s="9">
        <v>98221.82</v>
      </c>
    </row>
    <row r="202" spans="1:8" ht="30" x14ac:dyDescent="0.25">
      <c r="A202" s="7">
        <v>45107</v>
      </c>
      <c r="B202" s="10">
        <v>36</v>
      </c>
      <c r="C202" s="10" t="str">
        <f t="shared" ref="C202:C210" si="31">"1740"</f>
        <v>1740</v>
      </c>
      <c r="D202" s="11" t="str">
        <f t="shared" ref="D202:D210" si="32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2" s="10" t="str">
        <f>"1"</f>
        <v>1</v>
      </c>
      <c r="F202" s="10" t="str">
        <f>"8"</f>
        <v>8</v>
      </c>
      <c r="G202" s="10" t="str">
        <f>"1"</f>
        <v>1</v>
      </c>
      <c r="H202" s="9">
        <v>4369212.75</v>
      </c>
    </row>
    <row r="203" spans="1:8" ht="30" x14ac:dyDescent="0.25">
      <c r="A203" s="7">
        <v>45107</v>
      </c>
      <c r="B203" s="10">
        <v>36</v>
      </c>
      <c r="C203" s="10" t="str">
        <f t="shared" si="31"/>
        <v>1740</v>
      </c>
      <c r="D203" s="11" t="str">
        <f t="shared" si="32"/>
        <v>Начисленные доходы по займам и финансовому лизингу, предоставленным клиентам</v>
      </c>
      <c r="E203" s="10" t="str">
        <f>"2"</f>
        <v>2</v>
      </c>
      <c r="F203" s="10" t="str">
        <f>"9"</f>
        <v>9</v>
      </c>
      <c r="G203" s="10" t="str">
        <f>"1"</f>
        <v>1</v>
      </c>
      <c r="H203" s="9">
        <v>235348.18</v>
      </c>
    </row>
    <row r="204" spans="1:8" ht="30" x14ac:dyDescent="0.25">
      <c r="A204" s="7">
        <v>45107</v>
      </c>
      <c r="B204" s="10">
        <v>36</v>
      </c>
      <c r="C204" s="10" t="str">
        <f t="shared" si="31"/>
        <v>1740</v>
      </c>
      <c r="D204" s="11" t="str">
        <f t="shared" si="32"/>
        <v>Начисленные доходы по займам и финансовому лизингу, предоставленным клиентам</v>
      </c>
      <c r="E204" s="10" t="str">
        <f>"1"</f>
        <v>1</v>
      </c>
      <c r="F204" s="10" t="str">
        <f>"7"</f>
        <v>7</v>
      </c>
      <c r="G204" s="10" t="str">
        <f>"2"</f>
        <v>2</v>
      </c>
      <c r="H204" s="9">
        <v>16915070087.610001</v>
      </c>
    </row>
    <row r="205" spans="1:8" ht="30" x14ac:dyDescent="0.25">
      <c r="A205" s="7">
        <v>45107</v>
      </c>
      <c r="B205" s="10">
        <v>36</v>
      </c>
      <c r="C205" s="10" t="str">
        <f t="shared" si="31"/>
        <v>1740</v>
      </c>
      <c r="D205" s="11" t="str">
        <f t="shared" si="32"/>
        <v>Начисленные доходы по займам и финансовому лизингу, предоставленным клиентам</v>
      </c>
      <c r="E205" s="10" t="str">
        <f>"2"</f>
        <v>2</v>
      </c>
      <c r="F205" s="10" t="str">
        <f>"9"</f>
        <v>9</v>
      </c>
      <c r="G205" s="10" t="str">
        <f>"2"</f>
        <v>2</v>
      </c>
      <c r="H205" s="9">
        <v>591516.55000000005</v>
      </c>
    </row>
    <row r="206" spans="1:8" ht="30" x14ac:dyDescent="0.25">
      <c r="A206" s="7">
        <v>45107</v>
      </c>
      <c r="B206" s="10">
        <v>36</v>
      </c>
      <c r="C206" s="10" t="str">
        <f t="shared" si="31"/>
        <v>1740</v>
      </c>
      <c r="D206" s="11" t="str">
        <f t="shared" si="32"/>
        <v>Начисленные доходы по займам и финансовому лизингу, предоставленным клиентам</v>
      </c>
      <c r="E206" s="10" t="str">
        <f t="shared" ref="E206:E211" si="33">"1"</f>
        <v>1</v>
      </c>
      <c r="F206" s="10" t="str">
        <f>"9"</f>
        <v>9</v>
      </c>
      <c r="G206" s="10" t="str">
        <f>"1"</f>
        <v>1</v>
      </c>
      <c r="H206" s="9">
        <v>5645439896.3800001</v>
      </c>
    </row>
    <row r="207" spans="1:8" ht="30" x14ac:dyDescent="0.25">
      <c r="A207" s="7">
        <v>45107</v>
      </c>
      <c r="B207" s="10">
        <v>36</v>
      </c>
      <c r="C207" s="10" t="str">
        <f t="shared" si="31"/>
        <v>1740</v>
      </c>
      <c r="D207" s="11" t="str">
        <f t="shared" si="32"/>
        <v>Начисленные доходы по займам и финансовому лизингу, предоставленным клиентам</v>
      </c>
      <c r="E207" s="10" t="str">
        <f t="shared" si="33"/>
        <v>1</v>
      </c>
      <c r="F207" s="10" t="str">
        <f>"5"</f>
        <v>5</v>
      </c>
      <c r="G207" s="10" t="str">
        <f>"1"</f>
        <v>1</v>
      </c>
      <c r="H207" s="9">
        <v>186438564.94999999</v>
      </c>
    </row>
    <row r="208" spans="1:8" ht="30" x14ac:dyDescent="0.25">
      <c r="A208" s="7">
        <v>45107</v>
      </c>
      <c r="B208" s="10">
        <v>36</v>
      </c>
      <c r="C208" s="10" t="str">
        <f t="shared" si="31"/>
        <v>1740</v>
      </c>
      <c r="D208" s="11" t="str">
        <f t="shared" si="32"/>
        <v>Начисленные доходы по займам и финансовому лизингу, предоставленным клиентам</v>
      </c>
      <c r="E208" s="10" t="str">
        <f t="shared" si="33"/>
        <v>1</v>
      </c>
      <c r="F208" s="10" t="str">
        <f>"6"</f>
        <v>6</v>
      </c>
      <c r="G208" s="10" t="str">
        <f>"1"</f>
        <v>1</v>
      </c>
      <c r="H208" s="9">
        <v>92127359.010000005</v>
      </c>
    </row>
    <row r="209" spans="1:8" ht="30" x14ac:dyDescent="0.25">
      <c r="A209" s="7">
        <v>45107</v>
      </c>
      <c r="B209" s="10">
        <v>36</v>
      </c>
      <c r="C209" s="10" t="str">
        <f t="shared" si="31"/>
        <v>1740</v>
      </c>
      <c r="D209" s="11" t="str">
        <f t="shared" si="32"/>
        <v>Начисленные доходы по займам и финансовому лизингу, предоставленным клиентам</v>
      </c>
      <c r="E209" s="10" t="str">
        <f t="shared" si="33"/>
        <v>1</v>
      </c>
      <c r="F209" s="10" t="str">
        <f>"9"</f>
        <v>9</v>
      </c>
      <c r="G209" s="10" t="str">
        <f>"2"</f>
        <v>2</v>
      </c>
      <c r="H209" s="9">
        <v>1123035.3799999999</v>
      </c>
    </row>
    <row r="210" spans="1:8" ht="30" x14ac:dyDescent="0.25">
      <c r="A210" s="7">
        <v>45107</v>
      </c>
      <c r="B210" s="10">
        <v>36</v>
      </c>
      <c r="C210" s="10" t="str">
        <f t="shared" si="31"/>
        <v>1740</v>
      </c>
      <c r="D210" s="11" t="str">
        <f t="shared" si="32"/>
        <v>Начисленные доходы по займам и финансовому лизингу, предоставленным клиентам</v>
      </c>
      <c r="E210" s="10" t="str">
        <f t="shared" si="33"/>
        <v>1</v>
      </c>
      <c r="F210" s="10" t="str">
        <f>"7"</f>
        <v>7</v>
      </c>
      <c r="G210" s="10" t="str">
        <f>"1"</f>
        <v>1</v>
      </c>
      <c r="H210" s="9">
        <v>16145917600.549999</v>
      </c>
    </row>
    <row r="211" spans="1:8" ht="30" x14ac:dyDescent="0.25">
      <c r="A211" s="7">
        <v>45107</v>
      </c>
      <c r="B211" s="10">
        <v>36</v>
      </c>
      <c r="C211" s="10" t="str">
        <f t="shared" ref="C211:C218" si="34">"1741"</f>
        <v>1741</v>
      </c>
      <c r="D211" s="11" t="str">
        <f t="shared" ref="D211:D218" si="35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1" s="10" t="str">
        <f t="shared" si="33"/>
        <v>1</v>
      </c>
      <c r="F211" s="10" t="str">
        <f>"5"</f>
        <v>5</v>
      </c>
      <c r="G211" s="10" t="str">
        <f>"1"</f>
        <v>1</v>
      </c>
      <c r="H211" s="9">
        <v>2158453757.9699998</v>
      </c>
    </row>
    <row r="212" spans="1:8" ht="30" x14ac:dyDescent="0.25">
      <c r="A212" s="7">
        <v>45107</v>
      </c>
      <c r="B212" s="10">
        <v>36</v>
      </c>
      <c r="C212" s="10" t="str">
        <f t="shared" si="34"/>
        <v>1741</v>
      </c>
      <c r="D212" s="11" t="str">
        <f t="shared" si="35"/>
        <v>Просроченное вознаграждение по займам и финансовому лизингу, предоставленным клиентам</v>
      </c>
      <c r="E212" s="10" t="str">
        <f>"2"</f>
        <v>2</v>
      </c>
      <c r="F212" s="10" t="str">
        <f>"9"</f>
        <v>9</v>
      </c>
      <c r="G212" s="10" t="str">
        <f>"1"</f>
        <v>1</v>
      </c>
      <c r="H212" s="9">
        <v>1329665.43</v>
      </c>
    </row>
    <row r="213" spans="1:8" ht="30" x14ac:dyDescent="0.25">
      <c r="A213" s="7">
        <v>45107</v>
      </c>
      <c r="B213" s="10">
        <v>36</v>
      </c>
      <c r="C213" s="10" t="str">
        <f t="shared" si="34"/>
        <v>1741</v>
      </c>
      <c r="D213" s="11" t="str">
        <f t="shared" si="35"/>
        <v>Просроченное вознаграждение по займам и финансовому лизингу, предоставленным клиентам</v>
      </c>
      <c r="E213" s="10" t="str">
        <f>"1"</f>
        <v>1</v>
      </c>
      <c r="F213" s="10" t="str">
        <f>"9"</f>
        <v>9</v>
      </c>
      <c r="G213" s="10" t="str">
        <f>"2"</f>
        <v>2</v>
      </c>
      <c r="H213" s="9">
        <v>214819391.19</v>
      </c>
    </row>
    <row r="214" spans="1:8" ht="30" x14ac:dyDescent="0.25">
      <c r="A214" s="7">
        <v>45107</v>
      </c>
      <c r="B214" s="10">
        <v>36</v>
      </c>
      <c r="C214" s="10" t="str">
        <f t="shared" si="34"/>
        <v>1741</v>
      </c>
      <c r="D214" s="11" t="str">
        <f t="shared" si="35"/>
        <v>Просроченное вознаграждение по займам и финансовому лизингу, предоставленным клиентам</v>
      </c>
      <c r="E214" s="10" t="str">
        <f>"1"</f>
        <v>1</v>
      </c>
      <c r="F214" s="10" t="str">
        <f>"7"</f>
        <v>7</v>
      </c>
      <c r="G214" s="10" t="str">
        <f>"1"</f>
        <v>1</v>
      </c>
      <c r="H214" s="9">
        <v>70066607240.539993</v>
      </c>
    </row>
    <row r="215" spans="1:8" ht="30" x14ac:dyDescent="0.25">
      <c r="A215" s="7">
        <v>45107</v>
      </c>
      <c r="B215" s="10">
        <v>36</v>
      </c>
      <c r="C215" s="10" t="str">
        <f t="shared" si="34"/>
        <v>1741</v>
      </c>
      <c r="D215" s="11" t="str">
        <f t="shared" si="35"/>
        <v>Просроченное вознаграждение по займам и финансовому лизингу, предоставленным клиентам</v>
      </c>
      <c r="E215" s="10" t="str">
        <f>"1"</f>
        <v>1</v>
      </c>
      <c r="F215" s="10" t="str">
        <f>"7"</f>
        <v>7</v>
      </c>
      <c r="G215" s="10" t="str">
        <f>"2"</f>
        <v>2</v>
      </c>
      <c r="H215" s="9">
        <v>2667649825.9000001</v>
      </c>
    </row>
    <row r="216" spans="1:8" ht="30" x14ac:dyDescent="0.25">
      <c r="A216" s="7">
        <v>45107</v>
      </c>
      <c r="B216" s="10">
        <v>36</v>
      </c>
      <c r="C216" s="10" t="str">
        <f t="shared" si="34"/>
        <v>1741</v>
      </c>
      <c r="D216" s="11" t="str">
        <f t="shared" si="35"/>
        <v>Просроченное вознаграждение по займам и финансовому лизингу, предоставленным клиентам</v>
      </c>
      <c r="E216" s="10" t="str">
        <f>"2"</f>
        <v>2</v>
      </c>
      <c r="F216" s="10" t="str">
        <f>"9"</f>
        <v>9</v>
      </c>
      <c r="G216" s="10" t="str">
        <f>"2"</f>
        <v>2</v>
      </c>
      <c r="H216" s="9">
        <v>93733.52</v>
      </c>
    </row>
    <row r="217" spans="1:8" ht="30" x14ac:dyDescent="0.25">
      <c r="A217" s="7">
        <v>45107</v>
      </c>
      <c r="B217" s="10">
        <v>36</v>
      </c>
      <c r="C217" s="10" t="str">
        <f t="shared" si="34"/>
        <v>1741</v>
      </c>
      <c r="D217" s="11" t="str">
        <f t="shared" si="35"/>
        <v>Просроченное вознаграждение по займам и финансовому лизингу, предоставленным клиентам</v>
      </c>
      <c r="E217" s="10" t="str">
        <f>"2"</f>
        <v>2</v>
      </c>
      <c r="F217" s="10" t="str">
        <f>"7"</f>
        <v>7</v>
      </c>
      <c r="G217" s="10" t="str">
        <f>"1"</f>
        <v>1</v>
      </c>
      <c r="H217" s="9">
        <v>1868865931.8299999</v>
      </c>
    </row>
    <row r="218" spans="1:8" ht="30" x14ac:dyDescent="0.25">
      <c r="A218" s="7">
        <v>45107</v>
      </c>
      <c r="B218" s="10">
        <v>36</v>
      </c>
      <c r="C218" s="10" t="str">
        <f t="shared" si="34"/>
        <v>1741</v>
      </c>
      <c r="D218" s="11" t="str">
        <f t="shared" si="35"/>
        <v>Просроченное вознаграждение по займам и финансовому лизингу, предоставленным клиентам</v>
      </c>
      <c r="E218" s="10" t="str">
        <f>"1"</f>
        <v>1</v>
      </c>
      <c r="F218" s="10" t="str">
        <f>"9"</f>
        <v>9</v>
      </c>
      <c r="G218" s="10" t="str">
        <f>"1"</f>
        <v>1</v>
      </c>
      <c r="H218" s="9">
        <v>7319226948.6300001</v>
      </c>
    </row>
    <row r="219" spans="1:8" ht="30" x14ac:dyDescent="0.25">
      <c r="A219" s="7">
        <v>45107</v>
      </c>
      <c r="B219" s="10">
        <v>36</v>
      </c>
      <c r="C219" s="10" t="str">
        <f>"1744"</f>
        <v>1744</v>
      </c>
      <c r="D219" s="1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19" s="10" t="str">
        <f>"1"</f>
        <v>1</v>
      </c>
      <c r="F219" s="10" t="str">
        <f>"1"</f>
        <v>1</v>
      </c>
      <c r="G219" s="10" t="str">
        <f>"1"</f>
        <v>1</v>
      </c>
      <c r="H219" s="9">
        <v>61.57</v>
      </c>
    </row>
    <row r="220" spans="1:8" ht="30" x14ac:dyDescent="0.25">
      <c r="A220" s="7">
        <v>45107</v>
      </c>
      <c r="B220" s="10">
        <v>36</v>
      </c>
      <c r="C220" s="10" t="str">
        <f>"1745"</f>
        <v>1745</v>
      </c>
      <c r="D220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0" s="10" t="str">
        <f>"1"</f>
        <v>1</v>
      </c>
      <c r="F220" s="10" t="str">
        <f>"1"</f>
        <v>1</v>
      </c>
      <c r="G220" s="10" t="str">
        <f>"2"</f>
        <v>2</v>
      </c>
      <c r="H220" s="9">
        <v>162396245.78999999</v>
      </c>
    </row>
    <row r="221" spans="1:8" ht="30" x14ac:dyDescent="0.25">
      <c r="A221" s="7">
        <v>45107</v>
      </c>
      <c r="B221" s="10">
        <v>36</v>
      </c>
      <c r="C221" s="10" t="str">
        <f>"1745"</f>
        <v>1745</v>
      </c>
      <c r="D221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1" s="10" t="str">
        <f>"2"</f>
        <v>2</v>
      </c>
      <c r="F221" s="10" t="str">
        <f>"3"</f>
        <v>3</v>
      </c>
      <c r="G221" s="10" t="str">
        <f>"1"</f>
        <v>1</v>
      </c>
      <c r="H221" s="9">
        <v>202222222.22</v>
      </c>
    </row>
    <row r="222" spans="1:8" ht="30" x14ac:dyDescent="0.25">
      <c r="A222" s="7">
        <v>45107</v>
      </c>
      <c r="B222" s="10">
        <v>36</v>
      </c>
      <c r="C222" s="10" t="str">
        <f>"1745"</f>
        <v>1745</v>
      </c>
      <c r="D222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2" s="10" t="str">
        <f>"1"</f>
        <v>1</v>
      </c>
      <c r="F222" s="10" t="str">
        <f>"1"</f>
        <v>1</v>
      </c>
      <c r="G222" s="10" t="str">
        <f>"1"</f>
        <v>1</v>
      </c>
      <c r="H222" s="9">
        <v>1219075</v>
      </c>
    </row>
    <row r="223" spans="1:8" ht="30" x14ac:dyDescent="0.25">
      <c r="A223" s="7">
        <v>45107</v>
      </c>
      <c r="B223" s="10">
        <v>36</v>
      </c>
      <c r="C223" s="10" t="str">
        <f>"1745"</f>
        <v>1745</v>
      </c>
      <c r="D223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3" s="10" t="str">
        <f>"1"</f>
        <v>1</v>
      </c>
      <c r="F223" s="10" t="str">
        <f>"4"</f>
        <v>4</v>
      </c>
      <c r="G223" s="10" t="str">
        <f>"2"</f>
        <v>2</v>
      </c>
      <c r="H223" s="9">
        <v>177075959.78999999</v>
      </c>
    </row>
    <row r="224" spans="1:8" ht="30" x14ac:dyDescent="0.25">
      <c r="A224" s="7">
        <v>45107</v>
      </c>
      <c r="B224" s="10">
        <v>36</v>
      </c>
      <c r="C224" s="10" t="str">
        <f t="shared" ref="C224:C229" si="36">"1746"</f>
        <v>1746</v>
      </c>
      <c r="D224" s="11" t="str">
        <f t="shared" ref="D224:D229" si="37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4" s="10" t="str">
        <f>"1"</f>
        <v>1</v>
      </c>
      <c r="F224" s="10" t="str">
        <f>"5"</f>
        <v>5</v>
      </c>
      <c r="G224" s="10" t="str">
        <f>"1"</f>
        <v>1</v>
      </c>
      <c r="H224" s="9">
        <v>3393219720.0700002</v>
      </c>
    </row>
    <row r="225" spans="1:8" ht="30" x14ac:dyDescent="0.25">
      <c r="A225" s="7">
        <v>45107</v>
      </c>
      <c r="B225" s="10">
        <v>36</v>
      </c>
      <c r="C225" s="10" t="str">
        <f t="shared" si="36"/>
        <v>1746</v>
      </c>
      <c r="D225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5" s="10" t="str">
        <f>"1"</f>
        <v>1</v>
      </c>
      <c r="F225" s="10" t="str">
        <f>"1"</f>
        <v>1</v>
      </c>
      <c r="G225" s="10" t="str">
        <f>"1"</f>
        <v>1</v>
      </c>
      <c r="H225" s="9">
        <v>4282529975.7199998</v>
      </c>
    </row>
    <row r="226" spans="1:8" ht="30" x14ac:dyDescent="0.25">
      <c r="A226" s="7">
        <v>45107</v>
      </c>
      <c r="B226" s="10">
        <v>36</v>
      </c>
      <c r="C226" s="10" t="str">
        <f t="shared" si="36"/>
        <v>1746</v>
      </c>
      <c r="D226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6" s="10" t="str">
        <f>"1"</f>
        <v>1</v>
      </c>
      <c r="F226" s="10" t="str">
        <f>"6"</f>
        <v>6</v>
      </c>
      <c r="G226" s="10" t="str">
        <f>"2"</f>
        <v>2</v>
      </c>
      <c r="H226" s="9">
        <v>79189250</v>
      </c>
    </row>
    <row r="227" spans="1:8" ht="30" x14ac:dyDescent="0.25">
      <c r="A227" s="7">
        <v>45107</v>
      </c>
      <c r="B227" s="10">
        <v>36</v>
      </c>
      <c r="C227" s="10" t="str">
        <f t="shared" si="36"/>
        <v>1746</v>
      </c>
      <c r="D227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7" s="10" t="str">
        <f>"1"</f>
        <v>1</v>
      </c>
      <c r="F227" s="10" t="str">
        <f>"4"</f>
        <v>4</v>
      </c>
      <c r="G227" s="10" t="str">
        <f>"1"</f>
        <v>1</v>
      </c>
      <c r="H227" s="9">
        <v>303209099.31</v>
      </c>
    </row>
    <row r="228" spans="1:8" ht="30" x14ac:dyDescent="0.25">
      <c r="A228" s="7">
        <v>45107</v>
      </c>
      <c r="B228" s="10">
        <v>36</v>
      </c>
      <c r="C228" s="10" t="str">
        <f t="shared" si="36"/>
        <v>1746</v>
      </c>
      <c r="D228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8" s="10" t="str">
        <f>"2"</f>
        <v>2</v>
      </c>
      <c r="F228" s="10" t="str">
        <f>"1"</f>
        <v>1</v>
      </c>
      <c r="G228" s="10" t="str">
        <f>"2"</f>
        <v>2</v>
      </c>
      <c r="H228" s="9">
        <v>17247305.52</v>
      </c>
    </row>
    <row r="229" spans="1:8" ht="30" x14ac:dyDescent="0.25">
      <c r="A229" s="7">
        <v>45107</v>
      </c>
      <c r="B229" s="10">
        <v>36</v>
      </c>
      <c r="C229" s="10" t="str">
        <f t="shared" si="36"/>
        <v>1746</v>
      </c>
      <c r="D229" s="11" t="str">
        <f t="shared" si="37"/>
        <v>Начисленные доходы по ценным бумагам, учитываемым по справедливой стоимости через прочий совокупный доход</v>
      </c>
      <c r="E229" s="10" t="str">
        <f>"1"</f>
        <v>1</v>
      </c>
      <c r="F229" s="10" t="str">
        <f>"1"</f>
        <v>1</v>
      </c>
      <c r="G229" s="10" t="str">
        <f>"2"</f>
        <v>2</v>
      </c>
      <c r="H229" s="9">
        <v>86740994.810000002</v>
      </c>
    </row>
    <row r="230" spans="1:8" ht="30" x14ac:dyDescent="0.25">
      <c r="A230" s="7">
        <v>45107</v>
      </c>
      <c r="B230" s="10">
        <v>36</v>
      </c>
      <c r="C230" s="10" t="str">
        <f>"1747"</f>
        <v>1747</v>
      </c>
      <c r="D230" s="11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0" s="10" t="str">
        <f>"2"</f>
        <v>2</v>
      </c>
      <c r="F230" s="10" t="str">
        <f>"4"</f>
        <v>4</v>
      </c>
      <c r="G230" s="10" t="str">
        <f>"2"</f>
        <v>2</v>
      </c>
      <c r="H230" s="9">
        <v>2231557.59</v>
      </c>
    </row>
    <row r="231" spans="1:8" x14ac:dyDescent="0.25">
      <c r="A231" s="7">
        <v>45107</v>
      </c>
      <c r="B231" s="10">
        <v>36</v>
      </c>
      <c r="C231" s="10" t="str">
        <f>"1748"</f>
        <v>1748</v>
      </c>
      <c r="D231" s="11" t="s">
        <v>11</v>
      </c>
      <c r="E231" s="10" t="str">
        <f>"1"</f>
        <v>1</v>
      </c>
      <c r="F231" s="10" t="str">
        <f>"5"</f>
        <v>5</v>
      </c>
      <c r="G231" s="10" t="str">
        <f>"1"</f>
        <v>1</v>
      </c>
      <c r="H231" s="9">
        <v>21794760.420000002</v>
      </c>
    </row>
    <row r="232" spans="1:8" x14ac:dyDescent="0.25">
      <c r="A232" s="7">
        <v>45107</v>
      </c>
      <c r="B232" s="10">
        <v>36</v>
      </c>
      <c r="C232" s="10" t="str">
        <f>"1752"</f>
        <v>1752</v>
      </c>
      <c r="D232" s="11" t="str">
        <f>"Начисленные доходы по учтенным векселям"</f>
        <v>Начисленные доходы по учтенным векселям</v>
      </c>
      <c r="E232" s="10" t="str">
        <f>"1"</f>
        <v>1</v>
      </c>
      <c r="F232" s="10" t="str">
        <f>"1"</f>
        <v>1</v>
      </c>
      <c r="G232" s="10" t="str">
        <f>"1"</f>
        <v>1</v>
      </c>
      <c r="H232" s="9">
        <v>633514000</v>
      </c>
    </row>
    <row r="233" spans="1:8" x14ac:dyDescent="0.25">
      <c r="A233" s="7">
        <v>45107</v>
      </c>
      <c r="B233" s="10">
        <v>36</v>
      </c>
      <c r="C233" s="10" t="str">
        <f>"1752"</f>
        <v>1752</v>
      </c>
      <c r="D233" s="11" t="str">
        <f>"Начисленные доходы по учтенным векселям"</f>
        <v>Начисленные доходы по учтенным векселям</v>
      </c>
      <c r="E233" s="10" t="str">
        <f>"1"</f>
        <v>1</v>
      </c>
      <c r="F233" s="10" t="str">
        <f>"1"</f>
        <v>1</v>
      </c>
      <c r="G233" s="10" t="str">
        <f>"2"</f>
        <v>2</v>
      </c>
      <c r="H233" s="9">
        <v>81853977.310000002</v>
      </c>
    </row>
    <row r="234" spans="1:8" x14ac:dyDescent="0.25">
      <c r="A234" s="7">
        <v>45107</v>
      </c>
      <c r="B234" s="10">
        <v>36</v>
      </c>
      <c r="C234" s="10" t="str">
        <f t="shared" ref="C234:C241" si="38">"1793"</f>
        <v>1793</v>
      </c>
      <c r="D234" s="11" t="str">
        <f t="shared" ref="D234:D241" si="39">"Расходы будущих периодов"</f>
        <v>Расходы будущих периодов</v>
      </c>
      <c r="E234" s="10" t="str">
        <f>"2"</f>
        <v>2</v>
      </c>
      <c r="F234" s="10" t="str">
        <f>"1"</f>
        <v>1</v>
      </c>
      <c r="G234" s="10" t="str">
        <f>"2"</f>
        <v>2</v>
      </c>
      <c r="H234" s="9">
        <v>1591038.74</v>
      </c>
    </row>
    <row r="235" spans="1:8" x14ac:dyDescent="0.25">
      <c r="A235" s="7">
        <v>45107</v>
      </c>
      <c r="B235" s="10">
        <v>36</v>
      </c>
      <c r="C235" s="10" t="str">
        <f t="shared" si="38"/>
        <v>1793</v>
      </c>
      <c r="D235" s="11" t="str">
        <f t="shared" si="39"/>
        <v>Расходы будущих периодов</v>
      </c>
      <c r="E235" s="10" t="str">
        <f>"1"</f>
        <v>1</v>
      </c>
      <c r="F235" s="10" t="str">
        <f>"7"</f>
        <v>7</v>
      </c>
      <c r="G235" s="10" t="str">
        <f t="shared" ref="G235:G249" si="40">"1"</f>
        <v>1</v>
      </c>
      <c r="H235" s="9">
        <v>1107986096.6900001</v>
      </c>
    </row>
    <row r="236" spans="1:8" x14ac:dyDescent="0.25">
      <c r="A236" s="7">
        <v>45107</v>
      </c>
      <c r="B236" s="10">
        <v>36</v>
      </c>
      <c r="C236" s="10" t="str">
        <f t="shared" si="38"/>
        <v>1793</v>
      </c>
      <c r="D236" s="11" t="str">
        <f t="shared" si="39"/>
        <v>Расходы будущих периодов</v>
      </c>
      <c r="E236" s="10" t="str">
        <f>"1"</f>
        <v>1</v>
      </c>
      <c r="F236" s="10" t="str">
        <f>"9"</f>
        <v>9</v>
      </c>
      <c r="G236" s="10" t="str">
        <f t="shared" si="40"/>
        <v>1</v>
      </c>
      <c r="H236" s="9">
        <v>106814.74</v>
      </c>
    </row>
    <row r="237" spans="1:8" x14ac:dyDescent="0.25">
      <c r="A237" s="7">
        <v>45107</v>
      </c>
      <c r="B237" s="10">
        <v>36</v>
      </c>
      <c r="C237" s="10" t="str">
        <f t="shared" si="38"/>
        <v>1793</v>
      </c>
      <c r="D237" s="11" t="str">
        <f t="shared" si="39"/>
        <v>Расходы будущих периодов</v>
      </c>
      <c r="E237" s="10" t="str">
        <f>"1"</f>
        <v>1</v>
      </c>
      <c r="F237" s="10" t="str">
        <f>"8"</f>
        <v>8</v>
      </c>
      <c r="G237" s="10" t="str">
        <f t="shared" si="40"/>
        <v>1</v>
      </c>
      <c r="H237" s="9">
        <v>350000.02</v>
      </c>
    </row>
    <row r="238" spans="1:8" x14ac:dyDescent="0.25">
      <c r="A238" s="7">
        <v>45107</v>
      </c>
      <c r="B238" s="10">
        <v>36</v>
      </c>
      <c r="C238" s="10" t="str">
        <f t="shared" si="38"/>
        <v>1793</v>
      </c>
      <c r="D238" s="11" t="str">
        <f t="shared" si="39"/>
        <v>Расходы будущих периодов</v>
      </c>
      <c r="E238" s="10" t="str">
        <f>"2"</f>
        <v>2</v>
      </c>
      <c r="F238" s="10" t="str">
        <f>"5"</f>
        <v>5</v>
      </c>
      <c r="G238" s="10" t="str">
        <f t="shared" si="40"/>
        <v>1</v>
      </c>
      <c r="H238" s="9">
        <v>15229945.9</v>
      </c>
    </row>
    <row r="239" spans="1:8" x14ac:dyDescent="0.25">
      <c r="A239" s="7">
        <v>45107</v>
      </c>
      <c r="B239" s="10">
        <v>36</v>
      </c>
      <c r="C239" s="10" t="str">
        <f t="shared" si="38"/>
        <v>1793</v>
      </c>
      <c r="D239" s="11" t="str">
        <f t="shared" si="39"/>
        <v>Расходы будущих периодов</v>
      </c>
      <c r="E239" s="10" t="str">
        <f>"1"</f>
        <v>1</v>
      </c>
      <c r="F239" s="10" t="str">
        <f>"5"</f>
        <v>5</v>
      </c>
      <c r="G239" s="10" t="str">
        <f t="shared" si="40"/>
        <v>1</v>
      </c>
      <c r="H239" s="9">
        <v>12125534.66</v>
      </c>
    </row>
    <row r="240" spans="1:8" x14ac:dyDescent="0.25">
      <c r="A240" s="7">
        <v>45107</v>
      </c>
      <c r="B240" s="10">
        <v>36</v>
      </c>
      <c r="C240" s="10" t="str">
        <f t="shared" si="38"/>
        <v>1793</v>
      </c>
      <c r="D240" s="11" t="str">
        <f t="shared" si="39"/>
        <v>Расходы будущих периодов</v>
      </c>
      <c r="E240" s="10" t="str">
        <f>"2"</f>
        <v>2</v>
      </c>
      <c r="F240" s="10" t="str">
        <f>"7"</f>
        <v>7</v>
      </c>
      <c r="G240" s="10" t="str">
        <f t="shared" si="40"/>
        <v>1</v>
      </c>
      <c r="H240" s="9">
        <v>57637075.229999997</v>
      </c>
    </row>
    <row r="241" spans="1:8" x14ac:dyDescent="0.25">
      <c r="A241" s="7">
        <v>45107</v>
      </c>
      <c r="B241" s="10">
        <v>36</v>
      </c>
      <c r="C241" s="10" t="str">
        <f t="shared" si="38"/>
        <v>1793</v>
      </c>
      <c r="D241" s="11" t="str">
        <f t="shared" si="39"/>
        <v>Расходы будущих периодов</v>
      </c>
      <c r="E241" s="10" t="str">
        <f>"1"</f>
        <v>1</v>
      </c>
      <c r="F241" s="10" t="str">
        <f>"4"</f>
        <v>4</v>
      </c>
      <c r="G241" s="10" t="str">
        <f t="shared" si="40"/>
        <v>1</v>
      </c>
      <c r="H241" s="9">
        <v>4076436</v>
      </c>
    </row>
    <row r="242" spans="1:8" x14ac:dyDescent="0.25">
      <c r="A242" s="7">
        <v>45107</v>
      </c>
      <c r="B242" s="10">
        <v>36</v>
      </c>
      <c r="C242" s="10" t="str">
        <f t="shared" ref="C242:C248" si="41">"1799"</f>
        <v>1799</v>
      </c>
      <c r="D242" s="11" t="str">
        <f t="shared" ref="D242:D248" si="42">"Прочие предоплаты"</f>
        <v>Прочие предоплаты</v>
      </c>
      <c r="E242" s="10" t="str">
        <f>"2"</f>
        <v>2</v>
      </c>
      <c r="F242" s="10" t="str">
        <f>"2"</f>
        <v>2</v>
      </c>
      <c r="G242" s="10" t="str">
        <f t="shared" si="40"/>
        <v>1</v>
      </c>
      <c r="H242" s="9">
        <v>1042200</v>
      </c>
    </row>
    <row r="243" spans="1:8" x14ac:dyDescent="0.25">
      <c r="A243" s="7">
        <v>45107</v>
      </c>
      <c r="B243" s="10">
        <v>36</v>
      </c>
      <c r="C243" s="10" t="str">
        <f t="shared" si="41"/>
        <v>1799</v>
      </c>
      <c r="D243" s="11" t="str">
        <f t="shared" si="42"/>
        <v>Прочие предоплаты</v>
      </c>
      <c r="E243" s="10" t="str">
        <f>"1"</f>
        <v>1</v>
      </c>
      <c r="F243" s="10" t="str">
        <f>"6"</f>
        <v>6</v>
      </c>
      <c r="G243" s="10" t="str">
        <f t="shared" si="40"/>
        <v>1</v>
      </c>
      <c r="H243" s="9">
        <v>9886170.9299999997</v>
      </c>
    </row>
    <row r="244" spans="1:8" x14ac:dyDescent="0.25">
      <c r="A244" s="7">
        <v>45107</v>
      </c>
      <c r="B244" s="10">
        <v>36</v>
      </c>
      <c r="C244" s="10" t="str">
        <f t="shared" si="41"/>
        <v>1799</v>
      </c>
      <c r="D244" s="11" t="str">
        <f t="shared" si="42"/>
        <v>Прочие предоплаты</v>
      </c>
      <c r="E244" s="10" t="str">
        <f>"1"</f>
        <v>1</v>
      </c>
      <c r="F244" s="10" t="str">
        <f>"8"</f>
        <v>8</v>
      </c>
      <c r="G244" s="10" t="str">
        <f t="shared" si="40"/>
        <v>1</v>
      </c>
      <c r="H244" s="9">
        <v>30273625</v>
      </c>
    </row>
    <row r="245" spans="1:8" x14ac:dyDescent="0.25">
      <c r="A245" s="7">
        <v>45107</v>
      </c>
      <c r="B245" s="10">
        <v>36</v>
      </c>
      <c r="C245" s="10" t="str">
        <f t="shared" si="41"/>
        <v>1799</v>
      </c>
      <c r="D245" s="11" t="str">
        <f t="shared" si="42"/>
        <v>Прочие предоплаты</v>
      </c>
      <c r="E245" s="10" t="str">
        <f>"1"</f>
        <v>1</v>
      </c>
      <c r="F245" s="10" t="str">
        <f>"7"</f>
        <v>7</v>
      </c>
      <c r="G245" s="10" t="str">
        <f t="shared" si="40"/>
        <v>1</v>
      </c>
      <c r="H245" s="9">
        <v>619363313.11000001</v>
      </c>
    </row>
    <row r="246" spans="1:8" x14ac:dyDescent="0.25">
      <c r="A246" s="7">
        <v>45107</v>
      </c>
      <c r="B246" s="10">
        <v>36</v>
      </c>
      <c r="C246" s="10" t="str">
        <f t="shared" si="41"/>
        <v>1799</v>
      </c>
      <c r="D246" s="11" t="str">
        <f t="shared" si="42"/>
        <v>Прочие предоплаты</v>
      </c>
      <c r="E246" s="10" t="str">
        <f>"1"</f>
        <v>1</v>
      </c>
      <c r="F246" s="10" t="str">
        <f>"5"</f>
        <v>5</v>
      </c>
      <c r="G246" s="10" t="str">
        <f t="shared" si="40"/>
        <v>1</v>
      </c>
      <c r="H246" s="9">
        <v>1454838567.5</v>
      </c>
    </row>
    <row r="247" spans="1:8" x14ac:dyDescent="0.25">
      <c r="A247" s="7">
        <v>45107</v>
      </c>
      <c r="B247" s="10">
        <v>36</v>
      </c>
      <c r="C247" s="10" t="str">
        <f t="shared" si="41"/>
        <v>1799</v>
      </c>
      <c r="D247" s="11" t="str">
        <f t="shared" si="42"/>
        <v>Прочие предоплаты</v>
      </c>
      <c r="E247" s="10" t="str">
        <f>"2"</f>
        <v>2</v>
      </c>
      <c r="F247" s="10" t="str">
        <f>"7"</f>
        <v>7</v>
      </c>
      <c r="G247" s="10" t="str">
        <f t="shared" si="40"/>
        <v>1</v>
      </c>
      <c r="H247" s="9">
        <v>2485012736.27</v>
      </c>
    </row>
    <row r="248" spans="1:8" x14ac:dyDescent="0.25">
      <c r="A248" s="7">
        <v>45107</v>
      </c>
      <c r="B248" s="10">
        <v>36</v>
      </c>
      <c r="C248" s="10" t="str">
        <f t="shared" si="41"/>
        <v>1799</v>
      </c>
      <c r="D248" s="11" t="str">
        <f t="shared" si="42"/>
        <v>Прочие предоплаты</v>
      </c>
      <c r="E248" s="10" t="str">
        <f>"1"</f>
        <v>1</v>
      </c>
      <c r="F248" s="10" t="str">
        <f>"9"</f>
        <v>9</v>
      </c>
      <c r="G248" s="10" t="str">
        <f t="shared" si="40"/>
        <v>1</v>
      </c>
      <c r="H248" s="9">
        <v>282908080.20999998</v>
      </c>
    </row>
    <row r="249" spans="1:8" ht="30" x14ac:dyDescent="0.25">
      <c r="A249" s="7">
        <v>45107</v>
      </c>
      <c r="B249" s="10">
        <v>36</v>
      </c>
      <c r="C249" s="10" t="str">
        <f>"1811"</f>
        <v>1811</v>
      </c>
      <c r="D249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49" s="10" t="str">
        <f>"1"</f>
        <v>1</v>
      </c>
      <c r="F249" s="10" t="str">
        <f>""</f>
        <v/>
      </c>
      <c r="G249" s="10" t="str">
        <f t="shared" si="40"/>
        <v>1</v>
      </c>
      <c r="H249" s="9">
        <v>415606752.75</v>
      </c>
    </row>
    <row r="250" spans="1:8" ht="30" x14ac:dyDescent="0.25">
      <c r="A250" s="7">
        <v>45107</v>
      </c>
      <c r="B250" s="10">
        <v>36</v>
      </c>
      <c r="C250" s="10" t="str">
        <f>"1816"</f>
        <v>1816</v>
      </c>
      <c r="D250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0" s="10" t="str">
        <f>"2"</f>
        <v>2</v>
      </c>
      <c r="F250" s="10" t="str">
        <f>""</f>
        <v/>
      </c>
      <c r="G250" s="10" t="str">
        <f>"2"</f>
        <v>2</v>
      </c>
      <c r="H250" s="9">
        <v>1762182.54</v>
      </c>
    </row>
    <row r="251" spans="1:8" ht="30" x14ac:dyDescent="0.25">
      <c r="A251" s="7">
        <v>45107</v>
      </c>
      <c r="B251" s="10">
        <v>36</v>
      </c>
      <c r="C251" s="10" t="str">
        <f>"1816"</f>
        <v>1816</v>
      </c>
      <c r="D251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1" s="10" t="str">
        <f>"2"</f>
        <v>2</v>
      </c>
      <c r="F251" s="10" t="str">
        <f>""</f>
        <v/>
      </c>
      <c r="G251" s="10" t="str">
        <f>"1"</f>
        <v>1</v>
      </c>
      <c r="H251" s="9">
        <v>90580314.969999999</v>
      </c>
    </row>
    <row r="252" spans="1:8" ht="30" x14ac:dyDescent="0.25">
      <c r="A252" s="7">
        <v>45107</v>
      </c>
      <c r="B252" s="10">
        <v>36</v>
      </c>
      <c r="C252" s="10" t="str">
        <f>"1816"</f>
        <v>1816</v>
      </c>
      <c r="D252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2" s="10" t="str">
        <f>"1"</f>
        <v>1</v>
      </c>
      <c r="F252" s="10" t="str">
        <f>""</f>
        <v/>
      </c>
      <c r="G252" s="10" t="str">
        <f>"3"</f>
        <v>3</v>
      </c>
      <c r="H252" s="9">
        <v>15117297.890000001</v>
      </c>
    </row>
    <row r="253" spans="1:8" ht="30" x14ac:dyDescent="0.25">
      <c r="A253" s="7">
        <v>45107</v>
      </c>
      <c r="B253" s="10">
        <v>36</v>
      </c>
      <c r="C253" s="10" t="str">
        <f>"1816"</f>
        <v>1816</v>
      </c>
      <c r="D253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3" s="10" t="str">
        <f>"1"</f>
        <v>1</v>
      </c>
      <c r="F253" s="10" t="str">
        <f>""</f>
        <v/>
      </c>
      <c r="G253" s="10" t="str">
        <f>"2"</f>
        <v>2</v>
      </c>
      <c r="H253" s="9">
        <v>67066608.43</v>
      </c>
    </row>
    <row r="254" spans="1:8" ht="30" x14ac:dyDescent="0.25">
      <c r="A254" s="7">
        <v>45107</v>
      </c>
      <c r="B254" s="10">
        <v>36</v>
      </c>
      <c r="C254" s="10" t="str">
        <f>"1816"</f>
        <v>1816</v>
      </c>
      <c r="D254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4" s="10" t="str">
        <f>"1"</f>
        <v>1</v>
      </c>
      <c r="F254" s="10" t="str">
        <f>""</f>
        <v/>
      </c>
      <c r="G254" s="10" t="str">
        <f>"1"</f>
        <v>1</v>
      </c>
      <c r="H254" s="9">
        <v>1856555147.9100001</v>
      </c>
    </row>
    <row r="255" spans="1:8" ht="30" x14ac:dyDescent="0.25">
      <c r="A255" s="7">
        <v>45107</v>
      </c>
      <c r="B255" s="10">
        <v>36</v>
      </c>
      <c r="C255" s="10" t="str">
        <f>"1817"</f>
        <v>1817</v>
      </c>
      <c r="D255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5" s="10" t="str">
        <f>"1"</f>
        <v>1</v>
      </c>
      <c r="F255" s="10" t="str">
        <f>""</f>
        <v/>
      </c>
      <c r="G255" s="10" t="str">
        <f>"2"</f>
        <v>2</v>
      </c>
      <c r="H255" s="9">
        <v>26629.599999999999</v>
      </c>
    </row>
    <row r="256" spans="1:8" ht="30" x14ac:dyDescent="0.25">
      <c r="A256" s="7">
        <v>45107</v>
      </c>
      <c r="B256" s="10">
        <v>36</v>
      </c>
      <c r="C256" s="10" t="str">
        <f>"1817"</f>
        <v>1817</v>
      </c>
      <c r="D256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6" s="10" t="str">
        <f>"2"</f>
        <v>2</v>
      </c>
      <c r="F256" s="10" t="str">
        <f>""</f>
        <v/>
      </c>
      <c r="G256" s="10" t="str">
        <f>"1"</f>
        <v>1</v>
      </c>
      <c r="H256" s="9">
        <v>151.59</v>
      </c>
    </row>
    <row r="257" spans="1:8" ht="30" x14ac:dyDescent="0.25">
      <c r="A257" s="7">
        <v>45107</v>
      </c>
      <c r="B257" s="10">
        <v>36</v>
      </c>
      <c r="C257" s="10" t="str">
        <f>"1817"</f>
        <v>1817</v>
      </c>
      <c r="D257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7" s="10" t="str">
        <f>"2"</f>
        <v>2</v>
      </c>
      <c r="F257" s="10" t="str">
        <f>""</f>
        <v/>
      </c>
      <c r="G257" s="10" t="str">
        <f>"2"</f>
        <v>2</v>
      </c>
      <c r="H257" s="9">
        <v>4.91</v>
      </c>
    </row>
    <row r="258" spans="1:8" ht="30" x14ac:dyDescent="0.25">
      <c r="A258" s="7">
        <v>45107</v>
      </c>
      <c r="B258" s="10">
        <v>36</v>
      </c>
      <c r="C258" s="10" t="str">
        <f>"1817"</f>
        <v>1817</v>
      </c>
      <c r="D258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8" s="10" t="str">
        <f>"1"</f>
        <v>1</v>
      </c>
      <c r="F258" s="10" t="str">
        <f>""</f>
        <v/>
      </c>
      <c r="G258" s="10" t="str">
        <f>"1"</f>
        <v>1</v>
      </c>
      <c r="H258" s="9">
        <v>106570.15</v>
      </c>
    </row>
    <row r="259" spans="1:8" x14ac:dyDescent="0.25">
      <c r="A259" s="7">
        <v>45107</v>
      </c>
      <c r="B259" s="10">
        <v>36</v>
      </c>
      <c r="C259" s="10" t="str">
        <f>"1818"</f>
        <v>1818</v>
      </c>
      <c r="D259" s="11" t="str">
        <f>"Начисленные прочие комиссионные доходы"</f>
        <v>Начисленные прочие комиссионные доходы</v>
      </c>
      <c r="E259" s="10" t="str">
        <f>"2"</f>
        <v>2</v>
      </c>
      <c r="F259" s="10" t="str">
        <f>""</f>
        <v/>
      </c>
      <c r="G259" s="10" t="str">
        <f>"1"</f>
        <v>1</v>
      </c>
      <c r="H259" s="9">
        <v>84044.02</v>
      </c>
    </row>
    <row r="260" spans="1:8" x14ac:dyDescent="0.25">
      <c r="A260" s="7">
        <v>45107</v>
      </c>
      <c r="B260" s="10">
        <v>36</v>
      </c>
      <c r="C260" s="10" t="str">
        <f>"1818"</f>
        <v>1818</v>
      </c>
      <c r="D260" s="11" t="str">
        <f>"Начисленные прочие комиссионные доходы"</f>
        <v>Начисленные прочие комиссионные доходы</v>
      </c>
      <c r="E260" s="10" t="str">
        <f t="shared" ref="E260:E266" si="43">"1"</f>
        <v>1</v>
      </c>
      <c r="F260" s="10" t="str">
        <f>""</f>
        <v/>
      </c>
      <c r="G260" s="10" t="str">
        <f>"1"</f>
        <v>1</v>
      </c>
      <c r="H260" s="9">
        <v>28695498.469999999</v>
      </c>
    </row>
    <row r="261" spans="1:8" x14ac:dyDescent="0.25">
      <c r="A261" s="7">
        <v>45107</v>
      </c>
      <c r="B261" s="10">
        <v>36</v>
      </c>
      <c r="C261" s="10" t="str">
        <f>"1818"</f>
        <v>1818</v>
      </c>
      <c r="D261" s="11" t="str">
        <f>"Начисленные прочие комиссионные доходы"</f>
        <v>Начисленные прочие комиссионные доходы</v>
      </c>
      <c r="E261" s="10" t="str">
        <f t="shared" si="43"/>
        <v>1</v>
      </c>
      <c r="F261" s="10" t="str">
        <f>""</f>
        <v/>
      </c>
      <c r="G261" s="10" t="str">
        <f>"2"</f>
        <v>2</v>
      </c>
      <c r="H261" s="9">
        <v>4068.06</v>
      </c>
    </row>
    <row r="262" spans="1:8" ht="30" x14ac:dyDescent="0.25">
      <c r="A262" s="7">
        <v>45107</v>
      </c>
      <c r="B262" s="10">
        <v>36</v>
      </c>
      <c r="C262" s="10" t="str">
        <f>"1819"</f>
        <v>1819</v>
      </c>
      <c r="D262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2" s="10" t="str">
        <f t="shared" si="43"/>
        <v>1</v>
      </c>
      <c r="F262" s="10" t="str">
        <f>""</f>
        <v/>
      </c>
      <c r="G262" s="10" t="str">
        <f>"1"</f>
        <v>1</v>
      </c>
      <c r="H262" s="9">
        <v>6091766.7599999998</v>
      </c>
    </row>
    <row r="263" spans="1:8" ht="30" x14ac:dyDescent="0.25">
      <c r="A263" s="7">
        <v>45107</v>
      </c>
      <c r="B263" s="10">
        <v>36</v>
      </c>
      <c r="C263" s="10" t="str">
        <f>"1819"</f>
        <v>1819</v>
      </c>
      <c r="D263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3" s="10" t="str">
        <f t="shared" si="43"/>
        <v>1</v>
      </c>
      <c r="F263" s="10" t="str">
        <f>""</f>
        <v/>
      </c>
      <c r="G263" s="10" t="str">
        <f>"2"</f>
        <v>2</v>
      </c>
      <c r="H263" s="9">
        <v>116430.82</v>
      </c>
    </row>
    <row r="264" spans="1:8" ht="30" x14ac:dyDescent="0.25">
      <c r="A264" s="7">
        <v>45107</v>
      </c>
      <c r="B264" s="10">
        <v>36</v>
      </c>
      <c r="C264" s="10" t="str">
        <f>"1821"</f>
        <v>1821</v>
      </c>
      <c r="D264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4" s="10" t="str">
        <f t="shared" si="43"/>
        <v>1</v>
      </c>
      <c r="F264" s="10" t="str">
        <f>""</f>
        <v/>
      </c>
      <c r="G264" s="10" t="str">
        <f>"3"</f>
        <v>3</v>
      </c>
      <c r="H264" s="9">
        <v>25429.53</v>
      </c>
    </row>
    <row r="265" spans="1:8" ht="30" x14ac:dyDescent="0.25">
      <c r="A265" s="7">
        <v>45107</v>
      </c>
      <c r="B265" s="10">
        <v>36</v>
      </c>
      <c r="C265" s="10" t="str">
        <f>"1821"</f>
        <v>1821</v>
      </c>
      <c r="D265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5" s="10" t="str">
        <f t="shared" si="43"/>
        <v>1</v>
      </c>
      <c r="F265" s="10" t="str">
        <f>""</f>
        <v/>
      </c>
      <c r="G265" s="10" t="str">
        <f>"2"</f>
        <v>2</v>
      </c>
      <c r="H265" s="9">
        <v>50907.38</v>
      </c>
    </row>
    <row r="266" spans="1:8" x14ac:dyDescent="0.25">
      <c r="A266" s="7">
        <v>45107</v>
      </c>
      <c r="B266" s="10">
        <v>36</v>
      </c>
      <c r="C266" s="10" t="str">
        <f>"1822"</f>
        <v>1822</v>
      </c>
      <c r="D266" s="1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6" s="10" t="str">
        <f t="shared" si="43"/>
        <v>1</v>
      </c>
      <c r="F266" s="10" t="str">
        <f>""</f>
        <v/>
      </c>
      <c r="G266" s="10" t="str">
        <f>"2"</f>
        <v>2</v>
      </c>
      <c r="H266" s="9">
        <v>138784.68</v>
      </c>
    </row>
    <row r="267" spans="1:8" ht="30" x14ac:dyDescent="0.25">
      <c r="A267" s="7">
        <v>45107</v>
      </c>
      <c r="B267" s="10">
        <v>36</v>
      </c>
      <c r="C267" s="10" t="str">
        <f>"1831"</f>
        <v>1831</v>
      </c>
      <c r="D267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7" s="10" t="str">
        <f>"2"</f>
        <v>2</v>
      </c>
      <c r="F267" s="10" t="str">
        <f>""</f>
        <v/>
      </c>
      <c r="G267" s="10" t="str">
        <f>"1"</f>
        <v>1</v>
      </c>
      <c r="H267" s="9">
        <v>27800</v>
      </c>
    </row>
    <row r="268" spans="1:8" ht="30" x14ac:dyDescent="0.25">
      <c r="A268" s="7">
        <v>45107</v>
      </c>
      <c r="B268" s="10">
        <v>36</v>
      </c>
      <c r="C268" s="10" t="str">
        <f>"1831"</f>
        <v>1831</v>
      </c>
      <c r="D268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8" s="10" t="str">
        <f t="shared" ref="E268:E273" si="44">"1"</f>
        <v>1</v>
      </c>
      <c r="F268" s="10" t="str">
        <f>""</f>
        <v/>
      </c>
      <c r="G268" s="10" t="str">
        <f>"2"</f>
        <v>2</v>
      </c>
      <c r="H268" s="9">
        <v>1707.95</v>
      </c>
    </row>
    <row r="269" spans="1:8" ht="30" x14ac:dyDescent="0.25">
      <c r="A269" s="7">
        <v>45107</v>
      </c>
      <c r="B269" s="10">
        <v>36</v>
      </c>
      <c r="C269" s="10" t="str">
        <f>"1831"</f>
        <v>1831</v>
      </c>
      <c r="D269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9" s="10" t="str">
        <f t="shared" si="44"/>
        <v>1</v>
      </c>
      <c r="F269" s="10" t="str">
        <f>""</f>
        <v/>
      </c>
      <c r="G269" s="10" t="str">
        <f>"1"</f>
        <v>1</v>
      </c>
      <c r="H269" s="9">
        <v>42488378.990000002</v>
      </c>
    </row>
    <row r="270" spans="1:8" ht="30" x14ac:dyDescent="0.25">
      <c r="A270" s="7">
        <v>45107</v>
      </c>
      <c r="B270" s="10">
        <v>36</v>
      </c>
      <c r="C270" s="10" t="str">
        <f>"1834"</f>
        <v>1834</v>
      </c>
      <c r="D270" s="1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0" s="10" t="str">
        <f t="shared" si="44"/>
        <v>1</v>
      </c>
      <c r="F270" s="10" t="str">
        <f>""</f>
        <v/>
      </c>
      <c r="G270" s="10" t="str">
        <f>"1"</f>
        <v>1</v>
      </c>
      <c r="H270" s="9">
        <v>15323.28</v>
      </c>
    </row>
    <row r="271" spans="1:8" ht="30" x14ac:dyDescent="0.25">
      <c r="A271" s="7">
        <v>45107</v>
      </c>
      <c r="B271" s="10">
        <v>36</v>
      </c>
      <c r="C271" s="10" t="str">
        <f>"1835"</f>
        <v>1835</v>
      </c>
      <c r="D271" s="1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1" s="10" t="str">
        <f t="shared" si="44"/>
        <v>1</v>
      </c>
      <c r="F271" s="10" t="str">
        <f>""</f>
        <v/>
      </c>
      <c r="G271" s="10" t="str">
        <f>"1"</f>
        <v>1</v>
      </c>
      <c r="H271" s="9">
        <v>3169.64</v>
      </c>
    </row>
    <row r="272" spans="1:8" ht="30" x14ac:dyDescent="0.25">
      <c r="A272" s="7">
        <v>45107</v>
      </c>
      <c r="B272" s="10">
        <v>36</v>
      </c>
      <c r="C272" s="10" t="str">
        <f>"1836"</f>
        <v>1836</v>
      </c>
      <c r="D272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2" s="10" t="str">
        <f t="shared" si="44"/>
        <v>1</v>
      </c>
      <c r="F272" s="10" t="str">
        <f>""</f>
        <v/>
      </c>
      <c r="G272" s="10" t="str">
        <f>"3"</f>
        <v>3</v>
      </c>
      <c r="H272" s="9">
        <v>123173.83</v>
      </c>
    </row>
    <row r="273" spans="1:8" ht="30" x14ac:dyDescent="0.25">
      <c r="A273" s="7">
        <v>45107</v>
      </c>
      <c r="B273" s="10">
        <v>36</v>
      </c>
      <c r="C273" s="10" t="str">
        <f>"1836"</f>
        <v>1836</v>
      </c>
      <c r="D273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3" s="10" t="str">
        <f t="shared" si="44"/>
        <v>1</v>
      </c>
      <c r="F273" s="10" t="str">
        <f>""</f>
        <v/>
      </c>
      <c r="G273" s="10" t="str">
        <f>"1"</f>
        <v>1</v>
      </c>
      <c r="H273" s="9">
        <v>421892436.93000001</v>
      </c>
    </row>
    <row r="274" spans="1:8" ht="30" x14ac:dyDescent="0.25">
      <c r="A274" s="7">
        <v>45107</v>
      </c>
      <c r="B274" s="10">
        <v>36</v>
      </c>
      <c r="C274" s="10" t="str">
        <f>"1837"</f>
        <v>1837</v>
      </c>
      <c r="D274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4" s="10" t="str">
        <f>"2"</f>
        <v>2</v>
      </c>
      <c r="F274" s="10" t="str">
        <f>""</f>
        <v/>
      </c>
      <c r="G274" s="10" t="str">
        <f>"1"</f>
        <v>1</v>
      </c>
      <c r="H274" s="9">
        <v>263698.8</v>
      </c>
    </row>
    <row r="275" spans="1:8" ht="30" x14ac:dyDescent="0.25">
      <c r="A275" s="7">
        <v>45107</v>
      </c>
      <c r="B275" s="10">
        <v>36</v>
      </c>
      <c r="C275" s="10" t="str">
        <f>"1837"</f>
        <v>1837</v>
      </c>
      <c r="D275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5" s="10" t="str">
        <f>"1"</f>
        <v>1</v>
      </c>
      <c r="F275" s="10" t="str">
        <f>""</f>
        <v/>
      </c>
      <c r="G275" s="10" t="str">
        <f>"2"</f>
        <v>2</v>
      </c>
      <c r="H275" s="9">
        <v>256672.46</v>
      </c>
    </row>
    <row r="276" spans="1:8" ht="30" x14ac:dyDescent="0.25">
      <c r="A276" s="7">
        <v>45107</v>
      </c>
      <c r="B276" s="10">
        <v>36</v>
      </c>
      <c r="C276" s="10" t="str">
        <f>"1837"</f>
        <v>1837</v>
      </c>
      <c r="D276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6" s="10" t="str">
        <f>"2"</f>
        <v>2</v>
      </c>
      <c r="F276" s="10" t="str">
        <f>""</f>
        <v/>
      </c>
      <c r="G276" s="10" t="str">
        <f>"2"</f>
        <v>2</v>
      </c>
      <c r="H276" s="9">
        <v>7412.5</v>
      </c>
    </row>
    <row r="277" spans="1:8" ht="30" x14ac:dyDescent="0.25">
      <c r="A277" s="7">
        <v>45107</v>
      </c>
      <c r="B277" s="10">
        <v>36</v>
      </c>
      <c r="C277" s="10" t="str">
        <f>"1837"</f>
        <v>1837</v>
      </c>
      <c r="D277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7" s="10" t="str">
        <f>"1"</f>
        <v>1</v>
      </c>
      <c r="F277" s="10" t="str">
        <f>""</f>
        <v/>
      </c>
      <c r="G277" s="10" t="str">
        <f>"1"</f>
        <v>1</v>
      </c>
      <c r="H277" s="9">
        <v>125328016.68000001</v>
      </c>
    </row>
    <row r="278" spans="1:8" x14ac:dyDescent="0.25">
      <c r="A278" s="7">
        <v>45107</v>
      </c>
      <c r="B278" s="10">
        <v>36</v>
      </c>
      <c r="C278" s="10" t="str">
        <f>"1838"</f>
        <v>1838</v>
      </c>
      <c r="D278" s="11" t="str">
        <f>"Просроченные прочие комиссионные доходы"</f>
        <v>Просроченные прочие комиссионные доходы</v>
      </c>
      <c r="E278" s="10" t="str">
        <f>"2"</f>
        <v>2</v>
      </c>
      <c r="F278" s="10" t="str">
        <f>""</f>
        <v/>
      </c>
      <c r="G278" s="10" t="str">
        <f>"2"</f>
        <v>2</v>
      </c>
      <c r="H278" s="9">
        <v>37639.35</v>
      </c>
    </row>
    <row r="279" spans="1:8" x14ac:dyDescent="0.25">
      <c r="A279" s="7">
        <v>45107</v>
      </c>
      <c r="B279" s="10">
        <v>36</v>
      </c>
      <c r="C279" s="10" t="str">
        <f>"1838"</f>
        <v>1838</v>
      </c>
      <c r="D279" s="11" t="str">
        <f>"Просроченные прочие комиссионные доходы"</f>
        <v>Просроченные прочие комиссионные доходы</v>
      </c>
      <c r="E279" s="10" t="str">
        <f>"2"</f>
        <v>2</v>
      </c>
      <c r="F279" s="10" t="str">
        <f>""</f>
        <v/>
      </c>
      <c r="G279" s="10" t="str">
        <f>"1"</f>
        <v>1</v>
      </c>
      <c r="H279" s="9">
        <v>5533865.9699999997</v>
      </c>
    </row>
    <row r="280" spans="1:8" x14ac:dyDescent="0.25">
      <c r="A280" s="7">
        <v>45107</v>
      </c>
      <c r="B280" s="10">
        <v>36</v>
      </c>
      <c r="C280" s="10" t="str">
        <f>"1838"</f>
        <v>1838</v>
      </c>
      <c r="D280" s="11" t="str">
        <f>"Просроченные прочие комиссионные доходы"</f>
        <v>Просроченные прочие комиссионные доходы</v>
      </c>
      <c r="E280" s="10" t="str">
        <f t="shared" ref="E280:E285" si="45">"1"</f>
        <v>1</v>
      </c>
      <c r="F280" s="10" t="str">
        <f>""</f>
        <v/>
      </c>
      <c r="G280" s="10" t="str">
        <f>"2"</f>
        <v>2</v>
      </c>
      <c r="H280" s="9">
        <v>131477.82999999999</v>
      </c>
    </row>
    <row r="281" spans="1:8" x14ac:dyDescent="0.25">
      <c r="A281" s="7">
        <v>45107</v>
      </c>
      <c r="B281" s="10">
        <v>36</v>
      </c>
      <c r="C281" s="10" t="str">
        <f>"1838"</f>
        <v>1838</v>
      </c>
      <c r="D281" s="11" t="str">
        <f>"Просроченные прочие комиссионные доходы"</f>
        <v>Просроченные прочие комиссионные доходы</v>
      </c>
      <c r="E281" s="10" t="str">
        <f t="shared" si="45"/>
        <v>1</v>
      </c>
      <c r="F281" s="10" t="str">
        <f>""</f>
        <v/>
      </c>
      <c r="G281" s="10" t="str">
        <f>"1"</f>
        <v>1</v>
      </c>
      <c r="H281" s="9">
        <v>775814869.29999995</v>
      </c>
    </row>
    <row r="282" spans="1:8" ht="30" x14ac:dyDescent="0.25">
      <c r="A282" s="7">
        <v>45107</v>
      </c>
      <c r="B282" s="10">
        <v>36</v>
      </c>
      <c r="C282" s="10" t="str">
        <f>"1841"</f>
        <v>1841</v>
      </c>
      <c r="D282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2" s="10" t="str">
        <f t="shared" si="45"/>
        <v>1</v>
      </c>
      <c r="F282" s="10" t="str">
        <f>""</f>
        <v/>
      </c>
      <c r="G282" s="10" t="str">
        <f>"1"</f>
        <v>1</v>
      </c>
      <c r="H282" s="9">
        <v>2759421.39</v>
      </c>
    </row>
    <row r="283" spans="1:8" ht="30" x14ac:dyDescent="0.25">
      <c r="A283" s="7">
        <v>45107</v>
      </c>
      <c r="B283" s="10">
        <v>36</v>
      </c>
      <c r="C283" s="10" t="str">
        <f>"1842"</f>
        <v>1842</v>
      </c>
      <c r="D283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3" s="10" t="str">
        <f t="shared" si="45"/>
        <v>1</v>
      </c>
      <c r="F283" s="10" t="str">
        <f>""</f>
        <v/>
      </c>
      <c r="G283" s="10" t="str">
        <f>"2"</f>
        <v>2</v>
      </c>
      <c r="H283" s="9">
        <v>15909195.699999999</v>
      </c>
    </row>
    <row r="284" spans="1:8" ht="30" x14ac:dyDescent="0.25">
      <c r="A284" s="7">
        <v>45107</v>
      </c>
      <c r="B284" s="10">
        <v>36</v>
      </c>
      <c r="C284" s="10" t="str">
        <f>"1842"</f>
        <v>1842</v>
      </c>
      <c r="D284" s="11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4" s="10" t="str">
        <f t="shared" si="45"/>
        <v>1</v>
      </c>
      <c r="F284" s="10" t="str">
        <f>""</f>
        <v/>
      </c>
      <c r="G284" s="10" t="str">
        <f>"1"</f>
        <v>1</v>
      </c>
      <c r="H284" s="9">
        <v>420363.49</v>
      </c>
    </row>
    <row r="285" spans="1:8" ht="30" x14ac:dyDescent="0.25">
      <c r="A285" s="7">
        <v>45107</v>
      </c>
      <c r="B285" s="10">
        <v>36</v>
      </c>
      <c r="C285" s="10" t="str">
        <f>"1845"</f>
        <v>1845</v>
      </c>
      <c r="D285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5" s="10" t="str">
        <f t="shared" si="45"/>
        <v>1</v>
      </c>
      <c r="F285" s="10" t="str">
        <f>""</f>
        <v/>
      </c>
      <c r="G285" s="10" t="str">
        <f>"3"</f>
        <v>3</v>
      </c>
      <c r="H285" s="9">
        <v>-153740.64000000001</v>
      </c>
    </row>
    <row r="286" spans="1:8" ht="30" x14ac:dyDescent="0.25">
      <c r="A286" s="7">
        <v>45107</v>
      </c>
      <c r="B286" s="10">
        <v>36</v>
      </c>
      <c r="C286" s="10" t="str">
        <f>"1845"</f>
        <v>1845</v>
      </c>
      <c r="D286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6" s="10" t="str">
        <f>"2"</f>
        <v>2</v>
      </c>
      <c r="F286" s="10" t="str">
        <f>""</f>
        <v/>
      </c>
      <c r="G286" s="10" t="str">
        <f>"2"</f>
        <v>2</v>
      </c>
      <c r="H286" s="9">
        <v>-33621.99</v>
      </c>
    </row>
    <row r="287" spans="1:8" ht="30" x14ac:dyDescent="0.25">
      <c r="A287" s="7">
        <v>45107</v>
      </c>
      <c r="B287" s="10">
        <v>36</v>
      </c>
      <c r="C287" s="10" t="str">
        <f>"1845"</f>
        <v>1845</v>
      </c>
      <c r="D287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7" s="10" t="str">
        <f>"1"</f>
        <v>1</v>
      </c>
      <c r="F287" s="10" t="str">
        <f>""</f>
        <v/>
      </c>
      <c r="G287" s="10" t="str">
        <f>"2"</f>
        <v>2</v>
      </c>
      <c r="H287" s="9">
        <v>-16301543.51</v>
      </c>
    </row>
    <row r="288" spans="1:8" ht="30" x14ac:dyDescent="0.25">
      <c r="A288" s="7">
        <v>45107</v>
      </c>
      <c r="B288" s="10">
        <v>36</v>
      </c>
      <c r="C288" s="10" t="str">
        <f>"1845"</f>
        <v>1845</v>
      </c>
      <c r="D288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8" s="10" t="str">
        <f>"1"</f>
        <v>1</v>
      </c>
      <c r="F288" s="10" t="str">
        <f>""</f>
        <v/>
      </c>
      <c r="G288" s="10" t="str">
        <f>"1"</f>
        <v>1</v>
      </c>
      <c r="H288" s="9">
        <v>-966721184.88999999</v>
      </c>
    </row>
    <row r="289" spans="1:8" ht="30" x14ac:dyDescent="0.25">
      <c r="A289" s="7">
        <v>45107</v>
      </c>
      <c r="B289" s="10">
        <v>36</v>
      </c>
      <c r="C289" s="10" t="str">
        <f>"1845"</f>
        <v>1845</v>
      </c>
      <c r="D289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9" s="10" t="str">
        <f>"2"</f>
        <v>2</v>
      </c>
      <c r="F289" s="10" t="str">
        <f>""</f>
        <v/>
      </c>
      <c r="G289" s="10" t="str">
        <f>"1"</f>
        <v>1</v>
      </c>
      <c r="H289" s="9">
        <v>-5646802.5700000003</v>
      </c>
    </row>
    <row r="290" spans="1:8" x14ac:dyDescent="0.25">
      <c r="A290" s="7">
        <v>45107</v>
      </c>
      <c r="B290" s="10">
        <v>36</v>
      </c>
      <c r="C290" s="10" t="str">
        <f>"1851"</f>
        <v>1851</v>
      </c>
      <c r="D290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0" s="10" t="str">
        <f>"1"</f>
        <v>1</v>
      </c>
      <c r="F290" s="10" t="str">
        <f>"1"</f>
        <v>1</v>
      </c>
      <c r="G290" s="10" t="str">
        <f>"1"</f>
        <v>1</v>
      </c>
      <c r="H290" s="9">
        <v>630031901.90999997</v>
      </c>
    </row>
    <row r="291" spans="1:8" x14ac:dyDescent="0.25">
      <c r="A291" s="7">
        <v>45107</v>
      </c>
      <c r="B291" s="10">
        <v>36</v>
      </c>
      <c r="C291" s="10" t="str">
        <f>"1852"</f>
        <v>1852</v>
      </c>
      <c r="D291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1" s="10" t="str">
        <f>"1"</f>
        <v>1</v>
      </c>
      <c r="F291" s="10" t="str">
        <f>"5"</f>
        <v>5</v>
      </c>
      <c r="G291" s="10" t="str">
        <f>"2"</f>
        <v>2</v>
      </c>
      <c r="H291" s="9">
        <v>10076933732.450001</v>
      </c>
    </row>
    <row r="292" spans="1:8" x14ac:dyDescent="0.25">
      <c r="A292" s="7">
        <v>45107</v>
      </c>
      <c r="B292" s="10">
        <v>36</v>
      </c>
      <c r="C292" s="10" t="str">
        <f>"1852"</f>
        <v>1852</v>
      </c>
      <c r="D292" s="1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2" s="10" t="str">
        <f>"1"</f>
        <v>1</v>
      </c>
      <c r="F292" s="10" t="str">
        <f>"5"</f>
        <v>5</v>
      </c>
      <c r="G292" s="10" t="str">
        <f>"1"</f>
        <v>1</v>
      </c>
      <c r="H292" s="9">
        <v>158460048.19999999</v>
      </c>
    </row>
    <row r="293" spans="1:8" x14ac:dyDescent="0.25">
      <c r="A293" s="7">
        <v>45107</v>
      </c>
      <c r="B293" s="10">
        <v>36</v>
      </c>
      <c r="C293" s="10" t="str">
        <f>"1854"</f>
        <v>1854</v>
      </c>
      <c r="D293" s="11" t="str">
        <f>"Расчеты с работниками"</f>
        <v>Расчеты с работниками</v>
      </c>
      <c r="E293" s="10" t="str">
        <f>""</f>
        <v/>
      </c>
      <c r="F293" s="10" t="str">
        <f>""</f>
        <v/>
      </c>
      <c r="G293" s="10" t="str">
        <f>""</f>
        <v/>
      </c>
      <c r="H293" s="9">
        <v>121671386.8</v>
      </c>
    </row>
    <row r="294" spans="1:8" x14ac:dyDescent="0.25">
      <c r="A294" s="7">
        <v>45107</v>
      </c>
      <c r="B294" s="10">
        <v>36</v>
      </c>
      <c r="C294" s="10" t="str">
        <f>"1856"</f>
        <v>1856</v>
      </c>
      <c r="D294" s="11" t="str">
        <f>"Дебиторы по капитальным вложениям"</f>
        <v>Дебиторы по капитальным вложениям</v>
      </c>
      <c r="E294" s="10" t="str">
        <f>"2"</f>
        <v>2</v>
      </c>
      <c r="F294" s="10" t="str">
        <f>"7"</f>
        <v>7</v>
      </c>
      <c r="G294" s="10" t="str">
        <f>"1"</f>
        <v>1</v>
      </c>
      <c r="H294" s="9">
        <v>141555243.00999999</v>
      </c>
    </row>
    <row r="295" spans="1:8" x14ac:dyDescent="0.25">
      <c r="A295" s="7">
        <v>45107</v>
      </c>
      <c r="B295" s="10">
        <v>36</v>
      </c>
      <c r="C295" s="10" t="str">
        <f>"1856"</f>
        <v>1856</v>
      </c>
      <c r="D295" s="11" t="str">
        <f>"Дебиторы по капитальным вложениям"</f>
        <v>Дебиторы по капитальным вложениям</v>
      </c>
      <c r="E295" s="10" t="str">
        <f t="shared" ref="E295:E302" si="46">"1"</f>
        <v>1</v>
      </c>
      <c r="F295" s="10" t="str">
        <f>"9"</f>
        <v>9</v>
      </c>
      <c r="G295" s="10" t="str">
        <f>"1"</f>
        <v>1</v>
      </c>
      <c r="H295" s="9">
        <v>7689948.2999999998</v>
      </c>
    </row>
    <row r="296" spans="1:8" x14ac:dyDescent="0.25">
      <c r="A296" s="7">
        <v>45107</v>
      </c>
      <c r="B296" s="10">
        <v>36</v>
      </c>
      <c r="C296" s="10" t="str">
        <f>"1856"</f>
        <v>1856</v>
      </c>
      <c r="D296" s="11" t="str">
        <f>"Дебиторы по капитальным вложениям"</f>
        <v>Дебиторы по капитальным вложениям</v>
      </c>
      <c r="E296" s="10" t="str">
        <f t="shared" si="46"/>
        <v>1</v>
      </c>
      <c r="F296" s="10" t="str">
        <f>"7"</f>
        <v>7</v>
      </c>
      <c r="G296" s="10" t="str">
        <f>"1"</f>
        <v>1</v>
      </c>
      <c r="H296" s="9">
        <v>11725413826.23</v>
      </c>
    </row>
    <row r="297" spans="1:8" x14ac:dyDescent="0.25">
      <c r="A297" s="7">
        <v>45107</v>
      </c>
      <c r="B297" s="10">
        <v>36</v>
      </c>
      <c r="C297" s="10" t="str">
        <f t="shared" ref="C297:C311" si="47">"1860"</f>
        <v>1860</v>
      </c>
      <c r="D297" s="11" t="str">
        <f t="shared" ref="D297:D311" si="48">"Прочие дебиторы по банковской деятельности"</f>
        <v>Прочие дебиторы по банковской деятельности</v>
      </c>
      <c r="E297" s="10" t="str">
        <f t="shared" si="46"/>
        <v>1</v>
      </c>
      <c r="F297" s="10" t="str">
        <f>"7"</f>
        <v>7</v>
      </c>
      <c r="G297" s="10" t="str">
        <f>"1"</f>
        <v>1</v>
      </c>
      <c r="H297" s="9">
        <v>7334440529.0900002</v>
      </c>
    </row>
    <row r="298" spans="1:8" x14ac:dyDescent="0.25">
      <c r="A298" s="7">
        <v>45107</v>
      </c>
      <c r="B298" s="10">
        <v>36</v>
      </c>
      <c r="C298" s="10" t="str">
        <f t="shared" si="47"/>
        <v>1860</v>
      </c>
      <c r="D298" s="11" t="str">
        <f t="shared" si="48"/>
        <v>Прочие дебиторы по банковской деятельности</v>
      </c>
      <c r="E298" s="10" t="str">
        <f t="shared" si="46"/>
        <v>1</v>
      </c>
      <c r="F298" s="10" t="str">
        <f>"7"</f>
        <v>7</v>
      </c>
      <c r="G298" s="10" t="str">
        <f>"3"</f>
        <v>3</v>
      </c>
      <c r="H298" s="9">
        <v>308400</v>
      </c>
    </row>
    <row r="299" spans="1:8" x14ac:dyDescent="0.25">
      <c r="A299" s="7">
        <v>45107</v>
      </c>
      <c r="B299" s="10">
        <v>36</v>
      </c>
      <c r="C299" s="10" t="str">
        <f t="shared" si="47"/>
        <v>1860</v>
      </c>
      <c r="D299" s="11" t="str">
        <f t="shared" si="48"/>
        <v>Прочие дебиторы по банковской деятельности</v>
      </c>
      <c r="E299" s="10" t="str">
        <f t="shared" si="46"/>
        <v>1</v>
      </c>
      <c r="F299" s="10" t="str">
        <f>"9"</f>
        <v>9</v>
      </c>
      <c r="G299" s="10" t="str">
        <f>"3"</f>
        <v>3</v>
      </c>
      <c r="H299" s="9">
        <v>412742</v>
      </c>
    </row>
    <row r="300" spans="1:8" x14ac:dyDescent="0.25">
      <c r="A300" s="7">
        <v>45107</v>
      </c>
      <c r="B300" s="10">
        <v>36</v>
      </c>
      <c r="C300" s="10" t="str">
        <f t="shared" si="47"/>
        <v>1860</v>
      </c>
      <c r="D300" s="11" t="str">
        <f t="shared" si="48"/>
        <v>Прочие дебиторы по банковской деятельности</v>
      </c>
      <c r="E300" s="10" t="str">
        <f t="shared" si="46"/>
        <v>1</v>
      </c>
      <c r="F300" s="10" t="str">
        <f>"4"</f>
        <v>4</v>
      </c>
      <c r="G300" s="10" t="str">
        <f>"1"</f>
        <v>1</v>
      </c>
      <c r="H300" s="9">
        <v>11473548210.08</v>
      </c>
    </row>
    <row r="301" spans="1:8" x14ac:dyDescent="0.25">
      <c r="A301" s="7">
        <v>45107</v>
      </c>
      <c r="B301" s="10">
        <v>36</v>
      </c>
      <c r="C301" s="10" t="str">
        <f t="shared" si="47"/>
        <v>1860</v>
      </c>
      <c r="D301" s="11" t="str">
        <f t="shared" si="48"/>
        <v>Прочие дебиторы по банковской деятельности</v>
      </c>
      <c r="E301" s="10" t="str">
        <f t="shared" si="46"/>
        <v>1</v>
      </c>
      <c r="F301" s="10" t="str">
        <f>"9"</f>
        <v>9</v>
      </c>
      <c r="G301" s="10" t="str">
        <f>"2"</f>
        <v>2</v>
      </c>
      <c r="H301" s="9">
        <v>175237144.74000001</v>
      </c>
    </row>
    <row r="302" spans="1:8" x14ac:dyDescent="0.25">
      <c r="A302" s="7">
        <v>45107</v>
      </c>
      <c r="B302" s="10">
        <v>36</v>
      </c>
      <c r="C302" s="10" t="str">
        <f t="shared" si="47"/>
        <v>1860</v>
      </c>
      <c r="D302" s="11" t="str">
        <f t="shared" si="48"/>
        <v>Прочие дебиторы по банковской деятельности</v>
      </c>
      <c r="E302" s="10" t="str">
        <f t="shared" si="46"/>
        <v>1</v>
      </c>
      <c r="F302" s="10" t="str">
        <f>"4"</f>
        <v>4</v>
      </c>
      <c r="G302" s="10" t="str">
        <f>"2"</f>
        <v>2</v>
      </c>
      <c r="H302" s="9">
        <v>561412561.71000004</v>
      </c>
    </row>
    <row r="303" spans="1:8" x14ac:dyDescent="0.25">
      <c r="A303" s="7">
        <v>45107</v>
      </c>
      <c r="B303" s="10">
        <v>36</v>
      </c>
      <c r="C303" s="10" t="str">
        <f t="shared" si="47"/>
        <v>1860</v>
      </c>
      <c r="D303" s="11" t="str">
        <f t="shared" si="48"/>
        <v>Прочие дебиторы по банковской деятельности</v>
      </c>
      <c r="E303" s="10" t="str">
        <f>"2"</f>
        <v>2</v>
      </c>
      <c r="F303" s="10" t="str">
        <f>"9"</f>
        <v>9</v>
      </c>
      <c r="G303" s="10" t="str">
        <f>"1"</f>
        <v>1</v>
      </c>
      <c r="H303" s="9">
        <v>4108751.68</v>
      </c>
    </row>
    <row r="304" spans="1:8" x14ac:dyDescent="0.25">
      <c r="A304" s="7">
        <v>45107</v>
      </c>
      <c r="B304" s="10">
        <v>36</v>
      </c>
      <c r="C304" s="10" t="str">
        <f t="shared" si="47"/>
        <v>1860</v>
      </c>
      <c r="D304" s="11" t="str">
        <f t="shared" si="48"/>
        <v>Прочие дебиторы по банковской деятельности</v>
      </c>
      <c r="E304" s="10" t="str">
        <f>"1"</f>
        <v>1</v>
      </c>
      <c r="F304" s="10" t="str">
        <f>"9"</f>
        <v>9</v>
      </c>
      <c r="G304" s="10" t="str">
        <f>"1"</f>
        <v>1</v>
      </c>
      <c r="H304" s="9">
        <v>7003568625.6400003</v>
      </c>
    </row>
    <row r="305" spans="1:8" x14ac:dyDescent="0.25">
      <c r="A305" s="7">
        <v>45107</v>
      </c>
      <c r="B305" s="10">
        <v>36</v>
      </c>
      <c r="C305" s="10" t="str">
        <f t="shared" si="47"/>
        <v>1860</v>
      </c>
      <c r="D305" s="11" t="str">
        <f t="shared" si="48"/>
        <v>Прочие дебиторы по банковской деятельности</v>
      </c>
      <c r="E305" s="10" t="str">
        <f>"1"</f>
        <v>1</v>
      </c>
      <c r="F305" s="10" t="str">
        <f>"5"</f>
        <v>5</v>
      </c>
      <c r="G305" s="10" t="str">
        <f>"1"</f>
        <v>1</v>
      </c>
      <c r="H305" s="9">
        <v>159652314.53</v>
      </c>
    </row>
    <row r="306" spans="1:8" x14ac:dyDescent="0.25">
      <c r="A306" s="7">
        <v>45107</v>
      </c>
      <c r="B306" s="10">
        <v>36</v>
      </c>
      <c r="C306" s="10" t="str">
        <f t="shared" si="47"/>
        <v>1860</v>
      </c>
      <c r="D306" s="11" t="str">
        <f t="shared" si="48"/>
        <v>Прочие дебиторы по банковской деятельности</v>
      </c>
      <c r="E306" s="10" t="str">
        <f>"2"</f>
        <v>2</v>
      </c>
      <c r="F306" s="10" t="str">
        <f>"7"</f>
        <v>7</v>
      </c>
      <c r="G306" s="10" t="str">
        <f>"3"</f>
        <v>3</v>
      </c>
      <c r="H306" s="9">
        <v>56198318.090000004</v>
      </c>
    </row>
    <row r="307" spans="1:8" x14ac:dyDescent="0.25">
      <c r="A307" s="7">
        <v>45107</v>
      </c>
      <c r="B307" s="10">
        <v>36</v>
      </c>
      <c r="C307" s="10" t="str">
        <f t="shared" si="47"/>
        <v>1860</v>
      </c>
      <c r="D307" s="11" t="str">
        <f t="shared" si="48"/>
        <v>Прочие дебиторы по банковской деятельности</v>
      </c>
      <c r="E307" s="10" t="str">
        <f>"2"</f>
        <v>2</v>
      </c>
      <c r="F307" s="10" t="str">
        <f>"7"</f>
        <v>7</v>
      </c>
      <c r="G307" s="10" t="str">
        <f>"2"</f>
        <v>2</v>
      </c>
      <c r="H307" s="9">
        <v>12278130584.780001</v>
      </c>
    </row>
    <row r="308" spans="1:8" x14ac:dyDescent="0.25">
      <c r="A308" s="7">
        <v>45107</v>
      </c>
      <c r="B308" s="10">
        <v>36</v>
      </c>
      <c r="C308" s="10" t="str">
        <f t="shared" si="47"/>
        <v>1860</v>
      </c>
      <c r="D308" s="11" t="str">
        <f t="shared" si="48"/>
        <v>Прочие дебиторы по банковской деятельности</v>
      </c>
      <c r="E308" s="10" t="str">
        <f>"1"</f>
        <v>1</v>
      </c>
      <c r="F308" s="10" t="str">
        <f>"7"</f>
        <v>7</v>
      </c>
      <c r="G308" s="10" t="str">
        <f>"2"</f>
        <v>2</v>
      </c>
      <c r="H308" s="9">
        <v>9780926.7300000004</v>
      </c>
    </row>
    <row r="309" spans="1:8" x14ac:dyDescent="0.25">
      <c r="A309" s="7">
        <v>45107</v>
      </c>
      <c r="B309" s="10">
        <v>36</v>
      </c>
      <c r="C309" s="10" t="str">
        <f t="shared" si="47"/>
        <v>1860</v>
      </c>
      <c r="D309" s="11" t="str">
        <f t="shared" si="48"/>
        <v>Прочие дебиторы по банковской деятельности</v>
      </c>
      <c r="E309" s="10" t="str">
        <f>"1"</f>
        <v>1</v>
      </c>
      <c r="F309" s="10" t="str">
        <f>"2"</f>
        <v>2</v>
      </c>
      <c r="G309" s="10" t="str">
        <f>"1"</f>
        <v>1</v>
      </c>
      <c r="H309" s="9">
        <v>1060</v>
      </c>
    </row>
    <row r="310" spans="1:8" x14ac:dyDescent="0.25">
      <c r="A310" s="7">
        <v>45107</v>
      </c>
      <c r="B310" s="10">
        <v>36</v>
      </c>
      <c r="C310" s="10" t="str">
        <f t="shared" si="47"/>
        <v>1860</v>
      </c>
      <c r="D310" s="11" t="str">
        <f t="shared" si="48"/>
        <v>Прочие дебиторы по банковской деятельности</v>
      </c>
      <c r="E310" s="10" t="str">
        <f>"2"</f>
        <v>2</v>
      </c>
      <c r="F310" s="10" t="str">
        <f>"9"</f>
        <v>9</v>
      </c>
      <c r="G310" s="10" t="str">
        <f>"2"</f>
        <v>2</v>
      </c>
      <c r="H310" s="9">
        <v>2262613.35</v>
      </c>
    </row>
    <row r="311" spans="1:8" x14ac:dyDescent="0.25">
      <c r="A311" s="7">
        <v>45107</v>
      </c>
      <c r="B311" s="10">
        <v>36</v>
      </c>
      <c r="C311" s="10" t="str">
        <f t="shared" si="47"/>
        <v>1860</v>
      </c>
      <c r="D311" s="11" t="str">
        <f t="shared" si="48"/>
        <v>Прочие дебиторы по банковской деятельности</v>
      </c>
      <c r="E311" s="10" t="str">
        <f>"2"</f>
        <v>2</v>
      </c>
      <c r="F311" s="10" t="str">
        <f>"7"</f>
        <v>7</v>
      </c>
      <c r="G311" s="10" t="str">
        <f>"1"</f>
        <v>1</v>
      </c>
      <c r="H311" s="9">
        <v>2246115220.5700002</v>
      </c>
    </row>
    <row r="312" spans="1:8" x14ac:dyDescent="0.25">
      <c r="A312" s="7">
        <v>45107</v>
      </c>
      <c r="B312" s="10">
        <v>36</v>
      </c>
      <c r="C312" s="10" t="str">
        <f>"1861"</f>
        <v>1861</v>
      </c>
      <c r="D312" s="11" t="str">
        <f>"Дебиторы по гарантиям"</f>
        <v>Дебиторы по гарантиям</v>
      </c>
      <c r="E312" s="10" t="str">
        <f>"1"</f>
        <v>1</v>
      </c>
      <c r="F312" s="10" t="str">
        <f>"7"</f>
        <v>7</v>
      </c>
      <c r="G312" s="10" t="str">
        <f>"3"</f>
        <v>3</v>
      </c>
      <c r="H312" s="9">
        <v>17986501.41</v>
      </c>
    </row>
    <row r="313" spans="1:8" x14ac:dyDescent="0.25">
      <c r="A313" s="7">
        <v>45107</v>
      </c>
      <c r="B313" s="10">
        <v>36</v>
      </c>
      <c r="C313" s="10" t="str">
        <f>"1861"</f>
        <v>1861</v>
      </c>
      <c r="D313" s="11" t="str">
        <f>"Дебиторы по гарантиям"</f>
        <v>Дебиторы по гарантиям</v>
      </c>
      <c r="E313" s="10" t="str">
        <f>"1"</f>
        <v>1</v>
      </c>
      <c r="F313" s="10" t="str">
        <f>"7"</f>
        <v>7</v>
      </c>
      <c r="G313" s="10" t="str">
        <f>"1"</f>
        <v>1</v>
      </c>
      <c r="H313" s="9">
        <v>2001421712.5699999</v>
      </c>
    </row>
    <row r="314" spans="1:8" x14ac:dyDescent="0.25">
      <c r="A314" s="7">
        <v>45107</v>
      </c>
      <c r="B314" s="10">
        <v>36</v>
      </c>
      <c r="C314" s="10" t="str">
        <f>"1861"</f>
        <v>1861</v>
      </c>
      <c r="D314" s="11" t="str">
        <f>"Дебиторы по гарантиям"</f>
        <v>Дебиторы по гарантиям</v>
      </c>
      <c r="E314" s="10" t="str">
        <f>"1"</f>
        <v>1</v>
      </c>
      <c r="F314" s="10" t="str">
        <f>"7"</f>
        <v>7</v>
      </c>
      <c r="G314" s="10" t="str">
        <f>"2"</f>
        <v>2</v>
      </c>
      <c r="H314" s="9">
        <v>2578178.7999999998</v>
      </c>
    </row>
    <row r="315" spans="1:8" x14ac:dyDescent="0.25">
      <c r="A315" s="7">
        <v>45107</v>
      </c>
      <c r="B315" s="10">
        <v>36</v>
      </c>
      <c r="C315" s="10" t="str">
        <f t="shared" ref="C315:C324" si="49">"1867"</f>
        <v>1867</v>
      </c>
      <c r="D315" s="11" t="str">
        <f t="shared" ref="D315:D324" si="50">"Прочие дебиторы по неосновной деятельности"</f>
        <v>Прочие дебиторы по неосновной деятельности</v>
      </c>
      <c r="E315" s="10" t="str">
        <f>"1"</f>
        <v>1</v>
      </c>
      <c r="F315" s="10" t="str">
        <f>"7"</f>
        <v>7</v>
      </c>
      <c r="G315" s="10" t="str">
        <f t="shared" ref="G315:G325" si="51">"1"</f>
        <v>1</v>
      </c>
      <c r="H315" s="9">
        <v>2097977718.26</v>
      </c>
    </row>
    <row r="316" spans="1:8" x14ac:dyDescent="0.25">
      <c r="A316" s="7">
        <v>45107</v>
      </c>
      <c r="B316" s="10">
        <v>36</v>
      </c>
      <c r="C316" s="10" t="str">
        <f t="shared" si="49"/>
        <v>1867</v>
      </c>
      <c r="D316" s="11" t="str">
        <f t="shared" si="50"/>
        <v>Прочие дебиторы по неосновной деятельности</v>
      </c>
      <c r="E316" s="10" t="str">
        <f>"2"</f>
        <v>2</v>
      </c>
      <c r="F316" s="10" t="str">
        <f>"9"</f>
        <v>9</v>
      </c>
      <c r="G316" s="10" t="str">
        <f t="shared" si="51"/>
        <v>1</v>
      </c>
      <c r="H316" s="9">
        <v>29928850</v>
      </c>
    </row>
    <row r="317" spans="1:8" x14ac:dyDescent="0.25">
      <c r="A317" s="7">
        <v>45107</v>
      </c>
      <c r="B317" s="10">
        <v>36</v>
      </c>
      <c r="C317" s="10" t="str">
        <f t="shared" si="49"/>
        <v>1867</v>
      </c>
      <c r="D317" s="11" t="str">
        <f t="shared" si="50"/>
        <v>Прочие дебиторы по неосновной деятельности</v>
      </c>
      <c r="E317" s="10" t="str">
        <f>"1"</f>
        <v>1</v>
      </c>
      <c r="F317" s="10" t="str">
        <f>"5"</f>
        <v>5</v>
      </c>
      <c r="G317" s="10" t="str">
        <f t="shared" si="51"/>
        <v>1</v>
      </c>
      <c r="H317" s="9">
        <v>931658.94</v>
      </c>
    </row>
    <row r="318" spans="1:8" x14ac:dyDescent="0.25">
      <c r="A318" s="7">
        <v>45107</v>
      </c>
      <c r="B318" s="10">
        <v>36</v>
      </c>
      <c r="C318" s="10" t="str">
        <f t="shared" si="49"/>
        <v>1867</v>
      </c>
      <c r="D318" s="11" t="str">
        <f t="shared" si="50"/>
        <v>Прочие дебиторы по неосновной деятельности</v>
      </c>
      <c r="E318" s="10" t="str">
        <f>"1"</f>
        <v>1</v>
      </c>
      <c r="F318" s="10" t="str">
        <f>"6"</f>
        <v>6</v>
      </c>
      <c r="G318" s="10" t="str">
        <f t="shared" si="51"/>
        <v>1</v>
      </c>
      <c r="H318" s="9">
        <v>5334201</v>
      </c>
    </row>
    <row r="319" spans="1:8" x14ac:dyDescent="0.25">
      <c r="A319" s="7">
        <v>45107</v>
      </c>
      <c r="B319" s="10">
        <v>36</v>
      </c>
      <c r="C319" s="10" t="str">
        <f t="shared" si="49"/>
        <v>1867</v>
      </c>
      <c r="D319" s="11" t="str">
        <f t="shared" si="50"/>
        <v>Прочие дебиторы по неосновной деятельности</v>
      </c>
      <c r="E319" s="10" t="str">
        <f>"1"</f>
        <v>1</v>
      </c>
      <c r="F319" s="10" t="str">
        <f>"4"</f>
        <v>4</v>
      </c>
      <c r="G319" s="10" t="str">
        <f t="shared" si="51"/>
        <v>1</v>
      </c>
      <c r="H319" s="9">
        <v>1821701.9</v>
      </c>
    </row>
    <row r="320" spans="1:8" x14ac:dyDescent="0.25">
      <c r="A320" s="7">
        <v>45107</v>
      </c>
      <c r="B320" s="10">
        <v>36</v>
      </c>
      <c r="C320" s="10" t="str">
        <f t="shared" si="49"/>
        <v>1867</v>
      </c>
      <c r="D320" s="11" t="str">
        <f t="shared" si="50"/>
        <v>Прочие дебиторы по неосновной деятельности</v>
      </c>
      <c r="E320" s="10" t="str">
        <f>"1"</f>
        <v>1</v>
      </c>
      <c r="F320" s="10" t="str">
        <f>"8"</f>
        <v>8</v>
      </c>
      <c r="G320" s="10" t="str">
        <f t="shared" si="51"/>
        <v>1</v>
      </c>
      <c r="H320" s="9">
        <v>476696.89</v>
      </c>
    </row>
    <row r="321" spans="1:8" x14ac:dyDescent="0.25">
      <c r="A321" s="7">
        <v>45107</v>
      </c>
      <c r="B321" s="10">
        <v>36</v>
      </c>
      <c r="C321" s="10" t="str">
        <f t="shared" si="49"/>
        <v>1867</v>
      </c>
      <c r="D321" s="11" t="str">
        <f t="shared" si="50"/>
        <v>Прочие дебиторы по неосновной деятельности</v>
      </c>
      <c r="E321" s="10" t="str">
        <f>"1"</f>
        <v>1</v>
      </c>
      <c r="F321" s="10" t="str">
        <f>"3"</f>
        <v>3</v>
      </c>
      <c r="G321" s="10" t="str">
        <f t="shared" si="51"/>
        <v>1</v>
      </c>
      <c r="H321" s="9">
        <v>6158</v>
      </c>
    </row>
    <row r="322" spans="1:8" x14ac:dyDescent="0.25">
      <c r="A322" s="7">
        <v>45107</v>
      </c>
      <c r="B322" s="10">
        <v>36</v>
      </c>
      <c r="C322" s="10" t="str">
        <f t="shared" si="49"/>
        <v>1867</v>
      </c>
      <c r="D322" s="11" t="str">
        <f t="shared" si="50"/>
        <v>Прочие дебиторы по неосновной деятельности</v>
      </c>
      <c r="E322" s="10" t="str">
        <f>"2"</f>
        <v>2</v>
      </c>
      <c r="F322" s="10" t="str">
        <f>"7"</f>
        <v>7</v>
      </c>
      <c r="G322" s="10" t="str">
        <f t="shared" si="51"/>
        <v>1</v>
      </c>
      <c r="H322" s="9">
        <v>39683595.759999998</v>
      </c>
    </row>
    <row r="323" spans="1:8" x14ac:dyDescent="0.25">
      <c r="A323" s="7">
        <v>45107</v>
      </c>
      <c r="B323" s="10">
        <v>36</v>
      </c>
      <c r="C323" s="10" t="str">
        <f t="shared" si="49"/>
        <v>1867</v>
      </c>
      <c r="D323" s="11" t="str">
        <f t="shared" si="50"/>
        <v>Прочие дебиторы по неосновной деятельности</v>
      </c>
      <c r="E323" s="10" t="str">
        <f>"1"</f>
        <v>1</v>
      </c>
      <c r="F323" s="10" t="str">
        <f>"1"</f>
        <v>1</v>
      </c>
      <c r="G323" s="10" t="str">
        <f t="shared" si="51"/>
        <v>1</v>
      </c>
      <c r="H323" s="9">
        <v>1967286.86</v>
      </c>
    </row>
    <row r="324" spans="1:8" x14ac:dyDescent="0.25">
      <c r="A324" s="7">
        <v>45107</v>
      </c>
      <c r="B324" s="10">
        <v>36</v>
      </c>
      <c r="C324" s="10" t="str">
        <f t="shared" si="49"/>
        <v>1867</v>
      </c>
      <c r="D324" s="11" t="str">
        <f t="shared" si="50"/>
        <v>Прочие дебиторы по неосновной деятельности</v>
      </c>
      <c r="E324" s="10" t="str">
        <f>"1"</f>
        <v>1</v>
      </c>
      <c r="F324" s="10" t="str">
        <f>"9"</f>
        <v>9</v>
      </c>
      <c r="G324" s="10" t="str">
        <f t="shared" si="51"/>
        <v>1</v>
      </c>
      <c r="H324" s="9">
        <v>202216777.80000001</v>
      </c>
    </row>
    <row r="325" spans="1:8" x14ac:dyDescent="0.25">
      <c r="A325" s="7">
        <v>45107</v>
      </c>
      <c r="B325" s="10">
        <v>36</v>
      </c>
      <c r="C325" s="10" t="str">
        <f t="shared" ref="C325:C330" si="52">"1870"</f>
        <v>1870</v>
      </c>
      <c r="D325" s="11" t="str">
        <f t="shared" ref="D325:D330" si="53">"Прочие транзитные счета"</f>
        <v>Прочие транзитные счета</v>
      </c>
      <c r="E325" s="10" t="str">
        <f>"1"</f>
        <v>1</v>
      </c>
      <c r="F325" s="10" t="str">
        <f>"9"</f>
        <v>9</v>
      </c>
      <c r="G325" s="10" t="str">
        <f t="shared" si="51"/>
        <v>1</v>
      </c>
      <c r="H325" s="9">
        <v>136087291.33000001</v>
      </c>
    </row>
    <row r="326" spans="1:8" x14ac:dyDescent="0.25">
      <c r="A326" s="7">
        <v>45107</v>
      </c>
      <c r="B326" s="10">
        <v>36</v>
      </c>
      <c r="C326" s="10" t="str">
        <f t="shared" si="52"/>
        <v>1870</v>
      </c>
      <c r="D326" s="11" t="str">
        <f t="shared" si="53"/>
        <v>Прочие транзитные счета</v>
      </c>
      <c r="E326" s="10" t="str">
        <f>"2"</f>
        <v>2</v>
      </c>
      <c r="F326" s="10" t="str">
        <f>"7"</f>
        <v>7</v>
      </c>
      <c r="G326" s="10" t="str">
        <f>"2"</f>
        <v>2</v>
      </c>
      <c r="H326" s="9">
        <v>28910615.02</v>
      </c>
    </row>
    <row r="327" spans="1:8" x14ac:dyDescent="0.25">
      <c r="A327" s="7">
        <v>45107</v>
      </c>
      <c r="B327" s="10">
        <v>36</v>
      </c>
      <c r="C327" s="10" t="str">
        <f t="shared" si="52"/>
        <v>1870</v>
      </c>
      <c r="D327" s="11" t="str">
        <f t="shared" si="53"/>
        <v>Прочие транзитные счета</v>
      </c>
      <c r="E327" s="10" t="str">
        <f>"2"</f>
        <v>2</v>
      </c>
      <c r="F327" s="10" t="str">
        <f>"5"</f>
        <v>5</v>
      </c>
      <c r="G327" s="10" t="str">
        <f>"1"</f>
        <v>1</v>
      </c>
      <c r="H327" s="9">
        <v>367145</v>
      </c>
    </row>
    <row r="328" spans="1:8" x14ac:dyDescent="0.25">
      <c r="A328" s="7">
        <v>45107</v>
      </c>
      <c r="B328" s="10">
        <v>36</v>
      </c>
      <c r="C328" s="10" t="str">
        <f t="shared" si="52"/>
        <v>1870</v>
      </c>
      <c r="D328" s="11" t="str">
        <f t="shared" si="53"/>
        <v>Прочие транзитные счета</v>
      </c>
      <c r="E328" s="10" t="str">
        <f>"2"</f>
        <v>2</v>
      </c>
      <c r="F328" s="10" t="str">
        <f>"7"</f>
        <v>7</v>
      </c>
      <c r="G328" s="10" t="str">
        <f>"1"</f>
        <v>1</v>
      </c>
      <c r="H328" s="9">
        <v>1956882303.48</v>
      </c>
    </row>
    <row r="329" spans="1:8" x14ac:dyDescent="0.25">
      <c r="A329" s="7">
        <v>45107</v>
      </c>
      <c r="B329" s="10">
        <v>36</v>
      </c>
      <c r="C329" s="10" t="str">
        <f t="shared" si="52"/>
        <v>1870</v>
      </c>
      <c r="D329" s="11" t="str">
        <f t="shared" si="53"/>
        <v>Прочие транзитные счета</v>
      </c>
      <c r="E329" s="10" t="str">
        <f>"1"</f>
        <v>1</v>
      </c>
      <c r="F329" s="10" t="str">
        <f>"4"</f>
        <v>4</v>
      </c>
      <c r="G329" s="10" t="str">
        <f>"1"</f>
        <v>1</v>
      </c>
      <c r="H329" s="9">
        <v>605347049.08000004</v>
      </c>
    </row>
    <row r="330" spans="1:8" x14ac:dyDescent="0.25">
      <c r="A330" s="7">
        <v>45107</v>
      </c>
      <c r="B330" s="10">
        <v>36</v>
      </c>
      <c r="C330" s="10" t="str">
        <f t="shared" si="52"/>
        <v>1870</v>
      </c>
      <c r="D330" s="11" t="str">
        <f t="shared" si="53"/>
        <v>Прочие транзитные счета</v>
      </c>
      <c r="E330" s="10" t="str">
        <f>"1"</f>
        <v>1</v>
      </c>
      <c r="F330" s="10" t="str">
        <f>"4"</f>
        <v>4</v>
      </c>
      <c r="G330" s="10" t="str">
        <f>"2"</f>
        <v>2</v>
      </c>
      <c r="H330" s="9">
        <v>98140</v>
      </c>
    </row>
    <row r="331" spans="1:8" ht="30" x14ac:dyDescent="0.25">
      <c r="A331" s="7">
        <v>45107</v>
      </c>
      <c r="B331" s="10">
        <v>36</v>
      </c>
      <c r="C331" s="10" t="str">
        <f>"1871"</f>
        <v>1871</v>
      </c>
      <c r="D331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1" s="10" t="str">
        <f>"2"</f>
        <v>2</v>
      </c>
      <c r="F331" s="10" t="str">
        <f>""</f>
        <v/>
      </c>
      <c r="G331" s="10" t="str">
        <f>"1"</f>
        <v>1</v>
      </c>
      <c r="H331" s="9">
        <v>0.86</v>
      </c>
    </row>
    <row r="332" spans="1:8" ht="30" x14ac:dyDescent="0.25">
      <c r="A332" s="7">
        <v>45107</v>
      </c>
      <c r="B332" s="10">
        <v>36</v>
      </c>
      <c r="C332" s="10" t="str">
        <f>"1871"</f>
        <v>1871</v>
      </c>
      <c r="D332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2" s="10" t="str">
        <f>"1"</f>
        <v>1</v>
      </c>
      <c r="F332" s="10" t="str">
        <f>""</f>
        <v/>
      </c>
      <c r="G332" s="10" t="str">
        <f>"2"</f>
        <v>2</v>
      </c>
      <c r="H332" s="9">
        <v>6611.17</v>
      </c>
    </row>
    <row r="333" spans="1:8" ht="30" x14ac:dyDescent="0.25">
      <c r="A333" s="7">
        <v>45107</v>
      </c>
      <c r="B333" s="10">
        <v>36</v>
      </c>
      <c r="C333" s="10" t="str">
        <f t="shared" ref="C333:C348" si="54">"1877"</f>
        <v>1877</v>
      </c>
      <c r="D333" s="11" t="str">
        <f t="shared" ref="D333:D348" si="55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3" s="10" t="str">
        <f>"1"</f>
        <v>1</v>
      </c>
      <c r="F333" s="10" t="str">
        <f>"9"</f>
        <v>9</v>
      </c>
      <c r="G333" s="10" t="str">
        <f>"2"</f>
        <v>2</v>
      </c>
      <c r="H333" s="9">
        <v>-181501268.63999999</v>
      </c>
    </row>
    <row r="334" spans="1:8" ht="30" x14ac:dyDescent="0.25">
      <c r="A334" s="7">
        <v>45107</v>
      </c>
      <c r="B334" s="10">
        <v>36</v>
      </c>
      <c r="C334" s="10" t="str">
        <f t="shared" si="54"/>
        <v>1877</v>
      </c>
      <c r="D334" s="11" t="str">
        <f t="shared" si="55"/>
        <v>Резервы (провизии) по дебиторской задолженности, связанной с банковской деятельностью</v>
      </c>
      <c r="E334" s="10" t="str">
        <f>"2"</f>
        <v>2</v>
      </c>
      <c r="F334" s="10" t="str">
        <f>"7"</f>
        <v>7</v>
      </c>
      <c r="G334" s="10" t="str">
        <f>"2"</f>
        <v>2</v>
      </c>
      <c r="H334" s="9">
        <v>-12240032383.35</v>
      </c>
    </row>
    <row r="335" spans="1:8" ht="30" x14ac:dyDescent="0.25">
      <c r="A335" s="7">
        <v>45107</v>
      </c>
      <c r="B335" s="10">
        <v>36</v>
      </c>
      <c r="C335" s="10" t="str">
        <f t="shared" si="54"/>
        <v>1877</v>
      </c>
      <c r="D335" s="11" t="str">
        <f t="shared" si="55"/>
        <v>Резервы (провизии) по дебиторской задолженности, связанной с банковской деятельностью</v>
      </c>
      <c r="E335" s="10" t="str">
        <f>"1"</f>
        <v>1</v>
      </c>
      <c r="F335" s="10" t="str">
        <f>"7"</f>
        <v>7</v>
      </c>
      <c r="G335" s="10" t="str">
        <f>"1"</f>
        <v>1</v>
      </c>
      <c r="H335" s="9">
        <v>-7047605203.0900002</v>
      </c>
    </row>
    <row r="336" spans="1:8" ht="30" x14ac:dyDescent="0.25">
      <c r="A336" s="7">
        <v>45107</v>
      </c>
      <c r="B336" s="10">
        <v>36</v>
      </c>
      <c r="C336" s="10" t="str">
        <f t="shared" si="54"/>
        <v>1877</v>
      </c>
      <c r="D336" s="11" t="str">
        <f t="shared" si="55"/>
        <v>Резервы (провизии) по дебиторской задолженности, связанной с банковской деятельностью</v>
      </c>
      <c r="E336" s="10" t="str">
        <f>"1"</f>
        <v>1</v>
      </c>
      <c r="F336" s="10" t="str">
        <f>"9"</f>
        <v>9</v>
      </c>
      <c r="G336" s="10" t="str">
        <f>"1"</f>
        <v>1</v>
      </c>
      <c r="H336" s="9">
        <v>-2765038127.6599998</v>
      </c>
    </row>
    <row r="337" spans="1:8" ht="30" x14ac:dyDescent="0.25">
      <c r="A337" s="7">
        <v>45107</v>
      </c>
      <c r="B337" s="10">
        <v>36</v>
      </c>
      <c r="C337" s="10" t="str">
        <f t="shared" si="54"/>
        <v>1877</v>
      </c>
      <c r="D337" s="11" t="str">
        <f t="shared" si="55"/>
        <v>Резервы (провизии) по дебиторской задолженности, связанной с банковской деятельностью</v>
      </c>
      <c r="E337" s="10" t="str">
        <f>"1"</f>
        <v>1</v>
      </c>
      <c r="F337" s="10" t="str">
        <f>"4"</f>
        <v>4</v>
      </c>
      <c r="G337" s="10" t="str">
        <f>"2"</f>
        <v>2</v>
      </c>
      <c r="H337" s="9">
        <v>-561232032.85000002</v>
      </c>
    </row>
    <row r="338" spans="1:8" ht="30" x14ac:dyDescent="0.25">
      <c r="A338" s="7">
        <v>45107</v>
      </c>
      <c r="B338" s="10">
        <v>36</v>
      </c>
      <c r="C338" s="10" t="str">
        <f t="shared" si="54"/>
        <v>1877</v>
      </c>
      <c r="D338" s="11" t="str">
        <f t="shared" si="55"/>
        <v>Резервы (провизии) по дебиторской задолженности, связанной с банковской деятельностью</v>
      </c>
      <c r="E338" s="10" t="str">
        <f>"2"</f>
        <v>2</v>
      </c>
      <c r="F338" s="10" t="str">
        <f>"7"</f>
        <v>7</v>
      </c>
      <c r="G338" s="10" t="str">
        <f>"3"</f>
        <v>3</v>
      </c>
      <c r="H338" s="9">
        <v>-56167478.090000004</v>
      </c>
    </row>
    <row r="339" spans="1:8" ht="30" x14ac:dyDescent="0.25">
      <c r="A339" s="7">
        <v>45107</v>
      </c>
      <c r="B339" s="10">
        <v>36</v>
      </c>
      <c r="C339" s="10" t="str">
        <f t="shared" si="54"/>
        <v>1877</v>
      </c>
      <c r="D339" s="11" t="str">
        <f t="shared" si="55"/>
        <v>Резервы (провизии) по дебиторской задолженности, связанной с банковской деятельностью</v>
      </c>
      <c r="E339" s="10" t="str">
        <f>"2"</f>
        <v>2</v>
      </c>
      <c r="F339" s="10" t="str">
        <f>"9"</f>
        <v>9</v>
      </c>
      <c r="G339" s="10" t="str">
        <f>"2"</f>
        <v>2</v>
      </c>
      <c r="H339" s="9">
        <v>-2284759.4900000002</v>
      </c>
    </row>
    <row r="340" spans="1:8" ht="30" x14ac:dyDescent="0.25">
      <c r="A340" s="7">
        <v>45107</v>
      </c>
      <c r="B340" s="10">
        <v>36</v>
      </c>
      <c r="C340" s="10" t="str">
        <f t="shared" si="54"/>
        <v>1877</v>
      </c>
      <c r="D340" s="11" t="str">
        <f t="shared" si="55"/>
        <v>Резервы (провизии) по дебиторской задолженности, связанной с банковской деятельностью</v>
      </c>
      <c r="E340" s="10" t="str">
        <f>"1"</f>
        <v>1</v>
      </c>
      <c r="F340" s="10" t="str">
        <f>"7"</f>
        <v>7</v>
      </c>
      <c r="G340" s="10" t="str">
        <f>"3"</f>
        <v>3</v>
      </c>
      <c r="H340" s="9">
        <v>-18179668.879999999</v>
      </c>
    </row>
    <row r="341" spans="1:8" ht="30" x14ac:dyDescent="0.25">
      <c r="A341" s="7">
        <v>45107</v>
      </c>
      <c r="B341" s="10">
        <v>36</v>
      </c>
      <c r="C341" s="10" t="str">
        <f t="shared" si="54"/>
        <v>1877</v>
      </c>
      <c r="D341" s="11" t="str">
        <f t="shared" si="55"/>
        <v>Резервы (провизии) по дебиторской задолженности, связанной с банковской деятельностью</v>
      </c>
      <c r="E341" s="10" t="str">
        <f>"2"</f>
        <v>2</v>
      </c>
      <c r="F341" s="10" t="str">
        <f>"7"</f>
        <v>7</v>
      </c>
      <c r="G341" s="10" t="str">
        <f>"1"</f>
        <v>1</v>
      </c>
      <c r="H341" s="9">
        <v>-1002553</v>
      </c>
    </row>
    <row r="342" spans="1:8" ht="30" x14ac:dyDescent="0.25">
      <c r="A342" s="7">
        <v>45107</v>
      </c>
      <c r="B342" s="10">
        <v>36</v>
      </c>
      <c r="C342" s="10" t="str">
        <f t="shared" si="54"/>
        <v>1877</v>
      </c>
      <c r="D342" s="11" t="str">
        <f t="shared" si="55"/>
        <v>Резервы (провизии) по дебиторской задолженности, связанной с банковской деятельностью</v>
      </c>
      <c r="E342" s="10" t="str">
        <f>"1"</f>
        <v>1</v>
      </c>
      <c r="F342" s="10" t="str">
        <f>"2"</f>
        <v>2</v>
      </c>
      <c r="G342" s="10" t="str">
        <f>"1"</f>
        <v>1</v>
      </c>
      <c r="H342" s="9">
        <v>-1060</v>
      </c>
    </row>
    <row r="343" spans="1:8" ht="30" x14ac:dyDescent="0.25">
      <c r="A343" s="7">
        <v>45107</v>
      </c>
      <c r="B343" s="10">
        <v>36</v>
      </c>
      <c r="C343" s="10" t="str">
        <f t="shared" si="54"/>
        <v>1877</v>
      </c>
      <c r="D343" s="11" t="str">
        <f t="shared" si="55"/>
        <v>Резервы (провизии) по дебиторской задолженности, связанной с банковской деятельностью</v>
      </c>
      <c r="E343" s="10" t="str">
        <f>"1"</f>
        <v>1</v>
      </c>
      <c r="F343" s="10" t="str">
        <f>"5"</f>
        <v>5</v>
      </c>
      <c r="G343" s="10" t="str">
        <f>"1"</f>
        <v>1</v>
      </c>
      <c r="H343" s="9">
        <v>-134480814.40000001</v>
      </c>
    </row>
    <row r="344" spans="1:8" ht="30" x14ac:dyDescent="0.25">
      <c r="A344" s="7">
        <v>45107</v>
      </c>
      <c r="B344" s="10">
        <v>36</v>
      </c>
      <c r="C344" s="10" t="str">
        <f t="shared" si="54"/>
        <v>1877</v>
      </c>
      <c r="D344" s="11" t="str">
        <f t="shared" si="55"/>
        <v>Резервы (провизии) по дебиторской задолженности, связанной с банковской деятельностью</v>
      </c>
      <c r="E344" s="10" t="str">
        <f>"1"</f>
        <v>1</v>
      </c>
      <c r="F344" s="10" t="str">
        <f>"9"</f>
        <v>9</v>
      </c>
      <c r="G344" s="10" t="str">
        <f>"3"</f>
        <v>3</v>
      </c>
      <c r="H344" s="9">
        <v>-412742</v>
      </c>
    </row>
    <row r="345" spans="1:8" ht="30" x14ac:dyDescent="0.25">
      <c r="A345" s="7">
        <v>45107</v>
      </c>
      <c r="B345" s="10">
        <v>36</v>
      </c>
      <c r="C345" s="10" t="str">
        <f t="shared" si="54"/>
        <v>1877</v>
      </c>
      <c r="D345" s="11" t="str">
        <f t="shared" si="55"/>
        <v>Резервы (провизии) по дебиторской задолженности, связанной с банковской деятельностью</v>
      </c>
      <c r="E345" s="10" t="str">
        <f>"1"</f>
        <v>1</v>
      </c>
      <c r="F345" s="10" t="str">
        <f>"5"</f>
        <v>5</v>
      </c>
      <c r="G345" s="10" t="str">
        <f>"2"</f>
        <v>2</v>
      </c>
      <c r="H345" s="9">
        <v>-20801649.390000001</v>
      </c>
    </row>
    <row r="346" spans="1:8" ht="30" x14ac:dyDescent="0.25">
      <c r="A346" s="7">
        <v>45107</v>
      </c>
      <c r="B346" s="10">
        <v>36</v>
      </c>
      <c r="C346" s="10" t="str">
        <f t="shared" si="54"/>
        <v>1877</v>
      </c>
      <c r="D346" s="11" t="str">
        <f t="shared" si="55"/>
        <v>Резервы (провизии) по дебиторской задолженности, связанной с банковской деятельностью</v>
      </c>
      <c r="E346" s="10" t="str">
        <f>"1"</f>
        <v>1</v>
      </c>
      <c r="F346" s="10" t="str">
        <f>"7"</f>
        <v>7</v>
      </c>
      <c r="G346" s="10" t="str">
        <f>"2"</f>
        <v>2</v>
      </c>
      <c r="H346" s="9">
        <v>-9787292.0999999996</v>
      </c>
    </row>
    <row r="347" spans="1:8" ht="30" x14ac:dyDescent="0.25">
      <c r="A347" s="7">
        <v>45107</v>
      </c>
      <c r="B347" s="10">
        <v>36</v>
      </c>
      <c r="C347" s="10" t="str">
        <f t="shared" si="54"/>
        <v>1877</v>
      </c>
      <c r="D347" s="11" t="str">
        <f t="shared" si="55"/>
        <v>Резервы (провизии) по дебиторской задолженности, связанной с банковской деятельностью</v>
      </c>
      <c r="E347" s="10" t="str">
        <f>"2"</f>
        <v>2</v>
      </c>
      <c r="F347" s="10" t="str">
        <f>"9"</f>
        <v>9</v>
      </c>
      <c r="G347" s="10" t="str">
        <f t="shared" ref="G347:G355" si="56">"1"</f>
        <v>1</v>
      </c>
      <c r="H347" s="9">
        <v>-4218371.82</v>
      </c>
    </row>
    <row r="348" spans="1:8" ht="30" x14ac:dyDescent="0.25">
      <c r="A348" s="7">
        <v>45107</v>
      </c>
      <c r="B348" s="10">
        <v>36</v>
      </c>
      <c r="C348" s="10" t="str">
        <f t="shared" si="54"/>
        <v>1877</v>
      </c>
      <c r="D348" s="11" t="str">
        <f t="shared" si="55"/>
        <v>Резервы (провизии) по дебиторской задолженности, связанной с банковской деятельностью</v>
      </c>
      <c r="E348" s="10" t="str">
        <f>"1"</f>
        <v>1</v>
      </c>
      <c r="F348" s="10" t="str">
        <f>"4"</f>
        <v>4</v>
      </c>
      <c r="G348" s="10" t="str">
        <f t="shared" si="56"/>
        <v>1</v>
      </c>
      <c r="H348" s="9">
        <v>-85464919.640000001</v>
      </c>
    </row>
    <row r="349" spans="1:8" ht="30" x14ac:dyDescent="0.25">
      <c r="A349" s="7">
        <v>45107</v>
      </c>
      <c r="B349" s="10">
        <v>36</v>
      </c>
      <c r="C349" s="10" t="str">
        <f t="shared" ref="C349:C355" si="57">"1878"</f>
        <v>1878</v>
      </c>
      <c r="D349" s="11" t="str">
        <f t="shared" ref="D349:D355" si="58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49" s="10" t="str">
        <f>"2"</f>
        <v>2</v>
      </c>
      <c r="F349" s="10" t="str">
        <f>"7"</f>
        <v>7</v>
      </c>
      <c r="G349" s="10" t="str">
        <f t="shared" si="56"/>
        <v>1</v>
      </c>
      <c r="H349" s="9">
        <v>-19166601.050000001</v>
      </c>
    </row>
    <row r="350" spans="1:8" ht="30" x14ac:dyDescent="0.25">
      <c r="A350" s="7">
        <v>45107</v>
      </c>
      <c r="B350" s="10">
        <v>36</v>
      </c>
      <c r="C350" s="10" t="str">
        <f t="shared" si="57"/>
        <v>1878</v>
      </c>
      <c r="D350" s="11" t="str">
        <f t="shared" si="58"/>
        <v>Резервы (провизии) по дебиторской задолженности, связанной с неосновной деятельностью</v>
      </c>
      <c r="E350" s="10" t="str">
        <f>"1"</f>
        <v>1</v>
      </c>
      <c r="F350" s="10" t="str">
        <f>"5"</f>
        <v>5</v>
      </c>
      <c r="G350" s="10" t="str">
        <f t="shared" si="56"/>
        <v>1</v>
      </c>
      <c r="H350" s="9">
        <v>-1453638601.8</v>
      </c>
    </row>
    <row r="351" spans="1:8" ht="30" x14ac:dyDescent="0.25">
      <c r="A351" s="7">
        <v>45107</v>
      </c>
      <c r="B351" s="10">
        <v>36</v>
      </c>
      <c r="C351" s="10" t="str">
        <f t="shared" si="57"/>
        <v>1878</v>
      </c>
      <c r="D351" s="11" t="str">
        <f t="shared" si="58"/>
        <v>Резервы (провизии) по дебиторской задолженности, связанной с неосновной деятельностью</v>
      </c>
      <c r="E351" s="10" t="str">
        <f>"1"</f>
        <v>1</v>
      </c>
      <c r="F351" s="10" t="str">
        <f>"1"</f>
        <v>1</v>
      </c>
      <c r="G351" s="10" t="str">
        <f t="shared" si="56"/>
        <v>1</v>
      </c>
      <c r="H351" s="9">
        <v>-558052.5</v>
      </c>
    </row>
    <row r="352" spans="1:8" ht="30" x14ac:dyDescent="0.25">
      <c r="A352" s="7">
        <v>45107</v>
      </c>
      <c r="B352" s="10">
        <v>36</v>
      </c>
      <c r="C352" s="10" t="str">
        <f t="shared" si="57"/>
        <v>1878</v>
      </c>
      <c r="D352" s="11" t="str">
        <f t="shared" si="58"/>
        <v>Резервы (провизии) по дебиторской задолженности, связанной с неосновной деятельностью</v>
      </c>
      <c r="E352" s="10" t="str">
        <f>"2"</f>
        <v>2</v>
      </c>
      <c r="F352" s="10" t="str">
        <f>"2"</f>
        <v>2</v>
      </c>
      <c r="G352" s="10" t="str">
        <f t="shared" si="56"/>
        <v>1</v>
      </c>
      <c r="H352" s="9">
        <v>-1042200</v>
      </c>
    </row>
    <row r="353" spans="1:8" ht="30" x14ac:dyDescent="0.25">
      <c r="A353" s="7">
        <v>45107</v>
      </c>
      <c r="B353" s="10">
        <v>36</v>
      </c>
      <c r="C353" s="10" t="str">
        <f t="shared" si="57"/>
        <v>1878</v>
      </c>
      <c r="D353" s="11" t="str">
        <f t="shared" si="58"/>
        <v>Резервы (провизии) по дебиторской задолженности, связанной с неосновной деятельностью</v>
      </c>
      <c r="E353" s="10" t="str">
        <f t="shared" ref="E353:E359" si="59">"1"</f>
        <v>1</v>
      </c>
      <c r="F353" s="10" t="str">
        <f>"7"</f>
        <v>7</v>
      </c>
      <c r="G353" s="10" t="str">
        <f t="shared" si="56"/>
        <v>1</v>
      </c>
      <c r="H353" s="9">
        <v>-1378862363.96</v>
      </c>
    </row>
    <row r="354" spans="1:8" ht="30" x14ac:dyDescent="0.25">
      <c r="A354" s="7">
        <v>45107</v>
      </c>
      <c r="B354" s="10">
        <v>36</v>
      </c>
      <c r="C354" s="10" t="str">
        <f t="shared" si="57"/>
        <v>1878</v>
      </c>
      <c r="D354" s="11" t="str">
        <f t="shared" si="58"/>
        <v>Резервы (провизии) по дебиторской задолженности, связанной с неосновной деятельностью</v>
      </c>
      <c r="E354" s="10" t="str">
        <f t="shared" si="59"/>
        <v>1</v>
      </c>
      <c r="F354" s="10" t="str">
        <f>"6"</f>
        <v>6</v>
      </c>
      <c r="G354" s="10" t="str">
        <f t="shared" si="56"/>
        <v>1</v>
      </c>
      <c r="H354" s="9">
        <v>-5795992.9900000002</v>
      </c>
    </row>
    <row r="355" spans="1:8" ht="30" x14ac:dyDescent="0.25">
      <c r="A355" s="7">
        <v>45107</v>
      </c>
      <c r="B355" s="10">
        <v>36</v>
      </c>
      <c r="C355" s="10" t="str">
        <f t="shared" si="57"/>
        <v>1878</v>
      </c>
      <c r="D355" s="11" t="str">
        <f t="shared" si="58"/>
        <v>Резервы (провизии) по дебиторской задолженности, связанной с неосновной деятельностью</v>
      </c>
      <c r="E355" s="10" t="str">
        <f t="shared" si="59"/>
        <v>1</v>
      </c>
      <c r="F355" s="10" t="str">
        <f>"9"</f>
        <v>9</v>
      </c>
      <c r="G355" s="10" t="str">
        <f t="shared" si="56"/>
        <v>1</v>
      </c>
      <c r="H355" s="9">
        <v>-85649967.140000001</v>
      </c>
    </row>
    <row r="356" spans="1:8" x14ac:dyDescent="0.25">
      <c r="A356" s="7">
        <v>45107</v>
      </c>
      <c r="B356" s="10">
        <v>36</v>
      </c>
      <c r="C356" s="10" t="str">
        <f t="shared" ref="C356:C362" si="60">"1879"</f>
        <v>1879</v>
      </c>
      <c r="D356" s="11" t="str">
        <f t="shared" ref="D356:D362" si="61">"Начисленная неустойка (штраф, пеня)"</f>
        <v>Начисленная неустойка (штраф, пеня)</v>
      </c>
      <c r="E356" s="10" t="str">
        <f t="shared" si="59"/>
        <v>1</v>
      </c>
      <c r="F356" s="10" t="str">
        <f>"7"</f>
        <v>7</v>
      </c>
      <c r="G356" s="10" t="str">
        <f>"2"</f>
        <v>2</v>
      </c>
      <c r="H356" s="9">
        <v>6365.38</v>
      </c>
    </row>
    <row r="357" spans="1:8" x14ac:dyDescent="0.25">
      <c r="A357" s="7">
        <v>45107</v>
      </c>
      <c r="B357" s="10">
        <v>36</v>
      </c>
      <c r="C357" s="10" t="str">
        <f t="shared" si="60"/>
        <v>1879</v>
      </c>
      <c r="D357" s="11" t="str">
        <f t="shared" si="61"/>
        <v>Начисленная неустойка (штраф, пеня)</v>
      </c>
      <c r="E357" s="10" t="str">
        <f t="shared" si="59"/>
        <v>1</v>
      </c>
      <c r="F357" s="10" t="str">
        <f>"9"</f>
        <v>9</v>
      </c>
      <c r="G357" s="10" t="str">
        <f>"1"</f>
        <v>1</v>
      </c>
      <c r="H357" s="9">
        <v>626380738.54999995</v>
      </c>
    </row>
    <row r="358" spans="1:8" x14ac:dyDescent="0.25">
      <c r="A358" s="7">
        <v>45107</v>
      </c>
      <c r="B358" s="10">
        <v>36</v>
      </c>
      <c r="C358" s="10" t="str">
        <f t="shared" si="60"/>
        <v>1879</v>
      </c>
      <c r="D358" s="11" t="str">
        <f t="shared" si="61"/>
        <v>Начисленная неустойка (штраф, пеня)</v>
      </c>
      <c r="E358" s="10" t="str">
        <f t="shared" si="59"/>
        <v>1</v>
      </c>
      <c r="F358" s="10" t="str">
        <f>"9"</f>
        <v>9</v>
      </c>
      <c r="G358" s="10" t="str">
        <f>"2"</f>
        <v>2</v>
      </c>
      <c r="H358" s="9">
        <v>12032193.52</v>
      </c>
    </row>
    <row r="359" spans="1:8" x14ac:dyDescent="0.25">
      <c r="A359" s="7">
        <v>45107</v>
      </c>
      <c r="B359" s="10">
        <v>36</v>
      </c>
      <c r="C359" s="10" t="str">
        <f t="shared" si="60"/>
        <v>1879</v>
      </c>
      <c r="D359" s="11" t="str">
        <f t="shared" si="61"/>
        <v>Начисленная неустойка (штраф, пеня)</v>
      </c>
      <c r="E359" s="10" t="str">
        <f t="shared" si="59"/>
        <v>1</v>
      </c>
      <c r="F359" s="10" t="str">
        <f>"7"</f>
        <v>7</v>
      </c>
      <c r="G359" s="10" t="str">
        <f>"1"</f>
        <v>1</v>
      </c>
      <c r="H359" s="9">
        <v>3506167798.4699998</v>
      </c>
    </row>
    <row r="360" spans="1:8" x14ac:dyDescent="0.25">
      <c r="A360" s="7">
        <v>45107</v>
      </c>
      <c r="B360" s="10">
        <v>36</v>
      </c>
      <c r="C360" s="10" t="str">
        <f t="shared" si="60"/>
        <v>1879</v>
      </c>
      <c r="D360" s="11" t="str">
        <f t="shared" si="61"/>
        <v>Начисленная неустойка (штраф, пеня)</v>
      </c>
      <c r="E360" s="10" t="str">
        <f>"2"</f>
        <v>2</v>
      </c>
      <c r="F360" s="10" t="str">
        <f>"9"</f>
        <v>9</v>
      </c>
      <c r="G360" s="10" t="str">
        <f>"2"</f>
        <v>2</v>
      </c>
      <c r="H360" s="9">
        <v>44381.760000000002</v>
      </c>
    </row>
    <row r="361" spans="1:8" x14ac:dyDescent="0.25">
      <c r="A361" s="7">
        <v>45107</v>
      </c>
      <c r="B361" s="10">
        <v>36</v>
      </c>
      <c r="C361" s="10" t="str">
        <f t="shared" si="60"/>
        <v>1879</v>
      </c>
      <c r="D361" s="11" t="str">
        <f t="shared" si="61"/>
        <v>Начисленная неустойка (штраф, пеня)</v>
      </c>
      <c r="E361" s="10" t="str">
        <f>"1"</f>
        <v>1</v>
      </c>
      <c r="F361" s="10" t="str">
        <f>"5"</f>
        <v>5</v>
      </c>
      <c r="G361" s="10" t="str">
        <f t="shared" ref="G361:G368" si="62">"1"</f>
        <v>1</v>
      </c>
      <c r="H361" s="9">
        <v>11760</v>
      </c>
    </row>
    <row r="362" spans="1:8" x14ac:dyDescent="0.25">
      <c r="A362" s="7">
        <v>45107</v>
      </c>
      <c r="B362" s="10">
        <v>36</v>
      </c>
      <c r="C362" s="10" t="str">
        <f t="shared" si="60"/>
        <v>1879</v>
      </c>
      <c r="D362" s="11" t="str">
        <f t="shared" si="61"/>
        <v>Начисленная неустойка (штраф, пеня)</v>
      </c>
      <c r="E362" s="10" t="str">
        <f>"2"</f>
        <v>2</v>
      </c>
      <c r="F362" s="10" t="str">
        <f>"9"</f>
        <v>9</v>
      </c>
      <c r="G362" s="10" t="str">
        <f t="shared" si="62"/>
        <v>1</v>
      </c>
      <c r="H362" s="9">
        <v>183819.19</v>
      </c>
    </row>
    <row r="363" spans="1:8" x14ac:dyDescent="0.25">
      <c r="A363" s="7">
        <v>45107</v>
      </c>
      <c r="B363" s="10">
        <v>36</v>
      </c>
      <c r="C363" s="10" t="str">
        <f>"1894"</f>
        <v>1894</v>
      </c>
      <c r="D363" s="11" t="str">
        <f>"Требования по операциям спот"</f>
        <v>Требования по операциям спот</v>
      </c>
      <c r="E363" s="10" t="str">
        <f>"2"</f>
        <v>2</v>
      </c>
      <c r="F363" s="10" t="str">
        <f>"4"</f>
        <v>4</v>
      </c>
      <c r="G363" s="10" t="str">
        <f t="shared" si="62"/>
        <v>1</v>
      </c>
      <c r="H363" s="9">
        <v>98451500.689999998</v>
      </c>
    </row>
    <row r="364" spans="1:8" x14ac:dyDescent="0.25">
      <c r="A364" s="7">
        <v>45107</v>
      </c>
      <c r="B364" s="10">
        <v>36</v>
      </c>
      <c r="C364" s="10" t="str">
        <f>"1894"</f>
        <v>1894</v>
      </c>
      <c r="D364" s="11" t="str">
        <f>"Требования по операциям спот"</f>
        <v>Требования по операциям спот</v>
      </c>
      <c r="E364" s="10" t="str">
        <f>"1"</f>
        <v>1</v>
      </c>
      <c r="F364" s="10" t="str">
        <f>"5"</f>
        <v>5</v>
      </c>
      <c r="G364" s="10" t="str">
        <f t="shared" si="62"/>
        <v>1</v>
      </c>
      <c r="H364" s="9">
        <v>150747700</v>
      </c>
    </row>
    <row r="365" spans="1:8" x14ac:dyDescent="0.25">
      <c r="A365" s="7">
        <v>45107</v>
      </c>
      <c r="B365" s="10">
        <v>36</v>
      </c>
      <c r="C365" s="10" t="str">
        <f>"1894"</f>
        <v>1894</v>
      </c>
      <c r="D365" s="11" t="str">
        <f>"Требования по операциям спот"</f>
        <v>Требования по операциям спот</v>
      </c>
      <c r="E365" s="10" t="str">
        <f>"1"</f>
        <v>1</v>
      </c>
      <c r="F365" s="10" t="str">
        <f>"4"</f>
        <v>4</v>
      </c>
      <c r="G365" s="10" t="str">
        <f t="shared" si="62"/>
        <v>1</v>
      </c>
      <c r="H365" s="9">
        <v>14220000</v>
      </c>
    </row>
    <row r="366" spans="1:8" x14ac:dyDescent="0.25">
      <c r="A366" s="7">
        <v>45107</v>
      </c>
      <c r="B366" s="10">
        <v>36</v>
      </c>
      <c r="C366" s="10" t="str">
        <f>"1895"</f>
        <v>1895</v>
      </c>
      <c r="D366" s="11" t="str">
        <f>"Требования по операциям своп"</f>
        <v>Требования по операциям своп</v>
      </c>
      <c r="E366" s="10" t="str">
        <f>"2"</f>
        <v>2</v>
      </c>
      <c r="F366" s="10" t="str">
        <f>"4"</f>
        <v>4</v>
      </c>
      <c r="G366" s="10" t="str">
        <f t="shared" si="62"/>
        <v>1</v>
      </c>
      <c r="H366" s="9">
        <v>14883000</v>
      </c>
    </row>
    <row r="367" spans="1:8" x14ac:dyDescent="0.25">
      <c r="A367" s="7">
        <v>45107</v>
      </c>
      <c r="B367" s="10">
        <v>36</v>
      </c>
      <c r="C367" s="10" t="str">
        <f>"1895"</f>
        <v>1895</v>
      </c>
      <c r="D367" s="11" t="str">
        <f>"Требования по операциям своп"</f>
        <v>Требования по операциям своп</v>
      </c>
      <c r="E367" s="10" t="str">
        <f>"2"</f>
        <v>2</v>
      </c>
      <c r="F367" s="10" t="str">
        <f>"5"</f>
        <v>5</v>
      </c>
      <c r="G367" s="10" t="str">
        <f t="shared" si="62"/>
        <v>1</v>
      </c>
      <c r="H367" s="9">
        <v>6021001.5099999998</v>
      </c>
    </row>
    <row r="368" spans="1:8" x14ac:dyDescent="0.25">
      <c r="A368" s="7">
        <v>45107</v>
      </c>
      <c r="B368" s="10">
        <v>36</v>
      </c>
      <c r="C368" s="10" t="str">
        <f>"1895"</f>
        <v>1895</v>
      </c>
      <c r="D368" s="11" t="str">
        <f>"Требования по операциям своп"</f>
        <v>Требования по операциям своп</v>
      </c>
      <c r="E368" s="10" t="str">
        <f>"1"</f>
        <v>1</v>
      </c>
      <c r="F368" s="10" t="str">
        <f>"5"</f>
        <v>5</v>
      </c>
      <c r="G368" s="10" t="str">
        <f t="shared" si="62"/>
        <v>1</v>
      </c>
      <c r="H368" s="9">
        <v>184569900</v>
      </c>
    </row>
    <row r="369" spans="1:8" x14ac:dyDescent="0.25">
      <c r="A369" s="7">
        <v>45107</v>
      </c>
      <c r="B369" s="10">
        <v>36</v>
      </c>
      <c r="C369" s="10" t="str">
        <f>"2013"</f>
        <v>2013</v>
      </c>
      <c r="D369" s="11" t="str">
        <f>"Корреспондентские счета других банков"</f>
        <v>Корреспондентские счета других банков</v>
      </c>
      <c r="E369" s="10" t="str">
        <f>"2"</f>
        <v>2</v>
      </c>
      <c r="F369" s="10" t="str">
        <f>"4"</f>
        <v>4</v>
      </c>
      <c r="G369" s="10" t="str">
        <f>"2"</f>
        <v>2</v>
      </c>
      <c r="H369" s="9">
        <v>13890892848.290001</v>
      </c>
    </row>
    <row r="370" spans="1:8" x14ac:dyDescent="0.25">
      <c r="A370" s="7">
        <v>45107</v>
      </c>
      <c r="B370" s="10">
        <v>36</v>
      </c>
      <c r="C370" s="10" t="str">
        <f>"2013"</f>
        <v>2013</v>
      </c>
      <c r="D370" s="11" t="str">
        <f>"Корреспондентские счета других банков"</f>
        <v>Корреспондентские счета других банков</v>
      </c>
      <c r="E370" s="10" t="str">
        <f>"2"</f>
        <v>2</v>
      </c>
      <c r="F370" s="10" t="str">
        <f>"4"</f>
        <v>4</v>
      </c>
      <c r="G370" s="10" t="str">
        <f>"1"</f>
        <v>1</v>
      </c>
      <c r="H370" s="9">
        <v>1225710118.28</v>
      </c>
    </row>
    <row r="371" spans="1:8" x14ac:dyDescent="0.25">
      <c r="A371" s="7">
        <v>45107</v>
      </c>
      <c r="B371" s="10">
        <v>36</v>
      </c>
      <c r="C371" s="10" t="str">
        <f>"2013"</f>
        <v>2013</v>
      </c>
      <c r="D371" s="11" t="str">
        <f>"Корреспондентские счета других банков"</f>
        <v>Корреспондентские счета других банков</v>
      </c>
      <c r="E371" s="10" t="str">
        <f>"2"</f>
        <v>2</v>
      </c>
      <c r="F371" s="10" t="str">
        <f>"4"</f>
        <v>4</v>
      </c>
      <c r="G371" s="10" t="str">
        <f>"3"</f>
        <v>3</v>
      </c>
      <c r="H371" s="9">
        <v>38941252.630000003</v>
      </c>
    </row>
    <row r="372" spans="1:8" x14ac:dyDescent="0.25">
      <c r="A372" s="7">
        <v>45107</v>
      </c>
      <c r="B372" s="10">
        <v>36</v>
      </c>
      <c r="C372" s="10" t="str">
        <f>"2013"</f>
        <v>2013</v>
      </c>
      <c r="D372" s="11" t="str">
        <f>"Корреспондентские счета других банков"</f>
        <v>Корреспондентские счета других банков</v>
      </c>
      <c r="E372" s="10" t="str">
        <f>"1"</f>
        <v>1</v>
      </c>
      <c r="F372" s="10" t="str">
        <f>"4"</f>
        <v>4</v>
      </c>
      <c r="G372" s="10" t="str">
        <f>"3"</f>
        <v>3</v>
      </c>
      <c r="H372" s="9">
        <v>94090.12</v>
      </c>
    </row>
    <row r="373" spans="1:8" x14ac:dyDescent="0.25">
      <c r="A373" s="7">
        <v>45107</v>
      </c>
      <c r="B373" s="10">
        <v>36</v>
      </c>
      <c r="C373" s="10" t="str">
        <f>"2013"</f>
        <v>2013</v>
      </c>
      <c r="D373" s="11" t="str">
        <f>"Корреспондентские счета других банков"</f>
        <v>Корреспондентские счета других банков</v>
      </c>
      <c r="E373" s="10" t="str">
        <f>"1"</f>
        <v>1</v>
      </c>
      <c r="F373" s="10" t="str">
        <f>"4"</f>
        <v>4</v>
      </c>
      <c r="G373" s="10" t="str">
        <f>"2"</f>
        <v>2</v>
      </c>
      <c r="H373" s="9">
        <v>41231201.789999999</v>
      </c>
    </row>
    <row r="374" spans="1:8" ht="30" x14ac:dyDescent="0.25">
      <c r="A374" s="7">
        <v>45107</v>
      </c>
      <c r="B374" s="10">
        <v>36</v>
      </c>
      <c r="C374" s="10" t="str">
        <f>"2014"</f>
        <v>2014</v>
      </c>
      <c r="D374" s="1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4" s="10" t="str">
        <f>"2"</f>
        <v>2</v>
      </c>
      <c r="F374" s="10" t="str">
        <f>"5"</f>
        <v>5</v>
      </c>
      <c r="G374" s="10" t="str">
        <f>"2"</f>
        <v>2</v>
      </c>
      <c r="H374" s="9">
        <v>7793146949.4399996</v>
      </c>
    </row>
    <row r="375" spans="1:8" ht="60" x14ac:dyDescent="0.25">
      <c r="A375" s="7">
        <v>45107</v>
      </c>
      <c r="B375" s="10">
        <v>36</v>
      </c>
      <c r="C375" s="10" t="str">
        <f>"2032"</f>
        <v>2032</v>
      </c>
      <c r="D375" s="11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5" s="10" t="str">
        <f>"1"</f>
        <v>1</v>
      </c>
      <c r="F375" s="10" t="str">
        <f>"5"</f>
        <v>5</v>
      </c>
      <c r="G375" s="10" t="str">
        <f>"1"</f>
        <v>1</v>
      </c>
      <c r="H375" s="9">
        <v>-14140445296.77</v>
      </c>
    </row>
    <row r="376" spans="1:8" ht="60" x14ac:dyDescent="0.25">
      <c r="A376" s="7">
        <v>45107</v>
      </c>
      <c r="B376" s="10">
        <v>36</v>
      </c>
      <c r="C376" s="10" t="str">
        <f>"2036"</f>
        <v>2036</v>
      </c>
      <c r="D376" s="1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6" s="10" t="str">
        <f>"1"</f>
        <v>1</v>
      </c>
      <c r="F376" s="10" t="str">
        <f>"5"</f>
        <v>5</v>
      </c>
      <c r="G376" s="10" t="str">
        <f>"1"</f>
        <v>1</v>
      </c>
      <c r="H376" s="9">
        <v>20405294660</v>
      </c>
    </row>
    <row r="377" spans="1:8" x14ac:dyDescent="0.25">
      <c r="A377" s="7">
        <v>45107</v>
      </c>
      <c r="B377" s="10">
        <v>36</v>
      </c>
      <c r="C377" s="10" t="str">
        <f>"2056"</f>
        <v>2056</v>
      </c>
      <c r="D377" s="11" t="str">
        <f>"Долгосрочные займы, полученные от других банков"</f>
        <v>Долгосрочные займы, полученные от других банков</v>
      </c>
      <c r="E377" s="10" t="str">
        <f>"1"</f>
        <v>1</v>
      </c>
      <c r="F377" s="10" t="str">
        <f t="shared" ref="F377:F383" si="63">"4"</f>
        <v>4</v>
      </c>
      <c r="G377" s="10" t="str">
        <f>"1"</f>
        <v>1</v>
      </c>
      <c r="H377" s="9">
        <v>10423233125.77</v>
      </c>
    </row>
    <row r="378" spans="1:8" x14ac:dyDescent="0.25">
      <c r="A378" s="7">
        <v>45107</v>
      </c>
      <c r="B378" s="10">
        <v>36</v>
      </c>
      <c r="C378" s="10" t="str">
        <f>"2070"</f>
        <v>2070</v>
      </c>
      <c r="D378" s="11" t="str">
        <f>"Дисконт по полученным займам"</f>
        <v>Дисконт по полученным займам</v>
      </c>
      <c r="E378" s="10" t="str">
        <f>"1"</f>
        <v>1</v>
      </c>
      <c r="F378" s="10" t="str">
        <f t="shared" si="63"/>
        <v>4</v>
      </c>
      <c r="G378" s="10" t="str">
        <f>"1"</f>
        <v>1</v>
      </c>
      <c r="H378" s="9">
        <v>-5937210065.6800003</v>
      </c>
    </row>
    <row r="379" spans="1:8" x14ac:dyDescent="0.25">
      <c r="A379" s="7">
        <v>45107</v>
      </c>
      <c r="B379" s="10">
        <v>36</v>
      </c>
      <c r="C379" s="10" t="str">
        <f>"2123"</f>
        <v>2123</v>
      </c>
      <c r="D379" s="11" t="str">
        <f>"Краткосрочные вклады других банков (до одного месяца)"</f>
        <v>Краткосрочные вклады других банков (до одного месяца)</v>
      </c>
      <c r="E379" s="10" t="str">
        <f>"2"</f>
        <v>2</v>
      </c>
      <c r="F379" s="10" t="str">
        <f t="shared" si="63"/>
        <v>4</v>
      </c>
      <c r="G379" s="10" t="str">
        <f>"2"</f>
        <v>2</v>
      </c>
      <c r="H379" s="9">
        <v>4525100000</v>
      </c>
    </row>
    <row r="380" spans="1:8" x14ac:dyDescent="0.25">
      <c r="A380" s="7">
        <v>45107</v>
      </c>
      <c r="B380" s="10">
        <v>36</v>
      </c>
      <c r="C380" s="10" t="str">
        <f>"2123"</f>
        <v>2123</v>
      </c>
      <c r="D380" s="11" t="str">
        <f>"Краткосрочные вклады других банков (до одного месяца)"</f>
        <v>Краткосрочные вклады других банков (до одного месяца)</v>
      </c>
      <c r="E380" s="10" t="str">
        <f>"1"</f>
        <v>1</v>
      </c>
      <c r="F380" s="10" t="str">
        <f t="shared" si="63"/>
        <v>4</v>
      </c>
      <c r="G380" s="10" t="str">
        <f>"2"</f>
        <v>2</v>
      </c>
      <c r="H380" s="9">
        <v>3620080000</v>
      </c>
    </row>
    <row r="381" spans="1:8" x14ac:dyDescent="0.25">
      <c r="A381" s="7">
        <v>45107</v>
      </c>
      <c r="B381" s="10">
        <v>36</v>
      </c>
      <c r="C381" s="10" t="str">
        <f>"2123"</f>
        <v>2123</v>
      </c>
      <c r="D381" s="11" t="str">
        <f>"Краткосрочные вклады других банков (до одного месяца)"</f>
        <v>Краткосрочные вклады других банков (до одного месяца)</v>
      </c>
      <c r="E381" s="10" t="str">
        <f>"2"</f>
        <v>2</v>
      </c>
      <c r="F381" s="10" t="str">
        <f t="shared" si="63"/>
        <v>4</v>
      </c>
      <c r="G381" s="10" t="str">
        <f>"1"</f>
        <v>1</v>
      </c>
      <c r="H381" s="9">
        <v>100000000</v>
      </c>
    </row>
    <row r="382" spans="1:8" x14ac:dyDescent="0.25">
      <c r="A382" s="7">
        <v>45107</v>
      </c>
      <c r="B382" s="10">
        <v>36</v>
      </c>
      <c r="C382" s="10" t="str">
        <f>"2130"</f>
        <v>2130</v>
      </c>
      <c r="D382" s="1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82" s="10" t="str">
        <f>"1"</f>
        <v>1</v>
      </c>
      <c r="F382" s="10" t="str">
        <f t="shared" si="63"/>
        <v>4</v>
      </c>
      <c r="G382" s="10" t="str">
        <f>"2"</f>
        <v>2</v>
      </c>
      <c r="H382" s="9">
        <v>10449265707.370001</v>
      </c>
    </row>
    <row r="383" spans="1:8" ht="30" x14ac:dyDescent="0.25">
      <c r="A383" s="7">
        <v>45107</v>
      </c>
      <c r="B383" s="10">
        <v>36</v>
      </c>
      <c r="C383" s="10" t="str">
        <f>"2137"</f>
        <v>2137</v>
      </c>
      <c r="D383" s="11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383" s="10" t="str">
        <f>"1"</f>
        <v>1</v>
      </c>
      <c r="F383" s="10" t="str">
        <f t="shared" si="63"/>
        <v>4</v>
      </c>
      <c r="G383" s="10" t="str">
        <f>"1"</f>
        <v>1</v>
      </c>
      <c r="H383" s="9">
        <v>-830015141.45000005</v>
      </c>
    </row>
    <row r="384" spans="1:8" ht="60" x14ac:dyDescent="0.25">
      <c r="A384" s="7">
        <v>45107</v>
      </c>
      <c r="B384" s="10">
        <v>36</v>
      </c>
      <c r="C384" s="10" t="str">
        <f>"2202"</f>
        <v>2202</v>
      </c>
      <c r="D384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4" s="10" t="str">
        <f>"1"</f>
        <v>1</v>
      </c>
      <c r="F384" s="10" t="str">
        <f>"5"</f>
        <v>5</v>
      </c>
      <c r="G384" s="10" t="str">
        <f>"2"</f>
        <v>2</v>
      </c>
      <c r="H384" s="9">
        <v>119015626.64</v>
      </c>
    </row>
    <row r="385" spans="1:8" ht="60" x14ac:dyDescent="0.25">
      <c r="A385" s="7">
        <v>45107</v>
      </c>
      <c r="B385" s="10">
        <v>36</v>
      </c>
      <c r="C385" s="10" t="str">
        <f>"2202"</f>
        <v>2202</v>
      </c>
      <c r="D385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5" s="10" t="str">
        <f>"1"</f>
        <v>1</v>
      </c>
      <c r="F385" s="10" t="str">
        <f>"7"</f>
        <v>7</v>
      </c>
      <c r="G385" s="10" t="str">
        <f>"1"</f>
        <v>1</v>
      </c>
      <c r="H385" s="9">
        <v>6459295.6200000001</v>
      </c>
    </row>
    <row r="386" spans="1:8" ht="60" x14ac:dyDescent="0.25">
      <c r="A386" s="7">
        <v>45107</v>
      </c>
      <c r="B386" s="10">
        <v>36</v>
      </c>
      <c r="C386" s="10" t="str">
        <f>"2202"</f>
        <v>2202</v>
      </c>
      <c r="D386" s="1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6" s="10" t="str">
        <f>"1"</f>
        <v>1</v>
      </c>
      <c r="F386" s="10" t="str">
        <f>"5"</f>
        <v>5</v>
      </c>
      <c r="G386" s="10" t="str">
        <f>"1"</f>
        <v>1</v>
      </c>
      <c r="H386" s="9">
        <v>1427380805.46</v>
      </c>
    </row>
    <row r="387" spans="1:8" x14ac:dyDescent="0.25">
      <c r="A387" s="7">
        <v>45107</v>
      </c>
      <c r="B387" s="10">
        <v>36</v>
      </c>
      <c r="C387" s="10" t="str">
        <f t="shared" ref="C387:C413" si="64">"2203"</f>
        <v>2203</v>
      </c>
      <c r="D387" s="11" t="str">
        <f t="shared" ref="D387:D413" si="65">"Текущие счета юридических лиц"</f>
        <v>Текущие счета юридических лиц</v>
      </c>
      <c r="E387" s="10" t="str">
        <f>"2"</f>
        <v>2</v>
      </c>
      <c r="F387" s="10" t="str">
        <f>"6"</f>
        <v>6</v>
      </c>
      <c r="G387" s="10" t="str">
        <f>"1"</f>
        <v>1</v>
      </c>
      <c r="H387" s="9">
        <v>159100</v>
      </c>
    </row>
    <row r="388" spans="1:8" x14ac:dyDescent="0.25">
      <c r="A388" s="7">
        <v>45107</v>
      </c>
      <c r="B388" s="10">
        <v>36</v>
      </c>
      <c r="C388" s="10" t="str">
        <f t="shared" si="64"/>
        <v>2203</v>
      </c>
      <c r="D388" s="11" t="str">
        <f t="shared" si="65"/>
        <v>Текущие счета юридических лиц</v>
      </c>
      <c r="E388" s="10" t="str">
        <f>"2"</f>
        <v>2</v>
      </c>
      <c r="F388" s="10" t="str">
        <f>"7"</f>
        <v>7</v>
      </c>
      <c r="G388" s="10" t="str">
        <f>"2"</f>
        <v>2</v>
      </c>
      <c r="H388" s="9">
        <v>5367777465.5900002</v>
      </c>
    </row>
    <row r="389" spans="1:8" x14ac:dyDescent="0.25">
      <c r="A389" s="7">
        <v>45107</v>
      </c>
      <c r="B389" s="10">
        <v>36</v>
      </c>
      <c r="C389" s="10" t="str">
        <f t="shared" si="64"/>
        <v>2203</v>
      </c>
      <c r="D389" s="11" t="str">
        <f t="shared" si="65"/>
        <v>Текущие счета юридических лиц</v>
      </c>
      <c r="E389" s="10" t="str">
        <f>"1"</f>
        <v>1</v>
      </c>
      <c r="F389" s="10" t="str">
        <f>"5"</f>
        <v>5</v>
      </c>
      <c r="G389" s="10" t="str">
        <f>"3"</f>
        <v>3</v>
      </c>
      <c r="H389" s="9">
        <v>194865757.08000001</v>
      </c>
    </row>
    <row r="390" spans="1:8" x14ac:dyDescent="0.25">
      <c r="A390" s="7">
        <v>45107</v>
      </c>
      <c r="B390" s="10">
        <v>36</v>
      </c>
      <c r="C390" s="10" t="str">
        <f t="shared" si="64"/>
        <v>2203</v>
      </c>
      <c r="D390" s="11" t="str">
        <f t="shared" si="65"/>
        <v>Текущие счета юридических лиц</v>
      </c>
      <c r="E390" s="10" t="str">
        <f>"1"</f>
        <v>1</v>
      </c>
      <c r="F390" s="10" t="str">
        <f>"7"</f>
        <v>7</v>
      </c>
      <c r="G390" s="10" t="str">
        <f>"3"</f>
        <v>3</v>
      </c>
      <c r="H390" s="9">
        <v>11813505036.1</v>
      </c>
    </row>
    <row r="391" spans="1:8" x14ac:dyDescent="0.25">
      <c r="A391" s="7">
        <v>45107</v>
      </c>
      <c r="B391" s="10">
        <v>36</v>
      </c>
      <c r="C391" s="10" t="str">
        <f t="shared" si="64"/>
        <v>2203</v>
      </c>
      <c r="D391" s="11" t="str">
        <f t="shared" si="65"/>
        <v>Текущие счета юридических лиц</v>
      </c>
      <c r="E391" s="10" t="str">
        <f>"2"</f>
        <v>2</v>
      </c>
      <c r="F391" s="10" t="str">
        <f>"7"</f>
        <v>7</v>
      </c>
      <c r="G391" s="10" t="str">
        <f>"3"</f>
        <v>3</v>
      </c>
      <c r="H391" s="9">
        <v>961898861.04999995</v>
      </c>
    </row>
    <row r="392" spans="1:8" x14ac:dyDescent="0.25">
      <c r="A392" s="7">
        <v>45107</v>
      </c>
      <c r="B392" s="10">
        <v>36</v>
      </c>
      <c r="C392" s="10" t="str">
        <f t="shared" si="64"/>
        <v>2203</v>
      </c>
      <c r="D392" s="11" t="str">
        <f t="shared" si="65"/>
        <v>Текущие счета юридических лиц</v>
      </c>
      <c r="E392" s="10" t="str">
        <f>"2"</f>
        <v>2</v>
      </c>
      <c r="F392" s="10" t="str">
        <f>"3"</f>
        <v>3</v>
      </c>
      <c r="G392" s="10" t="str">
        <f>"2"</f>
        <v>2</v>
      </c>
      <c r="H392" s="9">
        <v>5232961.3899999997</v>
      </c>
    </row>
    <row r="393" spans="1:8" x14ac:dyDescent="0.25">
      <c r="A393" s="7">
        <v>45107</v>
      </c>
      <c r="B393" s="10">
        <v>36</v>
      </c>
      <c r="C393" s="10" t="str">
        <f t="shared" si="64"/>
        <v>2203</v>
      </c>
      <c r="D393" s="11" t="str">
        <f t="shared" si="65"/>
        <v>Текущие счета юридических лиц</v>
      </c>
      <c r="E393" s="10" t="str">
        <f>"2"</f>
        <v>2</v>
      </c>
      <c r="F393" s="10" t="str">
        <f>"5"</f>
        <v>5</v>
      </c>
      <c r="G393" s="10" t="str">
        <f>"1"</f>
        <v>1</v>
      </c>
      <c r="H393" s="9">
        <v>2145582.96</v>
      </c>
    </row>
    <row r="394" spans="1:8" x14ac:dyDescent="0.25">
      <c r="A394" s="7">
        <v>45107</v>
      </c>
      <c r="B394" s="10">
        <v>36</v>
      </c>
      <c r="C394" s="10" t="str">
        <f t="shared" si="64"/>
        <v>2203</v>
      </c>
      <c r="D394" s="11" t="str">
        <f t="shared" si="65"/>
        <v>Текущие счета юридических лиц</v>
      </c>
      <c r="E394" s="10" t="str">
        <f>"1"</f>
        <v>1</v>
      </c>
      <c r="F394" s="10" t="str">
        <f>"6"</f>
        <v>6</v>
      </c>
      <c r="G394" s="10" t="str">
        <f>"2"</f>
        <v>2</v>
      </c>
      <c r="H394" s="9">
        <v>117384082.22</v>
      </c>
    </row>
    <row r="395" spans="1:8" x14ac:dyDescent="0.25">
      <c r="A395" s="7">
        <v>45107</v>
      </c>
      <c r="B395" s="10">
        <v>36</v>
      </c>
      <c r="C395" s="10" t="str">
        <f t="shared" si="64"/>
        <v>2203</v>
      </c>
      <c r="D395" s="11" t="str">
        <f t="shared" si="65"/>
        <v>Текущие счета юридических лиц</v>
      </c>
      <c r="E395" s="10" t="str">
        <f>"1"</f>
        <v>1</v>
      </c>
      <c r="F395" s="10" t="str">
        <f>"8"</f>
        <v>8</v>
      </c>
      <c r="G395" s="10" t="str">
        <f>"2"</f>
        <v>2</v>
      </c>
      <c r="H395" s="9">
        <v>28395659180.259998</v>
      </c>
    </row>
    <row r="396" spans="1:8" x14ac:dyDescent="0.25">
      <c r="A396" s="7">
        <v>45107</v>
      </c>
      <c r="B396" s="10">
        <v>36</v>
      </c>
      <c r="C396" s="10" t="str">
        <f t="shared" si="64"/>
        <v>2203</v>
      </c>
      <c r="D396" s="11" t="str">
        <f t="shared" si="65"/>
        <v>Текущие счета юридических лиц</v>
      </c>
      <c r="E396" s="10" t="str">
        <f>"2"</f>
        <v>2</v>
      </c>
      <c r="F396" s="10" t="str">
        <f>"8"</f>
        <v>8</v>
      </c>
      <c r="G396" s="10" t="str">
        <f>"2"</f>
        <v>2</v>
      </c>
      <c r="H396" s="9">
        <v>55410828.899999999</v>
      </c>
    </row>
    <row r="397" spans="1:8" x14ac:dyDescent="0.25">
      <c r="A397" s="7">
        <v>45107</v>
      </c>
      <c r="B397" s="10">
        <v>36</v>
      </c>
      <c r="C397" s="10" t="str">
        <f t="shared" si="64"/>
        <v>2203</v>
      </c>
      <c r="D397" s="11" t="str">
        <f t="shared" si="65"/>
        <v>Текущие счета юридических лиц</v>
      </c>
      <c r="E397" s="10" t="str">
        <f>"1"</f>
        <v>1</v>
      </c>
      <c r="F397" s="10" t="str">
        <f>"8"</f>
        <v>8</v>
      </c>
      <c r="G397" s="10" t="str">
        <f>"1"</f>
        <v>1</v>
      </c>
      <c r="H397" s="9">
        <v>3364422517.4200001</v>
      </c>
    </row>
    <row r="398" spans="1:8" x14ac:dyDescent="0.25">
      <c r="A398" s="7">
        <v>45107</v>
      </c>
      <c r="B398" s="10">
        <v>36</v>
      </c>
      <c r="C398" s="10" t="str">
        <f t="shared" si="64"/>
        <v>2203</v>
      </c>
      <c r="D398" s="11" t="str">
        <f t="shared" si="65"/>
        <v>Текущие счета юридических лиц</v>
      </c>
      <c r="E398" s="10" t="str">
        <f>"1"</f>
        <v>1</v>
      </c>
      <c r="F398" s="10" t="str">
        <f>"6"</f>
        <v>6</v>
      </c>
      <c r="G398" s="10" t="str">
        <f>"1"</f>
        <v>1</v>
      </c>
      <c r="H398" s="9">
        <v>25389842181.5</v>
      </c>
    </row>
    <row r="399" spans="1:8" x14ac:dyDescent="0.25">
      <c r="A399" s="7">
        <v>45107</v>
      </c>
      <c r="B399" s="10">
        <v>36</v>
      </c>
      <c r="C399" s="10" t="str">
        <f t="shared" si="64"/>
        <v>2203</v>
      </c>
      <c r="D399" s="11" t="str">
        <f t="shared" si="65"/>
        <v>Текущие счета юридических лиц</v>
      </c>
      <c r="E399" s="10" t="str">
        <f>"2"</f>
        <v>2</v>
      </c>
      <c r="F399" s="10" t="str">
        <f>"7"</f>
        <v>7</v>
      </c>
      <c r="G399" s="10" t="str">
        <f>"1"</f>
        <v>1</v>
      </c>
      <c r="H399" s="9">
        <v>636328430.64999998</v>
      </c>
    </row>
    <row r="400" spans="1:8" x14ac:dyDescent="0.25">
      <c r="A400" s="7">
        <v>45107</v>
      </c>
      <c r="B400" s="10">
        <v>36</v>
      </c>
      <c r="C400" s="10" t="str">
        <f t="shared" si="64"/>
        <v>2203</v>
      </c>
      <c r="D400" s="11" t="str">
        <f t="shared" si="65"/>
        <v>Текущие счета юридических лиц</v>
      </c>
      <c r="E400" s="10" t="str">
        <f>"2"</f>
        <v>2</v>
      </c>
      <c r="F400" s="10" t="str">
        <f>"8"</f>
        <v>8</v>
      </c>
      <c r="G400" s="10" t="str">
        <f>"1"</f>
        <v>1</v>
      </c>
      <c r="H400" s="9">
        <v>2829267.18</v>
      </c>
    </row>
    <row r="401" spans="1:8" x14ac:dyDescent="0.25">
      <c r="A401" s="7">
        <v>45107</v>
      </c>
      <c r="B401" s="10">
        <v>36</v>
      </c>
      <c r="C401" s="10" t="str">
        <f t="shared" si="64"/>
        <v>2203</v>
      </c>
      <c r="D401" s="11" t="str">
        <f t="shared" si="65"/>
        <v>Текущие счета юридических лиц</v>
      </c>
      <c r="E401" s="10" t="str">
        <f>"1"</f>
        <v>1</v>
      </c>
      <c r="F401" s="10" t="str">
        <f>"7"</f>
        <v>7</v>
      </c>
      <c r="G401" s="10" t="str">
        <f>"2"</f>
        <v>2</v>
      </c>
      <c r="H401" s="9">
        <v>40974549509.029999</v>
      </c>
    </row>
    <row r="402" spans="1:8" x14ac:dyDescent="0.25">
      <c r="A402" s="7">
        <v>45107</v>
      </c>
      <c r="B402" s="10">
        <v>36</v>
      </c>
      <c r="C402" s="10" t="str">
        <f t="shared" si="64"/>
        <v>2203</v>
      </c>
      <c r="D402" s="11" t="str">
        <f t="shared" si="65"/>
        <v>Текущие счета юридических лиц</v>
      </c>
      <c r="E402" s="10" t="str">
        <f>"1"</f>
        <v>1</v>
      </c>
      <c r="F402" s="10" t="str">
        <f>"5"</f>
        <v>5</v>
      </c>
      <c r="G402" s="10" t="str">
        <f>"1"</f>
        <v>1</v>
      </c>
      <c r="H402" s="9">
        <v>1518931117.25</v>
      </c>
    </row>
    <row r="403" spans="1:8" x14ac:dyDescent="0.25">
      <c r="A403" s="7">
        <v>45107</v>
      </c>
      <c r="B403" s="10">
        <v>36</v>
      </c>
      <c r="C403" s="10" t="str">
        <f t="shared" si="64"/>
        <v>2203</v>
      </c>
      <c r="D403" s="11" t="str">
        <f t="shared" si="65"/>
        <v>Текущие счета юридических лиц</v>
      </c>
      <c r="E403" s="10" t="str">
        <f>"1"</f>
        <v>1</v>
      </c>
      <c r="F403" s="10" t="str">
        <f>"1"</f>
        <v>1</v>
      </c>
      <c r="G403" s="10" t="str">
        <f>"1"</f>
        <v>1</v>
      </c>
      <c r="H403" s="9">
        <v>500</v>
      </c>
    </row>
    <row r="404" spans="1:8" x14ac:dyDescent="0.25">
      <c r="A404" s="7">
        <v>45107</v>
      </c>
      <c r="B404" s="10">
        <v>36</v>
      </c>
      <c r="C404" s="10" t="str">
        <f t="shared" si="64"/>
        <v>2203</v>
      </c>
      <c r="D404" s="11" t="str">
        <f t="shared" si="65"/>
        <v>Текущие счета юридических лиц</v>
      </c>
      <c r="E404" s="10" t="str">
        <f>"2"</f>
        <v>2</v>
      </c>
      <c r="F404" s="10" t="str">
        <f>"1"</f>
        <v>1</v>
      </c>
      <c r="G404" s="10" t="str">
        <f>"2"</f>
        <v>2</v>
      </c>
      <c r="H404" s="9">
        <v>1566651248.6500001</v>
      </c>
    </row>
    <row r="405" spans="1:8" x14ac:dyDescent="0.25">
      <c r="A405" s="7">
        <v>45107</v>
      </c>
      <c r="B405" s="10">
        <v>36</v>
      </c>
      <c r="C405" s="10" t="str">
        <f t="shared" si="64"/>
        <v>2203</v>
      </c>
      <c r="D405" s="11" t="str">
        <f t="shared" si="65"/>
        <v>Текущие счета юридических лиц</v>
      </c>
      <c r="E405" s="10" t="str">
        <f>"2"</f>
        <v>2</v>
      </c>
      <c r="F405" s="10" t="str">
        <f>"3"</f>
        <v>3</v>
      </c>
      <c r="G405" s="10" t="str">
        <f>"1"</f>
        <v>1</v>
      </c>
      <c r="H405" s="9">
        <v>13299.73</v>
      </c>
    </row>
    <row r="406" spans="1:8" x14ac:dyDescent="0.25">
      <c r="A406" s="7">
        <v>45107</v>
      </c>
      <c r="B406" s="10">
        <v>36</v>
      </c>
      <c r="C406" s="10" t="str">
        <f t="shared" si="64"/>
        <v>2203</v>
      </c>
      <c r="D406" s="11" t="str">
        <f t="shared" si="65"/>
        <v>Текущие счета юридических лиц</v>
      </c>
      <c r="E406" s="10" t="str">
        <f>"2"</f>
        <v>2</v>
      </c>
      <c r="F406" s="10" t="str">
        <f>"5"</f>
        <v>5</v>
      </c>
      <c r="G406" s="10" t="str">
        <f>"2"</f>
        <v>2</v>
      </c>
      <c r="H406" s="9">
        <v>13266728.949999999</v>
      </c>
    </row>
    <row r="407" spans="1:8" x14ac:dyDescent="0.25">
      <c r="A407" s="7">
        <v>45107</v>
      </c>
      <c r="B407" s="10">
        <v>36</v>
      </c>
      <c r="C407" s="10" t="str">
        <f t="shared" si="64"/>
        <v>2203</v>
      </c>
      <c r="D407" s="11" t="str">
        <f t="shared" si="65"/>
        <v>Текущие счета юридических лиц</v>
      </c>
      <c r="E407" s="10" t="str">
        <f>"1"</f>
        <v>1</v>
      </c>
      <c r="F407" s="10" t="str">
        <f>"5"</f>
        <v>5</v>
      </c>
      <c r="G407" s="10" t="str">
        <f>"2"</f>
        <v>2</v>
      </c>
      <c r="H407" s="9">
        <v>10183694522.6</v>
      </c>
    </row>
    <row r="408" spans="1:8" x14ac:dyDescent="0.25">
      <c r="A408" s="7">
        <v>45107</v>
      </c>
      <c r="B408" s="10">
        <v>36</v>
      </c>
      <c r="C408" s="10" t="str">
        <f t="shared" si="64"/>
        <v>2203</v>
      </c>
      <c r="D408" s="11" t="str">
        <f t="shared" si="65"/>
        <v>Текущие счета юридических лиц</v>
      </c>
      <c r="E408" s="10" t="str">
        <f>"1"</f>
        <v>1</v>
      </c>
      <c r="F408" s="10" t="str">
        <f>"7"</f>
        <v>7</v>
      </c>
      <c r="G408" s="10" t="str">
        <f>"1"</f>
        <v>1</v>
      </c>
      <c r="H408" s="9">
        <v>118668619529.36</v>
      </c>
    </row>
    <row r="409" spans="1:8" x14ac:dyDescent="0.25">
      <c r="A409" s="7">
        <v>45107</v>
      </c>
      <c r="B409" s="10">
        <v>36</v>
      </c>
      <c r="C409" s="10" t="str">
        <f t="shared" si="64"/>
        <v>2203</v>
      </c>
      <c r="D409" s="11" t="str">
        <f t="shared" si="65"/>
        <v>Текущие счета юридических лиц</v>
      </c>
      <c r="E409" s="10" t="str">
        <f>"1"</f>
        <v>1</v>
      </c>
      <c r="F409" s="10" t="str">
        <f>"6"</f>
        <v>6</v>
      </c>
      <c r="G409" s="10" t="str">
        <f>"3"</f>
        <v>3</v>
      </c>
      <c r="H409" s="9">
        <v>3531150.97</v>
      </c>
    </row>
    <row r="410" spans="1:8" x14ac:dyDescent="0.25">
      <c r="A410" s="7">
        <v>45107</v>
      </c>
      <c r="B410" s="10">
        <v>36</v>
      </c>
      <c r="C410" s="10" t="str">
        <f t="shared" si="64"/>
        <v>2203</v>
      </c>
      <c r="D410" s="11" t="str">
        <f t="shared" si="65"/>
        <v>Текущие счета юридических лиц</v>
      </c>
      <c r="E410" s="10" t="str">
        <f>"1"</f>
        <v>1</v>
      </c>
      <c r="F410" s="10" t="str">
        <f>"8"</f>
        <v>8</v>
      </c>
      <c r="G410" s="10" t="str">
        <f>"3"</f>
        <v>3</v>
      </c>
      <c r="H410" s="9">
        <v>22367599.370000001</v>
      </c>
    </row>
    <row r="411" spans="1:8" x14ac:dyDescent="0.25">
      <c r="A411" s="7">
        <v>45107</v>
      </c>
      <c r="B411" s="10">
        <v>36</v>
      </c>
      <c r="C411" s="10" t="str">
        <f t="shared" si="64"/>
        <v>2203</v>
      </c>
      <c r="D411" s="11" t="str">
        <f t="shared" si="65"/>
        <v>Текущие счета юридических лиц</v>
      </c>
      <c r="E411" s="10" t="str">
        <f>"2"</f>
        <v>2</v>
      </c>
      <c r="F411" s="10" t="str">
        <f>"5"</f>
        <v>5</v>
      </c>
      <c r="G411" s="10" t="str">
        <f>"3"</f>
        <v>3</v>
      </c>
      <c r="H411" s="9">
        <v>7873950.6799999997</v>
      </c>
    </row>
    <row r="412" spans="1:8" x14ac:dyDescent="0.25">
      <c r="A412" s="7">
        <v>45107</v>
      </c>
      <c r="B412" s="10">
        <v>36</v>
      </c>
      <c r="C412" s="10" t="str">
        <f t="shared" si="64"/>
        <v>2203</v>
      </c>
      <c r="D412" s="11" t="str">
        <f t="shared" si="65"/>
        <v>Текущие счета юридических лиц</v>
      </c>
      <c r="E412" s="10" t="str">
        <f>"2"</f>
        <v>2</v>
      </c>
      <c r="F412" s="10" t="str">
        <f>"1"</f>
        <v>1</v>
      </c>
      <c r="G412" s="10" t="str">
        <f>"1"</f>
        <v>1</v>
      </c>
      <c r="H412" s="9">
        <v>239579983.02000001</v>
      </c>
    </row>
    <row r="413" spans="1:8" x14ac:dyDescent="0.25">
      <c r="A413" s="7">
        <v>45107</v>
      </c>
      <c r="B413" s="10">
        <v>36</v>
      </c>
      <c r="C413" s="10" t="str">
        <f t="shared" si="64"/>
        <v>2203</v>
      </c>
      <c r="D413" s="11" t="str">
        <f t="shared" si="65"/>
        <v>Текущие счета юридических лиц</v>
      </c>
      <c r="E413" s="10" t="str">
        <f>"1"</f>
        <v>1</v>
      </c>
      <c r="F413" s="10" t="str">
        <f>"2"</f>
        <v>2</v>
      </c>
      <c r="G413" s="10" t="str">
        <f>"1"</f>
        <v>1</v>
      </c>
      <c r="H413" s="9">
        <v>7268785.8399999999</v>
      </c>
    </row>
    <row r="414" spans="1:8" x14ac:dyDescent="0.25">
      <c r="A414" s="7">
        <v>45107</v>
      </c>
      <c r="B414" s="10">
        <v>36</v>
      </c>
      <c r="C414" s="10" t="str">
        <f t="shared" ref="C414:C419" si="66">"2204"</f>
        <v>2204</v>
      </c>
      <c r="D414" s="11" t="str">
        <f t="shared" ref="D414:D419" si="67">"Текущие счета физических лиц"</f>
        <v>Текущие счета физических лиц</v>
      </c>
      <c r="E414" s="10" t="str">
        <f>"2"</f>
        <v>2</v>
      </c>
      <c r="F414" s="10" t="str">
        <f t="shared" ref="F414:F439" si="68">"9"</f>
        <v>9</v>
      </c>
      <c r="G414" s="10" t="str">
        <f>"1"</f>
        <v>1</v>
      </c>
      <c r="H414" s="9">
        <v>2949086871.25</v>
      </c>
    </row>
    <row r="415" spans="1:8" x14ac:dyDescent="0.25">
      <c r="A415" s="7">
        <v>45107</v>
      </c>
      <c r="B415" s="10">
        <v>36</v>
      </c>
      <c r="C415" s="10" t="str">
        <f t="shared" si="66"/>
        <v>2204</v>
      </c>
      <c r="D415" s="11" t="str">
        <f t="shared" si="67"/>
        <v>Текущие счета физических лиц</v>
      </c>
      <c r="E415" s="10" t="str">
        <f>"2"</f>
        <v>2</v>
      </c>
      <c r="F415" s="10" t="str">
        <f t="shared" si="68"/>
        <v>9</v>
      </c>
      <c r="G415" s="10" t="str">
        <f>"2"</f>
        <v>2</v>
      </c>
      <c r="H415" s="9">
        <v>13850132685.41</v>
      </c>
    </row>
    <row r="416" spans="1:8" x14ac:dyDescent="0.25">
      <c r="A416" s="7">
        <v>45107</v>
      </c>
      <c r="B416" s="10">
        <v>36</v>
      </c>
      <c r="C416" s="10" t="str">
        <f t="shared" si="66"/>
        <v>2204</v>
      </c>
      <c r="D416" s="11" t="str">
        <f t="shared" si="67"/>
        <v>Текущие счета физических лиц</v>
      </c>
      <c r="E416" s="10" t="str">
        <f>"1"</f>
        <v>1</v>
      </c>
      <c r="F416" s="10" t="str">
        <f t="shared" si="68"/>
        <v>9</v>
      </c>
      <c r="G416" s="10" t="str">
        <f>"2"</f>
        <v>2</v>
      </c>
      <c r="H416" s="9">
        <v>24278444084.419998</v>
      </c>
    </row>
    <row r="417" spans="1:8" x14ac:dyDescent="0.25">
      <c r="A417" s="7">
        <v>45107</v>
      </c>
      <c r="B417" s="10">
        <v>36</v>
      </c>
      <c r="C417" s="10" t="str">
        <f t="shared" si="66"/>
        <v>2204</v>
      </c>
      <c r="D417" s="11" t="str">
        <f t="shared" si="67"/>
        <v>Текущие счета физических лиц</v>
      </c>
      <c r="E417" s="10" t="str">
        <f>"2"</f>
        <v>2</v>
      </c>
      <c r="F417" s="10" t="str">
        <f t="shared" si="68"/>
        <v>9</v>
      </c>
      <c r="G417" s="10" t="str">
        <f>"3"</f>
        <v>3</v>
      </c>
      <c r="H417" s="9">
        <v>248635909.94</v>
      </c>
    </row>
    <row r="418" spans="1:8" x14ac:dyDescent="0.25">
      <c r="A418" s="7">
        <v>45107</v>
      </c>
      <c r="B418" s="10">
        <v>36</v>
      </c>
      <c r="C418" s="10" t="str">
        <f t="shared" si="66"/>
        <v>2204</v>
      </c>
      <c r="D418" s="11" t="str">
        <f t="shared" si="67"/>
        <v>Текущие счета физических лиц</v>
      </c>
      <c r="E418" s="10" t="str">
        <f>"1"</f>
        <v>1</v>
      </c>
      <c r="F418" s="10" t="str">
        <f t="shared" si="68"/>
        <v>9</v>
      </c>
      <c r="G418" s="10" t="str">
        <f>"1"</f>
        <v>1</v>
      </c>
      <c r="H418" s="9">
        <v>76648609020.550003</v>
      </c>
    </row>
    <row r="419" spans="1:8" x14ac:dyDescent="0.25">
      <c r="A419" s="7">
        <v>45107</v>
      </c>
      <c r="B419" s="10">
        <v>36</v>
      </c>
      <c r="C419" s="10" t="str">
        <f t="shared" si="66"/>
        <v>2204</v>
      </c>
      <c r="D419" s="11" t="str">
        <f t="shared" si="67"/>
        <v>Текущие счета физических лиц</v>
      </c>
      <c r="E419" s="10" t="str">
        <f>"1"</f>
        <v>1</v>
      </c>
      <c r="F419" s="10" t="str">
        <f t="shared" si="68"/>
        <v>9</v>
      </c>
      <c r="G419" s="10" t="str">
        <f>"3"</f>
        <v>3</v>
      </c>
      <c r="H419" s="9">
        <v>831747409.51999998</v>
      </c>
    </row>
    <row r="420" spans="1:8" x14ac:dyDescent="0.25">
      <c r="A420" s="7">
        <v>45107</v>
      </c>
      <c r="B420" s="10">
        <v>36</v>
      </c>
      <c r="C420" s="10" t="str">
        <f t="shared" ref="C420:C425" si="69">"2205"</f>
        <v>2205</v>
      </c>
      <c r="D420" s="11" t="str">
        <f t="shared" ref="D420:D425" si="70">"Вклады до востребования физических лиц"</f>
        <v>Вклады до востребования физических лиц</v>
      </c>
      <c r="E420" s="10" t="str">
        <f>"2"</f>
        <v>2</v>
      </c>
      <c r="F420" s="10" t="str">
        <f t="shared" si="68"/>
        <v>9</v>
      </c>
      <c r="G420" s="10" t="str">
        <f>"2"</f>
        <v>2</v>
      </c>
      <c r="H420" s="9">
        <v>91465061.640000001</v>
      </c>
    </row>
    <row r="421" spans="1:8" x14ac:dyDescent="0.25">
      <c r="A421" s="7">
        <v>45107</v>
      </c>
      <c r="B421" s="10">
        <v>36</v>
      </c>
      <c r="C421" s="10" t="str">
        <f t="shared" si="69"/>
        <v>2205</v>
      </c>
      <c r="D421" s="11" t="str">
        <f t="shared" si="70"/>
        <v>Вклады до востребования физических лиц</v>
      </c>
      <c r="E421" s="10" t="str">
        <f>"1"</f>
        <v>1</v>
      </c>
      <c r="F421" s="10" t="str">
        <f t="shared" si="68"/>
        <v>9</v>
      </c>
      <c r="G421" s="10" t="str">
        <f>"2"</f>
        <v>2</v>
      </c>
      <c r="H421" s="9">
        <v>1264528506.1800001</v>
      </c>
    </row>
    <row r="422" spans="1:8" x14ac:dyDescent="0.25">
      <c r="A422" s="7">
        <v>45107</v>
      </c>
      <c r="B422" s="10">
        <v>36</v>
      </c>
      <c r="C422" s="10" t="str">
        <f t="shared" si="69"/>
        <v>2205</v>
      </c>
      <c r="D422" s="11" t="str">
        <f t="shared" si="70"/>
        <v>Вклады до востребования физических лиц</v>
      </c>
      <c r="E422" s="10" t="str">
        <f>"1"</f>
        <v>1</v>
      </c>
      <c r="F422" s="10" t="str">
        <f t="shared" si="68"/>
        <v>9</v>
      </c>
      <c r="G422" s="10" t="str">
        <f>"1"</f>
        <v>1</v>
      </c>
      <c r="H422" s="9">
        <v>634440381.07000005</v>
      </c>
    </row>
    <row r="423" spans="1:8" x14ac:dyDescent="0.25">
      <c r="A423" s="7">
        <v>45107</v>
      </c>
      <c r="B423" s="10">
        <v>36</v>
      </c>
      <c r="C423" s="10" t="str">
        <f t="shared" si="69"/>
        <v>2205</v>
      </c>
      <c r="D423" s="11" t="str">
        <f t="shared" si="70"/>
        <v>Вклады до востребования физических лиц</v>
      </c>
      <c r="E423" s="10" t="str">
        <f>"1"</f>
        <v>1</v>
      </c>
      <c r="F423" s="10" t="str">
        <f t="shared" si="68"/>
        <v>9</v>
      </c>
      <c r="G423" s="10" t="str">
        <f>"3"</f>
        <v>3</v>
      </c>
      <c r="H423" s="9">
        <v>29238931.68</v>
      </c>
    </row>
    <row r="424" spans="1:8" x14ac:dyDescent="0.25">
      <c r="A424" s="7">
        <v>45107</v>
      </c>
      <c r="B424" s="10">
        <v>36</v>
      </c>
      <c r="C424" s="10" t="str">
        <f t="shared" si="69"/>
        <v>2205</v>
      </c>
      <c r="D424" s="11" t="str">
        <f t="shared" si="70"/>
        <v>Вклады до востребования физических лиц</v>
      </c>
      <c r="E424" s="10" t="str">
        <f>"2"</f>
        <v>2</v>
      </c>
      <c r="F424" s="10" t="str">
        <f t="shared" si="68"/>
        <v>9</v>
      </c>
      <c r="G424" s="10" t="str">
        <f>"3"</f>
        <v>3</v>
      </c>
      <c r="H424" s="9">
        <v>138825.65</v>
      </c>
    </row>
    <row r="425" spans="1:8" x14ac:dyDescent="0.25">
      <c r="A425" s="7">
        <v>45107</v>
      </c>
      <c r="B425" s="10">
        <v>36</v>
      </c>
      <c r="C425" s="10" t="str">
        <f t="shared" si="69"/>
        <v>2205</v>
      </c>
      <c r="D425" s="11" t="str">
        <f t="shared" si="70"/>
        <v>Вклады до востребования физических лиц</v>
      </c>
      <c r="E425" s="10" t="str">
        <f>"2"</f>
        <v>2</v>
      </c>
      <c r="F425" s="10" t="str">
        <f t="shared" si="68"/>
        <v>9</v>
      </c>
      <c r="G425" s="10" t="str">
        <f>"1"</f>
        <v>1</v>
      </c>
      <c r="H425" s="9">
        <v>14732086.99</v>
      </c>
    </row>
    <row r="426" spans="1:8" x14ac:dyDescent="0.25">
      <c r="A426" s="7">
        <v>45107</v>
      </c>
      <c r="B426" s="10">
        <v>36</v>
      </c>
      <c r="C426" s="10" t="str">
        <f t="shared" ref="C426:C431" si="71">"2206"</f>
        <v>2206</v>
      </c>
      <c r="D426" s="11" t="str">
        <f t="shared" ref="D426:D431" si="72">"Краткосрочные вклады физических лиц"</f>
        <v>Краткосрочные вклады физических лиц</v>
      </c>
      <c r="E426" s="10" t="str">
        <f>"1"</f>
        <v>1</v>
      </c>
      <c r="F426" s="10" t="str">
        <f t="shared" si="68"/>
        <v>9</v>
      </c>
      <c r="G426" s="10" t="str">
        <f>"3"</f>
        <v>3</v>
      </c>
      <c r="H426" s="9">
        <v>805846447.29999995</v>
      </c>
    </row>
    <row r="427" spans="1:8" x14ac:dyDescent="0.25">
      <c r="A427" s="7">
        <v>45107</v>
      </c>
      <c r="B427" s="10">
        <v>36</v>
      </c>
      <c r="C427" s="10" t="str">
        <f t="shared" si="71"/>
        <v>2206</v>
      </c>
      <c r="D427" s="11" t="str">
        <f t="shared" si="72"/>
        <v>Краткосрочные вклады физических лиц</v>
      </c>
      <c r="E427" s="10" t="str">
        <f>"1"</f>
        <v>1</v>
      </c>
      <c r="F427" s="10" t="str">
        <f t="shared" si="68"/>
        <v>9</v>
      </c>
      <c r="G427" s="10" t="str">
        <f>"2"</f>
        <v>2</v>
      </c>
      <c r="H427" s="9">
        <v>132887209965.47</v>
      </c>
    </row>
    <row r="428" spans="1:8" x14ac:dyDescent="0.25">
      <c r="A428" s="7">
        <v>45107</v>
      </c>
      <c r="B428" s="10">
        <v>36</v>
      </c>
      <c r="C428" s="10" t="str">
        <f t="shared" si="71"/>
        <v>2206</v>
      </c>
      <c r="D428" s="11" t="str">
        <f t="shared" si="72"/>
        <v>Краткосрочные вклады физических лиц</v>
      </c>
      <c r="E428" s="10" t="str">
        <f>"2"</f>
        <v>2</v>
      </c>
      <c r="F428" s="10" t="str">
        <f t="shared" si="68"/>
        <v>9</v>
      </c>
      <c r="G428" s="10" t="str">
        <f>"3"</f>
        <v>3</v>
      </c>
      <c r="H428" s="9">
        <v>2708538724.9200001</v>
      </c>
    </row>
    <row r="429" spans="1:8" x14ac:dyDescent="0.25">
      <c r="A429" s="7">
        <v>45107</v>
      </c>
      <c r="B429" s="10">
        <v>36</v>
      </c>
      <c r="C429" s="10" t="str">
        <f t="shared" si="71"/>
        <v>2206</v>
      </c>
      <c r="D429" s="11" t="str">
        <f t="shared" si="72"/>
        <v>Краткосрочные вклады физических лиц</v>
      </c>
      <c r="E429" s="10" t="str">
        <f>"1"</f>
        <v>1</v>
      </c>
      <c r="F429" s="10" t="str">
        <f t="shared" si="68"/>
        <v>9</v>
      </c>
      <c r="G429" s="10" t="str">
        <f>"1"</f>
        <v>1</v>
      </c>
      <c r="H429" s="9">
        <v>303676742147.53003</v>
      </c>
    </row>
    <row r="430" spans="1:8" x14ac:dyDescent="0.25">
      <c r="A430" s="7">
        <v>45107</v>
      </c>
      <c r="B430" s="10">
        <v>36</v>
      </c>
      <c r="C430" s="10" t="str">
        <f t="shared" si="71"/>
        <v>2206</v>
      </c>
      <c r="D430" s="11" t="str">
        <f t="shared" si="72"/>
        <v>Краткосрочные вклады физических лиц</v>
      </c>
      <c r="E430" s="10" t="str">
        <f>"2"</f>
        <v>2</v>
      </c>
      <c r="F430" s="10" t="str">
        <f t="shared" si="68"/>
        <v>9</v>
      </c>
      <c r="G430" s="10" t="str">
        <f>"2"</f>
        <v>2</v>
      </c>
      <c r="H430" s="9">
        <v>9134223728.6499996</v>
      </c>
    </row>
    <row r="431" spans="1:8" x14ac:dyDescent="0.25">
      <c r="A431" s="7">
        <v>45107</v>
      </c>
      <c r="B431" s="10">
        <v>36</v>
      </c>
      <c r="C431" s="10" t="str">
        <f t="shared" si="71"/>
        <v>2206</v>
      </c>
      <c r="D431" s="11" t="str">
        <f t="shared" si="72"/>
        <v>Краткосрочные вклады физических лиц</v>
      </c>
      <c r="E431" s="10" t="str">
        <f>"2"</f>
        <v>2</v>
      </c>
      <c r="F431" s="10" t="str">
        <f t="shared" si="68"/>
        <v>9</v>
      </c>
      <c r="G431" s="10" t="str">
        <f>"1"</f>
        <v>1</v>
      </c>
      <c r="H431" s="9">
        <v>5183553435.8900003</v>
      </c>
    </row>
    <row r="432" spans="1:8" x14ac:dyDescent="0.25">
      <c r="A432" s="7">
        <v>45107</v>
      </c>
      <c r="B432" s="10">
        <v>36</v>
      </c>
      <c r="C432" s="10" t="str">
        <f t="shared" ref="C432:C437" si="73">"2207"</f>
        <v>2207</v>
      </c>
      <c r="D432" s="11" t="str">
        <f t="shared" ref="D432:D437" si="74">"Долгосрочные вклады физических лиц"</f>
        <v>Долгосрочные вклады физических лиц</v>
      </c>
      <c r="E432" s="10" t="str">
        <f>"2"</f>
        <v>2</v>
      </c>
      <c r="F432" s="10" t="str">
        <f t="shared" si="68"/>
        <v>9</v>
      </c>
      <c r="G432" s="10" t="str">
        <f>"1"</f>
        <v>1</v>
      </c>
      <c r="H432" s="9">
        <v>67798301.969999999</v>
      </c>
    </row>
    <row r="433" spans="1:8" x14ac:dyDescent="0.25">
      <c r="A433" s="7">
        <v>45107</v>
      </c>
      <c r="B433" s="10">
        <v>36</v>
      </c>
      <c r="C433" s="10" t="str">
        <f t="shared" si="73"/>
        <v>2207</v>
      </c>
      <c r="D433" s="11" t="str">
        <f t="shared" si="74"/>
        <v>Долгосрочные вклады физических лиц</v>
      </c>
      <c r="E433" s="10" t="str">
        <f>"1"</f>
        <v>1</v>
      </c>
      <c r="F433" s="10" t="str">
        <f t="shared" si="68"/>
        <v>9</v>
      </c>
      <c r="G433" s="10" t="str">
        <f>"3"</f>
        <v>3</v>
      </c>
      <c r="H433" s="9">
        <v>154555298.88999999</v>
      </c>
    </row>
    <row r="434" spans="1:8" x14ac:dyDescent="0.25">
      <c r="A434" s="7">
        <v>45107</v>
      </c>
      <c r="B434" s="10">
        <v>36</v>
      </c>
      <c r="C434" s="10" t="str">
        <f t="shared" si="73"/>
        <v>2207</v>
      </c>
      <c r="D434" s="11" t="str">
        <f t="shared" si="74"/>
        <v>Долгосрочные вклады физических лиц</v>
      </c>
      <c r="E434" s="10" t="str">
        <f>"1"</f>
        <v>1</v>
      </c>
      <c r="F434" s="10" t="str">
        <f t="shared" si="68"/>
        <v>9</v>
      </c>
      <c r="G434" s="10" t="str">
        <f>"2"</f>
        <v>2</v>
      </c>
      <c r="H434" s="9">
        <v>10831166883.690001</v>
      </c>
    </row>
    <row r="435" spans="1:8" x14ac:dyDescent="0.25">
      <c r="A435" s="7">
        <v>45107</v>
      </c>
      <c r="B435" s="10">
        <v>36</v>
      </c>
      <c r="C435" s="10" t="str">
        <f t="shared" si="73"/>
        <v>2207</v>
      </c>
      <c r="D435" s="11" t="str">
        <f t="shared" si="74"/>
        <v>Долгосрочные вклады физических лиц</v>
      </c>
      <c r="E435" s="10" t="str">
        <f>"2"</f>
        <v>2</v>
      </c>
      <c r="F435" s="10" t="str">
        <f t="shared" si="68"/>
        <v>9</v>
      </c>
      <c r="G435" s="10" t="str">
        <f>"2"</f>
        <v>2</v>
      </c>
      <c r="H435" s="9">
        <v>92241361.370000005</v>
      </c>
    </row>
    <row r="436" spans="1:8" x14ac:dyDescent="0.25">
      <c r="A436" s="7">
        <v>45107</v>
      </c>
      <c r="B436" s="10">
        <v>36</v>
      </c>
      <c r="C436" s="10" t="str">
        <f t="shared" si="73"/>
        <v>2207</v>
      </c>
      <c r="D436" s="11" t="str">
        <f t="shared" si="74"/>
        <v>Долгосрочные вклады физических лиц</v>
      </c>
      <c r="E436" s="10" t="str">
        <f>"2"</f>
        <v>2</v>
      </c>
      <c r="F436" s="10" t="str">
        <f t="shared" si="68"/>
        <v>9</v>
      </c>
      <c r="G436" s="10" t="str">
        <f>"3"</f>
        <v>3</v>
      </c>
      <c r="H436" s="9">
        <v>186256.13</v>
      </c>
    </row>
    <row r="437" spans="1:8" x14ac:dyDescent="0.25">
      <c r="A437" s="7">
        <v>45107</v>
      </c>
      <c r="B437" s="10">
        <v>36</v>
      </c>
      <c r="C437" s="10" t="str">
        <f t="shared" si="73"/>
        <v>2207</v>
      </c>
      <c r="D437" s="11" t="str">
        <f t="shared" si="74"/>
        <v>Долгосрочные вклады физических лиц</v>
      </c>
      <c r="E437" s="10" t="str">
        <f>"1"</f>
        <v>1</v>
      </c>
      <c r="F437" s="10" t="str">
        <f t="shared" si="68"/>
        <v>9</v>
      </c>
      <c r="G437" s="10" t="str">
        <f>"1"</f>
        <v>1</v>
      </c>
      <c r="H437" s="9">
        <v>9130892445.1800003</v>
      </c>
    </row>
    <row r="438" spans="1:8" x14ac:dyDescent="0.25">
      <c r="A438" s="7">
        <v>45107</v>
      </c>
      <c r="B438" s="10">
        <v>36</v>
      </c>
      <c r="C438" s="10" t="str">
        <f>"2208"</f>
        <v>2208</v>
      </c>
      <c r="D438" s="11" t="str">
        <f>"Условные вклады физических лиц"</f>
        <v>Условные вклады физических лиц</v>
      </c>
      <c r="E438" s="10" t="str">
        <f>"2"</f>
        <v>2</v>
      </c>
      <c r="F438" s="10" t="str">
        <f t="shared" si="68"/>
        <v>9</v>
      </c>
      <c r="G438" s="10" t="str">
        <f>"1"</f>
        <v>1</v>
      </c>
      <c r="H438" s="9">
        <v>461402</v>
      </c>
    </row>
    <row r="439" spans="1:8" x14ac:dyDescent="0.25">
      <c r="A439" s="7">
        <v>45107</v>
      </c>
      <c r="B439" s="10">
        <v>36</v>
      </c>
      <c r="C439" s="10" t="str">
        <f>"2208"</f>
        <v>2208</v>
      </c>
      <c r="D439" s="11" t="str">
        <f>"Условные вклады физических лиц"</f>
        <v>Условные вклады физических лиц</v>
      </c>
      <c r="E439" s="10" t="str">
        <f t="shared" ref="E439:E444" si="75">"1"</f>
        <v>1</v>
      </c>
      <c r="F439" s="10" t="str">
        <f t="shared" si="68"/>
        <v>9</v>
      </c>
      <c r="G439" s="10" t="str">
        <f>"1"</f>
        <v>1</v>
      </c>
      <c r="H439" s="9">
        <v>23069370.199999999</v>
      </c>
    </row>
    <row r="440" spans="1:8" x14ac:dyDescent="0.25">
      <c r="A440" s="7">
        <v>45107</v>
      </c>
      <c r="B440" s="10">
        <v>36</v>
      </c>
      <c r="C440" s="10" t="str">
        <f>"2211"</f>
        <v>2211</v>
      </c>
      <c r="D440" s="11" t="str">
        <f>"Вклады до востребования юридических лиц"</f>
        <v>Вклады до востребования юридических лиц</v>
      </c>
      <c r="E440" s="10" t="str">
        <f t="shared" si="75"/>
        <v>1</v>
      </c>
      <c r="F440" s="10" t="str">
        <f>"6"</f>
        <v>6</v>
      </c>
      <c r="G440" s="10" t="str">
        <f>"1"</f>
        <v>1</v>
      </c>
      <c r="H440" s="9">
        <v>37168</v>
      </c>
    </row>
    <row r="441" spans="1:8" x14ac:dyDescent="0.25">
      <c r="A441" s="7">
        <v>45107</v>
      </c>
      <c r="B441" s="10">
        <v>36</v>
      </c>
      <c r="C441" s="10" t="str">
        <f>"2211"</f>
        <v>2211</v>
      </c>
      <c r="D441" s="11" t="str">
        <f>"Вклады до востребования юридических лиц"</f>
        <v>Вклады до востребования юридических лиц</v>
      </c>
      <c r="E441" s="10" t="str">
        <f t="shared" si="75"/>
        <v>1</v>
      </c>
      <c r="F441" s="10" t="str">
        <f>"7"</f>
        <v>7</v>
      </c>
      <c r="G441" s="10" t="str">
        <f>"1"</f>
        <v>1</v>
      </c>
      <c r="H441" s="9">
        <v>570571.81999999995</v>
      </c>
    </row>
    <row r="442" spans="1:8" ht="30" x14ac:dyDescent="0.25">
      <c r="A442" s="7">
        <v>45107</v>
      </c>
      <c r="B442" s="10">
        <v>36</v>
      </c>
      <c r="C442" s="10" t="str">
        <f>"2212"</f>
        <v>2212</v>
      </c>
      <c r="D442" s="1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2" s="10" t="str">
        <f t="shared" si="75"/>
        <v>1</v>
      </c>
      <c r="F442" s="10" t="str">
        <f t="shared" ref="F442:F447" si="76">"9"</f>
        <v>9</v>
      </c>
      <c r="G442" s="10" t="str">
        <f>""</f>
        <v/>
      </c>
      <c r="H442" s="9">
        <v>396234411.57999998</v>
      </c>
    </row>
    <row r="443" spans="1:8" ht="30" x14ac:dyDescent="0.25">
      <c r="A443" s="7">
        <v>45107</v>
      </c>
      <c r="B443" s="10">
        <v>36</v>
      </c>
      <c r="C443" s="10" t="str">
        <f>"2213"</f>
        <v>2213</v>
      </c>
      <c r="D443" s="11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E443" s="10" t="str">
        <f t="shared" si="75"/>
        <v>1</v>
      </c>
      <c r="F443" s="10" t="str">
        <f t="shared" si="76"/>
        <v>9</v>
      </c>
      <c r="G443" s="10" t="str">
        <f>"1"</f>
        <v>1</v>
      </c>
      <c r="H443" s="9">
        <v>1340000</v>
      </c>
    </row>
    <row r="444" spans="1:8" x14ac:dyDescent="0.25">
      <c r="A444" s="7">
        <v>45107</v>
      </c>
      <c r="B444" s="10">
        <v>36</v>
      </c>
      <c r="C444" s="10" t="str">
        <f>"2214"</f>
        <v>2214</v>
      </c>
      <c r="D444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4" s="10" t="str">
        <f t="shared" si="75"/>
        <v>1</v>
      </c>
      <c r="F444" s="10" t="str">
        <f t="shared" si="76"/>
        <v>9</v>
      </c>
      <c r="G444" s="10" t="str">
        <f>"1"</f>
        <v>1</v>
      </c>
      <c r="H444" s="9">
        <v>15856354176.77</v>
      </c>
    </row>
    <row r="445" spans="1:8" x14ac:dyDescent="0.25">
      <c r="A445" s="7">
        <v>45107</v>
      </c>
      <c r="B445" s="10">
        <v>36</v>
      </c>
      <c r="C445" s="10" t="str">
        <f>"2214"</f>
        <v>2214</v>
      </c>
      <c r="D445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5" s="10" t="str">
        <f>"2"</f>
        <v>2</v>
      </c>
      <c r="F445" s="10" t="str">
        <f t="shared" si="76"/>
        <v>9</v>
      </c>
      <c r="G445" s="10" t="str">
        <f>"1"</f>
        <v>1</v>
      </c>
      <c r="H445" s="9">
        <v>138816471.68000001</v>
      </c>
    </row>
    <row r="446" spans="1:8" x14ac:dyDescent="0.25">
      <c r="A446" s="7">
        <v>45107</v>
      </c>
      <c r="B446" s="10">
        <v>36</v>
      </c>
      <c r="C446" s="10" t="str">
        <f>"2214"</f>
        <v>2214</v>
      </c>
      <c r="D446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6" s="10" t="str">
        <f>"2"</f>
        <v>2</v>
      </c>
      <c r="F446" s="10" t="str">
        <f t="shared" si="76"/>
        <v>9</v>
      </c>
      <c r="G446" s="10" t="str">
        <f>"2"</f>
        <v>2</v>
      </c>
      <c r="H446" s="9">
        <v>9814000</v>
      </c>
    </row>
    <row r="447" spans="1:8" x14ac:dyDescent="0.25">
      <c r="A447" s="7">
        <v>45107</v>
      </c>
      <c r="B447" s="10">
        <v>36</v>
      </c>
      <c r="C447" s="10" t="str">
        <f>"2214"</f>
        <v>2214</v>
      </c>
      <c r="D447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7" s="10" t="str">
        <f>"1"</f>
        <v>1</v>
      </c>
      <c r="F447" s="10" t="str">
        <f t="shared" si="76"/>
        <v>9</v>
      </c>
      <c r="G447" s="10" t="str">
        <f>"2"</f>
        <v>2</v>
      </c>
      <c r="H447" s="9">
        <v>84296165.370000005</v>
      </c>
    </row>
    <row r="448" spans="1:8" x14ac:dyDescent="0.25">
      <c r="A448" s="7">
        <v>45107</v>
      </c>
      <c r="B448" s="10">
        <v>36</v>
      </c>
      <c r="C448" s="10" t="str">
        <f t="shared" ref="C448:C458" si="77">"2215"</f>
        <v>2215</v>
      </c>
      <c r="D448" s="11" t="str">
        <f t="shared" ref="D448:D458" si="78">"Краткосрочные вклады юридических лиц"</f>
        <v>Краткосрочные вклады юридических лиц</v>
      </c>
      <c r="E448" s="10" t="str">
        <f>"1"</f>
        <v>1</v>
      </c>
      <c r="F448" s="10" t="str">
        <f>"8"</f>
        <v>8</v>
      </c>
      <c r="G448" s="10" t="str">
        <f>"1"</f>
        <v>1</v>
      </c>
      <c r="H448" s="9">
        <v>29551836181.68</v>
      </c>
    </row>
    <row r="449" spans="1:8" x14ac:dyDescent="0.25">
      <c r="A449" s="7">
        <v>45107</v>
      </c>
      <c r="B449" s="10">
        <v>36</v>
      </c>
      <c r="C449" s="10" t="str">
        <f t="shared" si="77"/>
        <v>2215</v>
      </c>
      <c r="D449" s="11" t="str">
        <f t="shared" si="78"/>
        <v>Краткосрочные вклады юридических лиц</v>
      </c>
      <c r="E449" s="10" t="str">
        <f>"2"</f>
        <v>2</v>
      </c>
      <c r="F449" s="10" t="str">
        <f>"7"</f>
        <v>7</v>
      </c>
      <c r="G449" s="10" t="str">
        <f>"3"</f>
        <v>3</v>
      </c>
      <c r="H449" s="9">
        <v>1285000000</v>
      </c>
    </row>
    <row r="450" spans="1:8" x14ac:dyDescent="0.25">
      <c r="A450" s="7">
        <v>45107</v>
      </c>
      <c r="B450" s="10">
        <v>36</v>
      </c>
      <c r="C450" s="10" t="str">
        <f t="shared" si="77"/>
        <v>2215</v>
      </c>
      <c r="D450" s="11" t="str">
        <f t="shared" si="78"/>
        <v>Краткосрочные вклады юридических лиц</v>
      </c>
      <c r="E450" s="10" t="str">
        <f t="shared" ref="E450:E456" si="79">"1"</f>
        <v>1</v>
      </c>
      <c r="F450" s="10" t="str">
        <f>"5"</f>
        <v>5</v>
      </c>
      <c r="G450" s="10" t="str">
        <f>"1"</f>
        <v>1</v>
      </c>
      <c r="H450" s="9">
        <v>931244240.08000004</v>
      </c>
    </row>
    <row r="451" spans="1:8" x14ac:dyDescent="0.25">
      <c r="A451" s="7">
        <v>45107</v>
      </c>
      <c r="B451" s="10">
        <v>36</v>
      </c>
      <c r="C451" s="10" t="str">
        <f t="shared" si="77"/>
        <v>2215</v>
      </c>
      <c r="D451" s="11" t="str">
        <f t="shared" si="78"/>
        <v>Краткосрочные вклады юридических лиц</v>
      </c>
      <c r="E451" s="10" t="str">
        <f t="shared" si="79"/>
        <v>1</v>
      </c>
      <c r="F451" s="10" t="str">
        <f>"7"</f>
        <v>7</v>
      </c>
      <c r="G451" s="10" t="str">
        <f>"3"</f>
        <v>3</v>
      </c>
      <c r="H451" s="9">
        <v>553773925.75999999</v>
      </c>
    </row>
    <row r="452" spans="1:8" x14ac:dyDescent="0.25">
      <c r="A452" s="7">
        <v>45107</v>
      </c>
      <c r="B452" s="10">
        <v>36</v>
      </c>
      <c r="C452" s="10" t="str">
        <f t="shared" si="77"/>
        <v>2215</v>
      </c>
      <c r="D452" s="11" t="str">
        <f t="shared" si="78"/>
        <v>Краткосрочные вклады юридических лиц</v>
      </c>
      <c r="E452" s="10" t="str">
        <f t="shared" si="79"/>
        <v>1</v>
      </c>
      <c r="F452" s="10" t="str">
        <f>"8"</f>
        <v>8</v>
      </c>
      <c r="G452" s="10" t="str">
        <f>"2"</f>
        <v>2</v>
      </c>
      <c r="H452" s="9">
        <v>59076290760.440002</v>
      </c>
    </row>
    <row r="453" spans="1:8" x14ac:dyDescent="0.25">
      <c r="A453" s="7">
        <v>45107</v>
      </c>
      <c r="B453" s="10">
        <v>36</v>
      </c>
      <c r="C453" s="10" t="str">
        <f t="shared" si="77"/>
        <v>2215</v>
      </c>
      <c r="D453" s="11" t="str">
        <f t="shared" si="78"/>
        <v>Краткосрочные вклады юридических лиц</v>
      </c>
      <c r="E453" s="10" t="str">
        <f t="shared" si="79"/>
        <v>1</v>
      </c>
      <c r="F453" s="10" t="str">
        <f>"5"</f>
        <v>5</v>
      </c>
      <c r="G453" s="10" t="str">
        <f>"2"</f>
        <v>2</v>
      </c>
      <c r="H453" s="9">
        <v>97952319.219999999</v>
      </c>
    </row>
    <row r="454" spans="1:8" x14ac:dyDescent="0.25">
      <c r="A454" s="7">
        <v>45107</v>
      </c>
      <c r="B454" s="10">
        <v>36</v>
      </c>
      <c r="C454" s="10" t="str">
        <f t="shared" si="77"/>
        <v>2215</v>
      </c>
      <c r="D454" s="11" t="str">
        <f t="shared" si="78"/>
        <v>Краткосрочные вклады юридических лиц</v>
      </c>
      <c r="E454" s="10" t="str">
        <f t="shared" si="79"/>
        <v>1</v>
      </c>
      <c r="F454" s="10" t="str">
        <f>"7"</f>
        <v>7</v>
      </c>
      <c r="G454" s="10" t="str">
        <f>"2"</f>
        <v>2</v>
      </c>
      <c r="H454" s="9">
        <v>30539787033.41</v>
      </c>
    </row>
    <row r="455" spans="1:8" x14ac:dyDescent="0.25">
      <c r="A455" s="7">
        <v>45107</v>
      </c>
      <c r="B455" s="10">
        <v>36</v>
      </c>
      <c r="C455" s="10" t="str">
        <f t="shared" si="77"/>
        <v>2215</v>
      </c>
      <c r="D455" s="11" t="str">
        <f t="shared" si="78"/>
        <v>Краткосрочные вклады юридических лиц</v>
      </c>
      <c r="E455" s="10" t="str">
        <f t="shared" si="79"/>
        <v>1</v>
      </c>
      <c r="F455" s="10" t="str">
        <f>"6"</f>
        <v>6</v>
      </c>
      <c r="G455" s="10" t="str">
        <f>"1"</f>
        <v>1</v>
      </c>
      <c r="H455" s="9">
        <v>14667299864</v>
      </c>
    </row>
    <row r="456" spans="1:8" x14ac:dyDescent="0.25">
      <c r="A456" s="7">
        <v>45107</v>
      </c>
      <c r="B456" s="10">
        <v>36</v>
      </c>
      <c r="C456" s="10" t="str">
        <f t="shared" si="77"/>
        <v>2215</v>
      </c>
      <c r="D456" s="11" t="str">
        <f t="shared" si="78"/>
        <v>Краткосрочные вклады юридических лиц</v>
      </c>
      <c r="E456" s="10" t="str">
        <f t="shared" si="79"/>
        <v>1</v>
      </c>
      <c r="F456" s="10" t="str">
        <f t="shared" ref="F456:F461" si="80">"7"</f>
        <v>7</v>
      </c>
      <c r="G456" s="10" t="str">
        <f>"1"</f>
        <v>1</v>
      </c>
      <c r="H456" s="9">
        <v>157377066681.06</v>
      </c>
    </row>
    <row r="457" spans="1:8" x14ac:dyDescent="0.25">
      <c r="A457" s="7">
        <v>45107</v>
      </c>
      <c r="B457" s="10">
        <v>36</v>
      </c>
      <c r="C457" s="10" t="str">
        <f t="shared" si="77"/>
        <v>2215</v>
      </c>
      <c r="D457" s="11" t="str">
        <f t="shared" si="78"/>
        <v>Краткосрочные вклады юридических лиц</v>
      </c>
      <c r="E457" s="10" t="str">
        <f>"2"</f>
        <v>2</v>
      </c>
      <c r="F457" s="10" t="str">
        <f t="shared" si="80"/>
        <v>7</v>
      </c>
      <c r="G457" s="10" t="str">
        <f>"1"</f>
        <v>1</v>
      </c>
      <c r="H457" s="9">
        <v>7945713</v>
      </c>
    </row>
    <row r="458" spans="1:8" x14ac:dyDescent="0.25">
      <c r="A458" s="7">
        <v>45107</v>
      </c>
      <c r="B458" s="10">
        <v>36</v>
      </c>
      <c r="C458" s="10" t="str">
        <f t="shared" si="77"/>
        <v>2215</v>
      </c>
      <c r="D458" s="11" t="str">
        <f t="shared" si="78"/>
        <v>Краткосрочные вклады юридических лиц</v>
      </c>
      <c r="E458" s="10" t="str">
        <f>"2"</f>
        <v>2</v>
      </c>
      <c r="F458" s="10" t="str">
        <f t="shared" si="80"/>
        <v>7</v>
      </c>
      <c r="G458" s="10" t="str">
        <f>"2"</f>
        <v>2</v>
      </c>
      <c r="H458" s="9">
        <v>4619674590</v>
      </c>
    </row>
    <row r="459" spans="1:8" x14ac:dyDescent="0.25">
      <c r="A459" s="7">
        <v>45107</v>
      </c>
      <c r="B459" s="10">
        <v>36</v>
      </c>
      <c r="C459" s="10" t="str">
        <f t="shared" ref="C459:C465" si="81">"2217"</f>
        <v>2217</v>
      </c>
      <c r="D459" s="11" t="str">
        <f t="shared" ref="D459:D465" si="82">"Долгосрочные вклады юридических лиц"</f>
        <v>Долгосрочные вклады юридических лиц</v>
      </c>
      <c r="E459" s="10" t="str">
        <f>"2"</f>
        <v>2</v>
      </c>
      <c r="F459" s="10" t="str">
        <f t="shared" si="80"/>
        <v>7</v>
      </c>
      <c r="G459" s="10" t="str">
        <f>"2"</f>
        <v>2</v>
      </c>
      <c r="H459" s="9">
        <v>452510</v>
      </c>
    </row>
    <row r="460" spans="1:8" x14ac:dyDescent="0.25">
      <c r="A460" s="7">
        <v>45107</v>
      </c>
      <c r="B460" s="10">
        <v>36</v>
      </c>
      <c r="C460" s="10" t="str">
        <f t="shared" si="81"/>
        <v>2217</v>
      </c>
      <c r="D460" s="11" t="str">
        <f t="shared" si="82"/>
        <v>Долгосрочные вклады юридических лиц</v>
      </c>
      <c r="E460" s="10" t="str">
        <f t="shared" ref="E460:E469" si="83">"1"</f>
        <v>1</v>
      </c>
      <c r="F460" s="10" t="str">
        <f t="shared" si="80"/>
        <v>7</v>
      </c>
      <c r="G460" s="10" t="str">
        <f>"1"</f>
        <v>1</v>
      </c>
      <c r="H460" s="9">
        <v>3554145586.6100001</v>
      </c>
    </row>
    <row r="461" spans="1:8" x14ac:dyDescent="0.25">
      <c r="A461" s="7">
        <v>45107</v>
      </c>
      <c r="B461" s="10">
        <v>36</v>
      </c>
      <c r="C461" s="10" t="str">
        <f t="shared" si="81"/>
        <v>2217</v>
      </c>
      <c r="D461" s="11" t="str">
        <f t="shared" si="82"/>
        <v>Долгосрочные вклады юридических лиц</v>
      </c>
      <c r="E461" s="10" t="str">
        <f t="shared" si="83"/>
        <v>1</v>
      </c>
      <c r="F461" s="10" t="str">
        <f t="shared" si="80"/>
        <v>7</v>
      </c>
      <c r="G461" s="10" t="str">
        <f>"2"</f>
        <v>2</v>
      </c>
      <c r="H461" s="9">
        <v>1932804156.45</v>
      </c>
    </row>
    <row r="462" spans="1:8" x14ac:dyDescent="0.25">
      <c r="A462" s="7">
        <v>45107</v>
      </c>
      <c r="B462" s="10">
        <v>36</v>
      </c>
      <c r="C462" s="10" t="str">
        <f t="shared" si="81"/>
        <v>2217</v>
      </c>
      <c r="D462" s="11" t="str">
        <f t="shared" si="82"/>
        <v>Долгосрочные вклады юридических лиц</v>
      </c>
      <c r="E462" s="10" t="str">
        <f t="shared" si="83"/>
        <v>1</v>
      </c>
      <c r="F462" s="10" t="str">
        <f>"5"</f>
        <v>5</v>
      </c>
      <c r="G462" s="10" t="str">
        <f>"1"</f>
        <v>1</v>
      </c>
      <c r="H462" s="9">
        <v>63500777530.220001</v>
      </c>
    </row>
    <row r="463" spans="1:8" x14ac:dyDescent="0.25">
      <c r="A463" s="7">
        <v>45107</v>
      </c>
      <c r="B463" s="10">
        <v>36</v>
      </c>
      <c r="C463" s="10" t="str">
        <f t="shared" si="81"/>
        <v>2217</v>
      </c>
      <c r="D463" s="11" t="str">
        <f t="shared" si="82"/>
        <v>Долгосрочные вклады юридических лиц</v>
      </c>
      <c r="E463" s="10" t="str">
        <f t="shared" si="83"/>
        <v>1</v>
      </c>
      <c r="F463" s="10" t="str">
        <f>"6"</f>
        <v>6</v>
      </c>
      <c r="G463" s="10" t="str">
        <f>"1"</f>
        <v>1</v>
      </c>
      <c r="H463" s="9">
        <v>25476380685.43</v>
      </c>
    </row>
    <row r="464" spans="1:8" x14ac:dyDescent="0.25">
      <c r="A464" s="7">
        <v>45107</v>
      </c>
      <c r="B464" s="10">
        <v>36</v>
      </c>
      <c r="C464" s="10" t="str">
        <f t="shared" si="81"/>
        <v>2217</v>
      </c>
      <c r="D464" s="11" t="str">
        <f t="shared" si="82"/>
        <v>Долгосрочные вклады юридических лиц</v>
      </c>
      <c r="E464" s="10" t="str">
        <f t="shared" si="83"/>
        <v>1</v>
      </c>
      <c r="F464" s="10" t="str">
        <f>"8"</f>
        <v>8</v>
      </c>
      <c r="G464" s="10" t="str">
        <f>"1"</f>
        <v>1</v>
      </c>
      <c r="H464" s="9">
        <v>188319359.94</v>
      </c>
    </row>
    <row r="465" spans="1:8" x14ac:dyDescent="0.25">
      <c r="A465" s="7">
        <v>45107</v>
      </c>
      <c r="B465" s="10">
        <v>36</v>
      </c>
      <c r="C465" s="10" t="str">
        <f t="shared" si="81"/>
        <v>2217</v>
      </c>
      <c r="D465" s="11" t="str">
        <f t="shared" si="82"/>
        <v>Долгосрочные вклады юридических лиц</v>
      </c>
      <c r="E465" s="10" t="str">
        <f t="shared" si="83"/>
        <v>1</v>
      </c>
      <c r="F465" s="10" t="str">
        <f>"7"</f>
        <v>7</v>
      </c>
      <c r="G465" s="10" t="str">
        <f>"3"</f>
        <v>3</v>
      </c>
      <c r="H465" s="9">
        <v>28746956.120000001</v>
      </c>
    </row>
    <row r="466" spans="1:8" x14ac:dyDescent="0.25">
      <c r="A466" s="7">
        <v>45107</v>
      </c>
      <c r="B466" s="10">
        <v>36</v>
      </c>
      <c r="C466" s="10" t="str">
        <f>"2218"</f>
        <v>2218</v>
      </c>
      <c r="D466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66" s="10" t="str">
        <f t="shared" si="83"/>
        <v>1</v>
      </c>
      <c r="F466" s="10" t="str">
        <f>"7"</f>
        <v>7</v>
      </c>
      <c r="G466" s="10" t="str">
        <f t="shared" ref="G466:G471" si="84">"1"</f>
        <v>1</v>
      </c>
      <c r="H466" s="9">
        <v>450000000</v>
      </c>
    </row>
    <row r="467" spans="1:8" x14ac:dyDescent="0.25">
      <c r="A467" s="7">
        <v>45107</v>
      </c>
      <c r="B467" s="10">
        <v>36</v>
      </c>
      <c r="C467" s="10" t="str">
        <f>"2218"</f>
        <v>2218</v>
      </c>
      <c r="D467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67" s="10" t="str">
        <f t="shared" si="83"/>
        <v>1</v>
      </c>
      <c r="F467" s="10" t="str">
        <f>"8"</f>
        <v>8</v>
      </c>
      <c r="G467" s="10" t="str">
        <f t="shared" si="84"/>
        <v>1</v>
      </c>
      <c r="H467" s="9">
        <v>1478779.86</v>
      </c>
    </row>
    <row r="468" spans="1:8" x14ac:dyDescent="0.25">
      <c r="A468" s="7">
        <v>45107</v>
      </c>
      <c r="B468" s="10">
        <v>36</v>
      </c>
      <c r="C468" s="10" t="str">
        <f t="shared" ref="C468:C475" si="85">"2219"</f>
        <v>2219</v>
      </c>
      <c r="D468" s="11" t="str">
        <f t="shared" ref="D468:D475" si="86">"Условные вклады юридических лиц"</f>
        <v>Условные вклады юридических лиц</v>
      </c>
      <c r="E468" s="10" t="str">
        <f t="shared" si="83"/>
        <v>1</v>
      </c>
      <c r="F468" s="10" t="str">
        <f>"5"</f>
        <v>5</v>
      </c>
      <c r="G468" s="10" t="str">
        <f t="shared" si="84"/>
        <v>1</v>
      </c>
      <c r="H468" s="9">
        <v>318305419.48000002</v>
      </c>
    </row>
    <row r="469" spans="1:8" x14ac:dyDescent="0.25">
      <c r="A469" s="7">
        <v>45107</v>
      </c>
      <c r="B469" s="10">
        <v>36</v>
      </c>
      <c r="C469" s="10" t="str">
        <f t="shared" si="85"/>
        <v>2219</v>
      </c>
      <c r="D469" s="11" t="str">
        <f t="shared" si="86"/>
        <v>Условные вклады юридических лиц</v>
      </c>
      <c r="E469" s="10" t="str">
        <f t="shared" si="83"/>
        <v>1</v>
      </c>
      <c r="F469" s="10" t="str">
        <f>"7"</f>
        <v>7</v>
      </c>
      <c r="G469" s="10" t="str">
        <f t="shared" si="84"/>
        <v>1</v>
      </c>
      <c r="H469" s="9">
        <v>1865251009.0699999</v>
      </c>
    </row>
    <row r="470" spans="1:8" x14ac:dyDescent="0.25">
      <c r="A470" s="7">
        <v>45107</v>
      </c>
      <c r="B470" s="10">
        <v>36</v>
      </c>
      <c r="C470" s="10" t="str">
        <f t="shared" si="85"/>
        <v>2219</v>
      </c>
      <c r="D470" s="11" t="str">
        <f t="shared" si="86"/>
        <v>Условные вклады юридических лиц</v>
      </c>
      <c r="E470" s="10" t="str">
        <f>"2"</f>
        <v>2</v>
      </c>
      <c r="F470" s="10" t="str">
        <f>"7"</f>
        <v>7</v>
      </c>
      <c r="G470" s="10" t="str">
        <f t="shared" si="84"/>
        <v>1</v>
      </c>
      <c r="H470" s="9">
        <v>213756.1</v>
      </c>
    </row>
    <row r="471" spans="1:8" x14ac:dyDescent="0.25">
      <c r="A471" s="7">
        <v>45107</v>
      </c>
      <c r="B471" s="10">
        <v>36</v>
      </c>
      <c r="C471" s="10" t="str">
        <f t="shared" si="85"/>
        <v>2219</v>
      </c>
      <c r="D471" s="11" t="str">
        <f t="shared" si="86"/>
        <v>Условные вклады юридических лиц</v>
      </c>
      <c r="E471" s="10" t="str">
        <f>"1"</f>
        <v>1</v>
      </c>
      <c r="F471" s="10" t="str">
        <f>"6"</f>
        <v>6</v>
      </c>
      <c r="G471" s="10" t="str">
        <f t="shared" si="84"/>
        <v>1</v>
      </c>
      <c r="H471" s="9">
        <v>52703601.090000004</v>
      </c>
    </row>
    <row r="472" spans="1:8" x14ac:dyDescent="0.25">
      <c r="A472" s="7">
        <v>45107</v>
      </c>
      <c r="B472" s="10">
        <v>36</v>
      </c>
      <c r="C472" s="10" t="str">
        <f t="shared" si="85"/>
        <v>2219</v>
      </c>
      <c r="D472" s="11" t="str">
        <f t="shared" si="86"/>
        <v>Условные вклады юридических лиц</v>
      </c>
      <c r="E472" s="10" t="str">
        <f>"1"</f>
        <v>1</v>
      </c>
      <c r="F472" s="10" t="str">
        <f>"7"</f>
        <v>7</v>
      </c>
      <c r="G472" s="10" t="str">
        <f>"2"</f>
        <v>2</v>
      </c>
      <c r="H472" s="9">
        <v>92165852.120000005</v>
      </c>
    </row>
    <row r="473" spans="1:8" x14ac:dyDescent="0.25">
      <c r="A473" s="7">
        <v>45107</v>
      </c>
      <c r="B473" s="10">
        <v>36</v>
      </c>
      <c r="C473" s="10" t="str">
        <f t="shared" si="85"/>
        <v>2219</v>
      </c>
      <c r="D473" s="11" t="str">
        <f t="shared" si="86"/>
        <v>Условные вклады юридических лиц</v>
      </c>
      <c r="E473" s="10" t="str">
        <f>"2"</f>
        <v>2</v>
      </c>
      <c r="F473" s="10" t="str">
        <f>"7"</f>
        <v>7</v>
      </c>
      <c r="G473" s="10" t="str">
        <f>"2"</f>
        <v>2</v>
      </c>
      <c r="H473" s="9">
        <v>15553354.779999999</v>
      </c>
    </row>
    <row r="474" spans="1:8" x14ac:dyDescent="0.25">
      <c r="A474" s="7">
        <v>45107</v>
      </c>
      <c r="B474" s="10">
        <v>36</v>
      </c>
      <c r="C474" s="10" t="str">
        <f t="shared" si="85"/>
        <v>2219</v>
      </c>
      <c r="D474" s="11" t="str">
        <f t="shared" si="86"/>
        <v>Условные вклады юридических лиц</v>
      </c>
      <c r="E474" s="10" t="str">
        <f t="shared" ref="E474:E487" si="87">"1"</f>
        <v>1</v>
      </c>
      <c r="F474" s="10" t="str">
        <f>"8"</f>
        <v>8</v>
      </c>
      <c r="G474" s="10" t="str">
        <f>"1"</f>
        <v>1</v>
      </c>
      <c r="H474" s="9">
        <v>1483892814.5</v>
      </c>
    </row>
    <row r="475" spans="1:8" x14ac:dyDescent="0.25">
      <c r="A475" s="7">
        <v>45107</v>
      </c>
      <c r="B475" s="10">
        <v>36</v>
      </c>
      <c r="C475" s="10" t="str">
        <f t="shared" si="85"/>
        <v>2219</v>
      </c>
      <c r="D475" s="11" t="str">
        <f t="shared" si="86"/>
        <v>Условные вклады юридических лиц</v>
      </c>
      <c r="E475" s="10" t="str">
        <f t="shared" si="87"/>
        <v>1</v>
      </c>
      <c r="F475" s="10" t="str">
        <f>"5"</f>
        <v>5</v>
      </c>
      <c r="G475" s="10" t="str">
        <f>"2"</f>
        <v>2</v>
      </c>
      <c r="H475" s="9">
        <v>1010256856.88</v>
      </c>
    </row>
    <row r="476" spans="1:8" x14ac:dyDescent="0.25">
      <c r="A476" s="7">
        <v>45107</v>
      </c>
      <c r="B476" s="10">
        <v>36</v>
      </c>
      <c r="C476" s="10" t="str">
        <f>"2220"</f>
        <v>2220</v>
      </c>
      <c r="D476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6" s="10" t="str">
        <f t="shared" si="87"/>
        <v>1</v>
      </c>
      <c r="F476" s="10" t="str">
        <f>"7"</f>
        <v>7</v>
      </c>
      <c r="G476" s="10" t="str">
        <f>"1"</f>
        <v>1</v>
      </c>
      <c r="H476" s="9">
        <v>11695226890.82</v>
      </c>
    </row>
    <row r="477" spans="1:8" x14ac:dyDescent="0.25">
      <c r="A477" s="7">
        <v>45107</v>
      </c>
      <c r="B477" s="10">
        <v>36</v>
      </c>
      <c r="C477" s="10" t="str">
        <f>"2220"</f>
        <v>2220</v>
      </c>
      <c r="D477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7" s="10" t="str">
        <f t="shared" si="87"/>
        <v>1</v>
      </c>
      <c r="F477" s="10" t="str">
        <f>"8"</f>
        <v>8</v>
      </c>
      <c r="G477" s="10" t="str">
        <f>"1"</f>
        <v>1</v>
      </c>
      <c r="H477" s="9">
        <v>68009870</v>
      </c>
    </row>
    <row r="478" spans="1:8" x14ac:dyDescent="0.25">
      <c r="A478" s="7">
        <v>45107</v>
      </c>
      <c r="B478" s="10">
        <v>36</v>
      </c>
      <c r="C478" s="10" t="str">
        <f>"2220"</f>
        <v>2220</v>
      </c>
      <c r="D478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8" s="10" t="str">
        <f t="shared" si="87"/>
        <v>1</v>
      </c>
      <c r="F478" s="10" t="str">
        <f>"8"</f>
        <v>8</v>
      </c>
      <c r="G478" s="10" t="str">
        <f>"2"</f>
        <v>2</v>
      </c>
      <c r="H478" s="9">
        <v>791892500</v>
      </c>
    </row>
    <row r="479" spans="1:8" x14ac:dyDescent="0.25">
      <c r="A479" s="7">
        <v>45107</v>
      </c>
      <c r="B479" s="10">
        <v>36</v>
      </c>
      <c r="C479" s="10" t="str">
        <f>"2220"</f>
        <v>2220</v>
      </c>
      <c r="D479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9" s="10" t="str">
        <f t="shared" si="87"/>
        <v>1</v>
      </c>
      <c r="F479" s="10" t="str">
        <f>"7"</f>
        <v>7</v>
      </c>
      <c r="G479" s="10" t="str">
        <f>"3"</f>
        <v>3</v>
      </c>
      <c r="H479" s="9">
        <v>2572991.48</v>
      </c>
    </row>
    <row r="480" spans="1:8" x14ac:dyDescent="0.25">
      <c r="A480" s="7">
        <v>45107</v>
      </c>
      <c r="B480" s="10">
        <v>36</v>
      </c>
      <c r="C480" s="10" t="str">
        <f>"2220"</f>
        <v>2220</v>
      </c>
      <c r="D480" s="1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80" s="10" t="str">
        <f t="shared" si="87"/>
        <v>1</v>
      </c>
      <c r="F480" s="10" t="str">
        <f>"7"</f>
        <v>7</v>
      </c>
      <c r="G480" s="10" t="str">
        <f>"2"</f>
        <v>2</v>
      </c>
      <c r="H480" s="9">
        <v>1774835174.51</v>
      </c>
    </row>
    <row r="481" spans="1:8" x14ac:dyDescent="0.25">
      <c r="A481" s="7">
        <v>45107</v>
      </c>
      <c r="B481" s="10">
        <v>36</v>
      </c>
      <c r="C481" s="10" t="str">
        <f>"2223"</f>
        <v>2223</v>
      </c>
      <c r="D481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81" s="10" t="str">
        <f t="shared" si="87"/>
        <v>1</v>
      </c>
      <c r="F481" s="10" t="str">
        <f>"7"</f>
        <v>7</v>
      </c>
      <c r="G481" s="10" t="str">
        <f>"2"</f>
        <v>2</v>
      </c>
      <c r="H481" s="9">
        <v>1490163789.74</v>
      </c>
    </row>
    <row r="482" spans="1:8" x14ac:dyDescent="0.25">
      <c r="A482" s="7">
        <v>45107</v>
      </c>
      <c r="B482" s="10">
        <v>36</v>
      </c>
      <c r="C482" s="10" t="str">
        <f>"2223"</f>
        <v>2223</v>
      </c>
      <c r="D482" s="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82" s="10" t="str">
        <f t="shared" si="87"/>
        <v>1</v>
      </c>
      <c r="F482" s="10" t="str">
        <f>"7"</f>
        <v>7</v>
      </c>
      <c r="G482" s="10" t="str">
        <f t="shared" ref="G482:G487" si="88">"1"</f>
        <v>1</v>
      </c>
      <c r="H482" s="9">
        <v>2001902278.3399999</v>
      </c>
    </row>
    <row r="483" spans="1:8" x14ac:dyDescent="0.25">
      <c r="A483" s="7">
        <v>45107</v>
      </c>
      <c r="B483" s="10">
        <v>36</v>
      </c>
      <c r="C483" s="10" t="str">
        <f>"2227"</f>
        <v>2227</v>
      </c>
      <c r="D483" s="11" t="str">
        <f>"Обязательства по аренде"</f>
        <v>Обязательства по аренде</v>
      </c>
      <c r="E483" s="10" t="str">
        <f t="shared" si="87"/>
        <v>1</v>
      </c>
      <c r="F483" s="10" t="str">
        <f>"5"</f>
        <v>5</v>
      </c>
      <c r="G483" s="10" t="str">
        <f t="shared" si="88"/>
        <v>1</v>
      </c>
      <c r="H483" s="9">
        <v>2121982.04</v>
      </c>
    </row>
    <row r="484" spans="1:8" x14ac:dyDescent="0.25">
      <c r="A484" s="7">
        <v>45107</v>
      </c>
      <c r="B484" s="10">
        <v>36</v>
      </c>
      <c r="C484" s="10" t="str">
        <f>"2227"</f>
        <v>2227</v>
      </c>
      <c r="D484" s="11" t="str">
        <f>"Обязательства по аренде"</f>
        <v>Обязательства по аренде</v>
      </c>
      <c r="E484" s="10" t="str">
        <f t="shared" si="87"/>
        <v>1</v>
      </c>
      <c r="F484" s="10" t="str">
        <f>"1"</f>
        <v>1</v>
      </c>
      <c r="G484" s="10" t="str">
        <f t="shared" si="88"/>
        <v>1</v>
      </c>
      <c r="H484" s="9">
        <v>956373.73</v>
      </c>
    </row>
    <row r="485" spans="1:8" x14ac:dyDescent="0.25">
      <c r="A485" s="7">
        <v>45107</v>
      </c>
      <c r="B485" s="10">
        <v>36</v>
      </c>
      <c r="C485" s="10" t="str">
        <f>"2227"</f>
        <v>2227</v>
      </c>
      <c r="D485" s="11" t="str">
        <f>"Обязательства по аренде"</f>
        <v>Обязательства по аренде</v>
      </c>
      <c r="E485" s="10" t="str">
        <f t="shared" si="87"/>
        <v>1</v>
      </c>
      <c r="F485" s="10" t="str">
        <f>"7"</f>
        <v>7</v>
      </c>
      <c r="G485" s="10" t="str">
        <f t="shared" si="88"/>
        <v>1</v>
      </c>
      <c r="H485" s="9">
        <v>1302423210.04</v>
      </c>
    </row>
    <row r="486" spans="1:8" x14ac:dyDescent="0.25">
      <c r="A486" s="7">
        <v>45107</v>
      </c>
      <c r="B486" s="10">
        <v>36</v>
      </c>
      <c r="C486" s="10" t="str">
        <f>"2227"</f>
        <v>2227</v>
      </c>
      <c r="D486" s="11" t="str">
        <f>"Обязательства по аренде"</f>
        <v>Обязательства по аренде</v>
      </c>
      <c r="E486" s="10" t="str">
        <f t="shared" si="87"/>
        <v>1</v>
      </c>
      <c r="F486" s="10" t="str">
        <f>"2"</f>
        <v>2</v>
      </c>
      <c r="G486" s="10" t="str">
        <f t="shared" si="88"/>
        <v>1</v>
      </c>
      <c r="H486" s="9">
        <v>641546.05000000005</v>
      </c>
    </row>
    <row r="487" spans="1:8" x14ac:dyDescent="0.25">
      <c r="A487" s="7">
        <v>45107</v>
      </c>
      <c r="B487" s="10">
        <v>36</v>
      </c>
      <c r="C487" s="10" t="str">
        <f>"2227"</f>
        <v>2227</v>
      </c>
      <c r="D487" s="11" t="str">
        <f>"Обязательства по аренде"</f>
        <v>Обязательства по аренде</v>
      </c>
      <c r="E487" s="10" t="str">
        <f t="shared" si="87"/>
        <v>1</v>
      </c>
      <c r="F487" s="10" t="str">
        <f>"9"</f>
        <v>9</v>
      </c>
      <c r="G487" s="10" t="str">
        <f t="shared" si="88"/>
        <v>1</v>
      </c>
      <c r="H487" s="9">
        <v>805289263.5</v>
      </c>
    </row>
    <row r="488" spans="1:8" x14ac:dyDescent="0.25">
      <c r="A488" s="7">
        <v>45107</v>
      </c>
      <c r="B488" s="10">
        <v>36</v>
      </c>
      <c r="C488" s="10" t="str">
        <f>"2229"</f>
        <v>2229</v>
      </c>
      <c r="D488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88" s="10" t="str">
        <f>"2"</f>
        <v>2</v>
      </c>
      <c r="F488" s="10" t="str">
        <f>"9"</f>
        <v>9</v>
      </c>
      <c r="G488" s="10" t="str">
        <f>"2"</f>
        <v>2</v>
      </c>
      <c r="H488" s="9">
        <v>476234194.27999997</v>
      </c>
    </row>
    <row r="489" spans="1:8" x14ac:dyDescent="0.25">
      <c r="A489" s="7">
        <v>45107</v>
      </c>
      <c r="B489" s="10">
        <v>36</v>
      </c>
      <c r="C489" s="10" t="str">
        <f>"2229"</f>
        <v>2229</v>
      </c>
      <c r="D489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89" s="10" t="str">
        <f>"2"</f>
        <v>2</v>
      </c>
      <c r="F489" s="10" t="str">
        <f>"9"</f>
        <v>9</v>
      </c>
      <c r="G489" s="10" t="str">
        <f>"1"</f>
        <v>1</v>
      </c>
      <c r="H489" s="9">
        <v>88975000</v>
      </c>
    </row>
    <row r="490" spans="1:8" x14ac:dyDescent="0.25">
      <c r="A490" s="7">
        <v>45107</v>
      </c>
      <c r="B490" s="10">
        <v>36</v>
      </c>
      <c r="C490" s="10" t="str">
        <f>"2229"</f>
        <v>2229</v>
      </c>
      <c r="D490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E490" s="10" t="str">
        <f t="shared" ref="E490:E498" si="89">"1"</f>
        <v>1</v>
      </c>
      <c r="F490" s="10" t="str">
        <f>"9"</f>
        <v>9</v>
      </c>
      <c r="G490" s="10" t="str">
        <f>"1"</f>
        <v>1</v>
      </c>
      <c r="H490" s="9">
        <v>1511570195.3199999</v>
      </c>
    </row>
    <row r="491" spans="1:8" ht="30" x14ac:dyDescent="0.25">
      <c r="A491" s="7">
        <v>45107</v>
      </c>
      <c r="B491" s="10">
        <v>36</v>
      </c>
      <c r="C491" s="10" t="str">
        <f t="shared" ref="C491:C512" si="90">"2237"</f>
        <v>2237</v>
      </c>
      <c r="D491" s="11" t="str">
        <f t="shared" ref="D491:D512" si="9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91" s="10" t="str">
        <f t="shared" si="89"/>
        <v>1</v>
      </c>
      <c r="F491" s="10" t="str">
        <f>"7"</f>
        <v>7</v>
      </c>
      <c r="G491" s="10" t="str">
        <f>"2"</f>
        <v>2</v>
      </c>
      <c r="H491" s="9">
        <v>2427813413.9899998</v>
      </c>
    </row>
    <row r="492" spans="1:8" ht="30" x14ac:dyDescent="0.25">
      <c r="A492" s="7">
        <v>45107</v>
      </c>
      <c r="B492" s="10">
        <v>36</v>
      </c>
      <c r="C492" s="10" t="str">
        <f t="shared" si="90"/>
        <v>2237</v>
      </c>
      <c r="D492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2" s="10" t="str">
        <f t="shared" si="89"/>
        <v>1</v>
      </c>
      <c r="F492" s="10" t="str">
        <f>"9"</f>
        <v>9</v>
      </c>
      <c r="G492" s="10" t="str">
        <f>"1"</f>
        <v>1</v>
      </c>
      <c r="H492" s="9">
        <v>48736958.719999999</v>
      </c>
    </row>
    <row r="493" spans="1:8" ht="30" x14ac:dyDescent="0.25">
      <c r="A493" s="7">
        <v>45107</v>
      </c>
      <c r="B493" s="10">
        <v>36</v>
      </c>
      <c r="C493" s="10" t="str">
        <f t="shared" si="90"/>
        <v>2237</v>
      </c>
      <c r="D493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3" s="10" t="str">
        <f t="shared" si="89"/>
        <v>1</v>
      </c>
      <c r="F493" s="10" t="str">
        <f>"5"</f>
        <v>5</v>
      </c>
      <c r="G493" s="10" t="str">
        <f>"1"</f>
        <v>1</v>
      </c>
      <c r="H493" s="9">
        <v>5327476.75</v>
      </c>
    </row>
    <row r="494" spans="1:8" ht="30" x14ac:dyDescent="0.25">
      <c r="A494" s="7">
        <v>45107</v>
      </c>
      <c r="B494" s="10">
        <v>36</v>
      </c>
      <c r="C494" s="10" t="str">
        <f t="shared" si="90"/>
        <v>2237</v>
      </c>
      <c r="D494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4" s="10" t="str">
        <f t="shared" si="89"/>
        <v>1</v>
      </c>
      <c r="F494" s="10" t="str">
        <f>"6"</f>
        <v>6</v>
      </c>
      <c r="G494" s="10" t="str">
        <f>"2"</f>
        <v>2</v>
      </c>
      <c r="H494" s="9">
        <v>55124012</v>
      </c>
    </row>
    <row r="495" spans="1:8" ht="30" x14ac:dyDescent="0.25">
      <c r="A495" s="7">
        <v>45107</v>
      </c>
      <c r="B495" s="10">
        <v>36</v>
      </c>
      <c r="C495" s="10" t="str">
        <f t="shared" si="90"/>
        <v>2237</v>
      </c>
      <c r="D495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5" s="10" t="str">
        <f t="shared" si="89"/>
        <v>1</v>
      </c>
      <c r="F495" s="10" t="str">
        <f>"5"</f>
        <v>5</v>
      </c>
      <c r="G495" s="10" t="str">
        <f>"2"</f>
        <v>2</v>
      </c>
      <c r="H495" s="9">
        <v>12426914.060000001</v>
      </c>
    </row>
    <row r="496" spans="1:8" ht="30" x14ac:dyDescent="0.25">
      <c r="A496" s="7">
        <v>45107</v>
      </c>
      <c r="B496" s="10">
        <v>36</v>
      </c>
      <c r="C496" s="10" t="str">
        <f t="shared" si="90"/>
        <v>2237</v>
      </c>
      <c r="D496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6" s="10" t="str">
        <f t="shared" si="89"/>
        <v>1</v>
      </c>
      <c r="F496" s="10" t="str">
        <f>"7"</f>
        <v>7</v>
      </c>
      <c r="G496" s="10" t="str">
        <f>"3"</f>
        <v>3</v>
      </c>
      <c r="H496" s="9">
        <v>1008415776.52</v>
      </c>
    </row>
    <row r="497" spans="1:8" ht="30" x14ac:dyDescent="0.25">
      <c r="A497" s="7">
        <v>45107</v>
      </c>
      <c r="B497" s="10">
        <v>36</v>
      </c>
      <c r="C497" s="10" t="str">
        <f t="shared" si="90"/>
        <v>2237</v>
      </c>
      <c r="D497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7" s="10" t="str">
        <f t="shared" si="89"/>
        <v>1</v>
      </c>
      <c r="F497" s="10" t="str">
        <f>"7"</f>
        <v>7</v>
      </c>
      <c r="G497" s="10" t="str">
        <f>"1"</f>
        <v>1</v>
      </c>
      <c r="H497" s="9">
        <v>685635005.74000001</v>
      </c>
    </row>
    <row r="498" spans="1:8" ht="30" x14ac:dyDescent="0.25">
      <c r="A498" s="7">
        <v>45107</v>
      </c>
      <c r="B498" s="10">
        <v>36</v>
      </c>
      <c r="C498" s="10" t="str">
        <f t="shared" si="90"/>
        <v>2237</v>
      </c>
      <c r="D498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8" s="10" t="str">
        <f t="shared" si="89"/>
        <v>1</v>
      </c>
      <c r="F498" s="10" t="str">
        <f>"6"</f>
        <v>6</v>
      </c>
      <c r="G498" s="10" t="str">
        <f>"3"</f>
        <v>3</v>
      </c>
      <c r="H498" s="9">
        <v>377790</v>
      </c>
    </row>
    <row r="499" spans="1:8" ht="30" x14ac:dyDescent="0.25">
      <c r="A499" s="7">
        <v>45107</v>
      </c>
      <c r="B499" s="10">
        <v>36</v>
      </c>
      <c r="C499" s="10" t="str">
        <f t="shared" si="90"/>
        <v>2237</v>
      </c>
      <c r="D499" s="11" t="str">
        <f t="shared" si="91"/>
        <v>Счет хранения указаний отправителя в соответствии с валютным законодательством Республики Казахстан</v>
      </c>
      <c r="E499" s="10" t="str">
        <f>"2"</f>
        <v>2</v>
      </c>
      <c r="F499" s="10" t="str">
        <f>"7"</f>
        <v>7</v>
      </c>
      <c r="G499" s="10" t="str">
        <f>"2"</f>
        <v>2</v>
      </c>
      <c r="H499" s="9">
        <v>674936894.09000003</v>
      </c>
    </row>
    <row r="500" spans="1:8" ht="30" x14ac:dyDescent="0.25">
      <c r="A500" s="7">
        <v>45107</v>
      </c>
      <c r="B500" s="10">
        <v>36</v>
      </c>
      <c r="C500" s="10" t="str">
        <f t="shared" si="90"/>
        <v>2237</v>
      </c>
      <c r="D500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0" s="10" t="str">
        <f>"2"</f>
        <v>2</v>
      </c>
      <c r="F500" s="10" t="str">
        <f>"5"</f>
        <v>5</v>
      </c>
      <c r="G500" s="10" t="str">
        <f>"2"</f>
        <v>2</v>
      </c>
      <c r="H500" s="9">
        <v>41697232.5</v>
      </c>
    </row>
    <row r="501" spans="1:8" ht="30" x14ac:dyDescent="0.25">
      <c r="A501" s="7">
        <v>45107</v>
      </c>
      <c r="B501" s="10">
        <v>36</v>
      </c>
      <c r="C501" s="10" t="str">
        <f t="shared" si="90"/>
        <v>2237</v>
      </c>
      <c r="D501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1" s="10" t="str">
        <f>"1"</f>
        <v>1</v>
      </c>
      <c r="F501" s="10" t="str">
        <f>"1"</f>
        <v>1</v>
      </c>
      <c r="G501" s="10" t="str">
        <f>"2"</f>
        <v>2</v>
      </c>
      <c r="H501" s="9">
        <v>1472100</v>
      </c>
    </row>
    <row r="502" spans="1:8" ht="30" x14ac:dyDescent="0.25">
      <c r="A502" s="7">
        <v>45107</v>
      </c>
      <c r="B502" s="10">
        <v>36</v>
      </c>
      <c r="C502" s="10" t="str">
        <f t="shared" si="90"/>
        <v>2237</v>
      </c>
      <c r="D502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2" s="10" t="str">
        <f>"1"</f>
        <v>1</v>
      </c>
      <c r="F502" s="10" t="str">
        <f>"9"</f>
        <v>9</v>
      </c>
      <c r="G502" s="10" t="str">
        <f>"3"</f>
        <v>3</v>
      </c>
      <c r="H502" s="9">
        <v>75010121.390000001</v>
      </c>
    </row>
    <row r="503" spans="1:8" ht="30" x14ac:dyDescent="0.25">
      <c r="A503" s="7">
        <v>45107</v>
      </c>
      <c r="B503" s="10">
        <v>36</v>
      </c>
      <c r="C503" s="10" t="str">
        <f t="shared" si="90"/>
        <v>2237</v>
      </c>
      <c r="D503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3" s="10" t="str">
        <f>"2"</f>
        <v>2</v>
      </c>
      <c r="F503" s="10" t="str">
        <f>"9"</f>
        <v>9</v>
      </c>
      <c r="G503" s="10" t="str">
        <f>"1"</f>
        <v>1</v>
      </c>
      <c r="H503" s="9">
        <v>1061423.49</v>
      </c>
    </row>
    <row r="504" spans="1:8" ht="30" x14ac:dyDescent="0.25">
      <c r="A504" s="7">
        <v>45107</v>
      </c>
      <c r="B504" s="10">
        <v>36</v>
      </c>
      <c r="C504" s="10" t="str">
        <f t="shared" si="90"/>
        <v>2237</v>
      </c>
      <c r="D504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4" s="10" t="str">
        <f>"2"</f>
        <v>2</v>
      </c>
      <c r="F504" s="10" t="str">
        <f>"7"</f>
        <v>7</v>
      </c>
      <c r="G504" s="10" t="str">
        <f>"3"</f>
        <v>3</v>
      </c>
      <c r="H504" s="9">
        <v>52920335.829999998</v>
      </c>
    </row>
    <row r="505" spans="1:8" ht="30" x14ac:dyDescent="0.25">
      <c r="A505" s="7">
        <v>45107</v>
      </c>
      <c r="B505" s="10">
        <v>36</v>
      </c>
      <c r="C505" s="10" t="str">
        <f t="shared" si="90"/>
        <v>2237</v>
      </c>
      <c r="D505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5" s="10" t="str">
        <f>"1"</f>
        <v>1</v>
      </c>
      <c r="F505" s="10" t="str">
        <f>"8"</f>
        <v>8</v>
      </c>
      <c r="G505" s="10" t="str">
        <f>"1"</f>
        <v>1</v>
      </c>
      <c r="H505" s="9">
        <v>20322227.98</v>
      </c>
    </row>
    <row r="506" spans="1:8" ht="30" x14ac:dyDescent="0.25">
      <c r="A506" s="7">
        <v>45107</v>
      </c>
      <c r="B506" s="10">
        <v>36</v>
      </c>
      <c r="C506" s="10" t="str">
        <f t="shared" si="90"/>
        <v>2237</v>
      </c>
      <c r="D506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6" s="10" t="str">
        <f>"1"</f>
        <v>1</v>
      </c>
      <c r="F506" s="10" t="str">
        <f>"4"</f>
        <v>4</v>
      </c>
      <c r="G506" s="10" t="str">
        <f>"3"</f>
        <v>3</v>
      </c>
      <c r="H506" s="9">
        <v>118975736</v>
      </c>
    </row>
    <row r="507" spans="1:8" ht="30" x14ac:dyDescent="0.25">
      <c r="A507" s="7">
        <v>45107</v>
      </c>
      <c r="B507" s="10">
        <v>36</v>
      </c>
      <c r="C507" s="10" t="str">
        <f t="shared" si="90"/>
        <v>2237</v>
      </c>
      <c r="D507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7" s="10" t="str">
        <f>"2"</f>
        <v>2</v>
      </c>
      <c r="F507" s="10" t="str">
        <f>"7"</f>
        <v>7</v>
      </c>
      <c r="G507" s="10" t="str">
        <f>"1"</f>
        <v>1</v>
      </c>
      <c r="H507" s="9">
        <v>3220</v>
      </c>
    </row>
    <row r="508" spans="1:8" ht="30" x14ac:dyDescent="0.25">
      <c r="A508" s="7">
        <v>45107</v>
      </c>
      <c r="B508" s="10">
        <v>36</v>
      </c>
      <c r="C508" s="10" t="str">
        <f t="shared" si="90"/>
        <v>2237</v>
      </c>
      <c r="D508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8" s="10" t="str">
        <f>"2"</f>
        <v>2</v>
      </c>
      <c r="F508" s="10" t="str">
        <f>"9"</f>
        <v>9</v>
      </c>
      <c r="G508" s="10" t="str">
        <f>"2"</f>
        <v>2</v>
      </c>
      <c r="H508" s="9">
        <v>101613927.17</v>
      </c>
    </row>
    <row r="509" spans="1:8" ht="30" x14ac:dyDescent="0.25">
      <c r="A509" s="7">
        <v>45107</v>
      </c>
      <c r="B509" s="10">
        <v>36</v>
      </c>
      <c r="C509" s="10" t="str">
        <f t="shared" si="90"/>
        <v>2237</v>
      </c>
      <c r="D509" s="11" t="str">
        <f t="shared" si="91"/>
        <v>Счет хранения указаний отправителя в соответствии с валютным законодательством Республики Казахстан</v>
      </c>
      <c r="E509" s="10" t="str">
        <f t="shared" ref="E509:E517" si="92">"1"</f>
        <v>1</v>
      </c>
      <c r="F509" s="10" t="str">
        <f>"4"</f>
        <v>4</v>
      </c>
      <c r="G509" s="10" t="str">
        <f>"2"</f>
        <v>2</v>
      </c>
      <c r="H509" s="9">
        <v>371659761.30000001</v>
      </c>
    </row>
    <row r="510" spans="1:8" ht="30" x14ac:dyDescent="0.25">
      <c r="A510" s="7">
        <v>45107</v>
      </c>
      <c r="B510" s="10">
        <v>36</v>
      </c>
      <c r="C510" s="10" t="str">
        <f t="shared" si="90"/>
        <v>2237</v>
      </c>
      <c r="D510" s="11" t="str">
        <f t="shared" si="91"/>
        <v>Счет хранения указаний отправителя в соответствии с валютным законодательством Республики Казахстан</v>
      </c>
      <c r="E510" s="10" t="str">
        <f t="shared" si="92"/>
        <v>1</v>
      </c>
      <c r="F510" s="10" t="str">
        <f>"5"</f>
        <v>5</v>
      </c>
      <c r="G510" s="10" t="str">
        <f>"3"</f>
        <v>3</v>
      </c>
      <c r="H510" s="9">
        <v>11630147.6</v>
      </c>
    </row>
    <row r="511" spans="1:8" ht="30" x14ac:dyDescent="0.25">
      <c r="A511" s="7">
        <v>45107</v>
      </c>
      <c r="B511" s="10">
        <v>36</v>
      </c>
      <c r="C511" s="10" t="str">
        <f t="shared" si="90"/>
        <v>2237</v>
      </c>
      <c r="D511" s="11" t="str">
        <f t="shared" si="91"/>
        <v>Счет хранения указаний отправителя в соответствии с валютным законодательством Республики Казахстан</v>
      </c>
      <c r="E511" s="10" t="str">
        <f t="shared" si="92"/>
        <v>1</v>
      </c>
      <c r="F511" s="10" t="str">
        <f>"8"</f>
        <v>8</v>
      </c>
      <c r="G511" s="10" t="str">
        <f>"2"</f>
        <v>2</v>
      </c>
      <c r="H511" s="9">
        <v>51043516.890000001</v>
      </c>
    </row>
    <row r="512" spans="1:8" ht="30" x14ac:dyDescent="0.25">
      <c r="A512" s="7">
        <v>45107</v>
      </c>
      <c r="B512" s="10">
        <v>36</v>
      </c>
      <c r="C512" s="10" t="str">
        <f t="shared" si="90"/>
        <v>2237</v>
      </c>
      <c r="D512" s="11" t="str">
        <f t="shared" si="91"/>
        <v>Счет хранения указаний отправителя в соответствии с валютным законодательством Республики Казахстан</v>
      </c>
      <c r="E512" s="10" t="str">
        <f t="shared" si="92"/>
        <v>1</v>
      </c>
      <c r="F512" s="10" t="str">
        <f>"9"</f>
        <v>9</v>
      </c>
      <c r="G512" s="10" t="str">
        <f>"2"</f>
        <v>2</v>
      </c>
      <c r="H512" s="9">
        <v>393657721.58999997</v>
      </c>
    </row>
    <row r="513" spans="1:8" x14ac:dyDescent="0.25">
      <c r="A513" s="7">
        <v>45107</v>
      </c>
      <c r="B513" s="10">
        <v>36</v>
      </c>
      <c r="C513" s="10" t="str">
        <f>"2239"</f>
        <v>2239</v>
      </c>
      <c r="D513" s="11" t="str">
        <f>"Дисконт по вкладам, привлеченным от клиентов"</f>
        <v>Дисконт по вкладам, привлеченным от клиентов</v>
      </c>
      <c r="E513" s="10" t="str">
        <f t="shared" si="92"/>
        <v>1</v>
      </c>
      <c r="F513" s="10" t="str">
        <f>"5"</f>
        <v>5</v>
      </c>
      <c r="G513" s="10" t="str">
        <f>"1"</f>
        <v>1</v>
      </c>
      <c r="H513" s="9">
        <v>-29339024925</v>
      </c>
    </row>
    <row r="514" spans="1:8" ht="30" x14ac:dyDescent="0.25">
      <c r="A514" s="7">
        <v>45107</v>
      </c>
      <c r="B514" s="10">
        <v>36</v>
      </c>
      <c r="C514" s="10" t="str">
        <f t="shared" ref="C514:C520" si="93">"2240"</f>
        <v>2240</v>
      </c>
      <c r="D514" s="11" t="str">
        <f t="shared" ref="D514:D520" si="9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4" s="10" t="str">
        <f t="shared" si="92"/>
        <v>1</v>
      </c>
      <c r="F514" s="10" t="str">
        <f>"9"</f>
        <v>9</v>
      </c>
      <c r="G514" s="10" t="str">
        <f>"1"</f>
        <v>1</v>
      </c>
      <c r="H514" s="9">
        <v>2290550882.5599999</v>
      </c>
    </row>
    <row r="515" spans="1:8" ht="30" x14ac:dyDescent="0.25">
      <c r="A515" s="7">
        <v>45107</v>
      </c>
      <c r="B515" s="10">
        <v>36</v>
      </c>
      <c r="C515" s="10" t="str">
        <f t="shared" si="93"/>
        <v>2240</v>
      </c>
      <c r="D515" s="11" t="str">
        <f t="shared" si="94"/>
        <v>Счет хранения денег, принятых в качестве обеспечения (заклад, задаток) обязательств клиентов</v>
      </c>
      <c r="E515" s="10" t="str">
        <f t="shared" si="92"/>
        <v>1</v>
      </c>
      <c r="F515" s="10" t="str">
        <f>"9"</f>
        <v>9</v>
      </c>
      <c r="G515" s="10" t="str">
        <f>"2"</f>
        <v>2</v>
      </c>
      <c r="H515" s="9">
        <v>79796672.269999996</v>
      </c>
    </row>
    <row r="516" spans="1:8" ht="30" x14ac:dyDescent="0.25">
      <c r="A516" s="7">
        <v>45107</v>
      </c>
      <c r="B516" s="10">
        <v>36</v>
      </c>
      <c r="C516" s="10" t="str">
        <f t="shared" si="93"/>
        <v>2240</v>
      </c>
      <c r="D516" s="11" t="str">
        <f t="shared" si="94"/>
        <v>Счет хранения денег, принятых в качестве обеспечения (заклад, задаток) обязательств клиентов</v>
      </c>
      <c r="E516" s="10" t="str">
        <f t="shared" si="92"/>
        <v>1</v>
      </c>
      <c r="F516" s="10" t="str">
        <f>"8"</f>
        <v>8</v>
      </c>
      <c r="G516" s="10" t="str">
        <f>"1"</f>
        <v>1</v>
      </c>
      <c r="H516" s="9">
        <v>12000000</v>
      </c>
    </row>
    <row r="517" spans="1:8" ht="30" x14ac:dyDescent="0.25">
      <c r="A517" s="7">
        <v>45107</v>
      </c>
      <c r="B517" s="10">
        <v>36</v>
      </c>
      <c r="C517" s="10" t="str">
        <f t="shared" si="93"/>
        <v>2240</v>
      </c>
      <c r="D517" s="11" t="str">
        <f t="shared" si="94"/>
        <v>Счет хранения денег, принятых в качестве обеспечения (заклад, задаток) обязательств клиентов</v>
      </c>
      <c r="E517" s="10" t="str">
        <f t="shared" si="92"/>
        <v>1</v>
      </c>
      <c r="F517" s="10" t="str">
        <f>"6"</f>
        <v>6</v>
      </c>
      <c r="G517" s="10" t="str">
        <f>"1"</f>
        <v>1</v>
      </c>
      <c r="H517" s="9">
        <v>1900435162.1400001</v>
      </c>
    </row>
    <row r="518" spans="1:8" ht="30" x14ac:dyDescent="0.25">
      <c r="A518" s="7">
        <v>45107</v>
      </c>
      <c r="B518" s="10">
        <v>36</v>
      </c>
      <c r="C518" s="10" t="str">
        <f t="shared" si="93"/>
        <v>2240</v>
      </c>
      <c r="D518" s="11" t="str">
        <f t="shared" si="94"/>
        <v>Счет хранения денег, принятых в качестве обеспечения (заклад, задаток) обязательств клиентов</v>
      </c>
      <c r="E518" s="10" t="str">
        <f>"2"</f>
        <v>2</v>
      </c>
      <c r="F518" s="10" t="str">
        <f>"7"</f>
        <v>7</v>
      </c>
      <c r="G518" s="10" t="str">
        <f>"2"</f>
        <v>2</v>
      </c>
      <c r="H518" s="9">
        <v>4751355000</v>
      </c>
    </row>
    <row r="519" spans="1:8" ht="30" x14ac:dyDescent="0.25">
      <c r="A519" s="7">
        <v>45107</v>
      </c>
      <c r="B519" s="10">
        <v>36</v>
      </c>
      <c r="C519" s="10" t="str">
        <f t="shared" si="93"/>
        <v>2240</v>
      </c>
      <c r="D519" s="11" t="str">
        <f t="shared" si="94"/>
        <v>Счет хранения денег, принятых в качестве обеспечения (заклад, задаток) обязательств клиентов</v>
      </c>
      <c r="E519" s="10" t="str">
        <f>"1"</f>
        <v>1</v>
      </c>
      <c r="F519" s="10" t="str">
        <f>"7"</f>
        <v>7</v>
      </c>
      <c r="G519" s="10" t="str">
        <f>"1"</f>
        <v>1</v>
      </c>
      <c r="H519" s="9">
        <v>4412433530.1300001</v>
      </c>
    </row>
    <row r="520" spans="1:8" ht="30" x14ac:dyDescent="0.25">
      <c r="A520" s="7">
        <v>45107</v>
      </c>
      <c r="B520" s="10">
        <v>36</v>
      </c>
      <c r="C520" s="10" t="str">
        <f t="shared" si="93"/>
        <v>2240</v>
      </c>
      <c r="D520" s="11" t="str">
        <f t="shared" si="94"/>
        <v>Счет хранения денег, принятых в качестве обеспечения (заклад, задаток) обязательств клиентов</v>
      </c>
      <c r="E520" s="10" t="str">
        <f>"1"</f>
        <v>1</v>
      </c>
      <c r="F520" s="10" t="str">
        <f>"1"</f>
        <v>1</v>
      </c>
      <c r="G520" s="10" t="str">
        <f>"2"</f>
        <v>2</v>
      </c>
      <c r="H520" s="9">
        <v>1098919705.8</v>
      </c>
    </row>
    <row r="521" spans="1:8" ht="30" x14ac:dyDescent="0.25">
      <c r="A521" s="7">
        <v>45107</v>
      </c>
      <c r="B521" s="10">
        <v>36</v>
      </c>
      <c r="C521" s="10" t="str">
        <f>"2241"</f>
        <v>2241</v>
      </c>
      <c r="D521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21" s="10" t="str">
        <f>"1"</f>
        <v>1</v>
      </c>
      <c r="F521" s="10" t="str">
        <f>"9"</f>
        <v>9</v>
      </c>
      <c r="G521" s="10" t="str">
        <f>"1"</f>
        <v>1</v>
      </c>
      <c r="H521" s="9">
        <v>4897182750.8000002</v>
      </c>
    </row>
    <row r="522" spans="1:8" ht="30" x14ac:dyDescent="0.25">
      <c r="A522" s="7">
        <v>45107</v>
      </c>
      <c r="B522" s="10">
        <v>36</v>
      </c>
      <c r="C522" s="10" t="str">
        <f>"2241"</f>
        <v>2241</v>
      </c>
      <c r="D522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22" s="10" t="str">
        <f>"2"</f>
        <v>2</v>
      </c>
      <c r="F522" s="10" t="str">
        <f>"9"</f>
        <v>9</v>
      </c>
      <c r="G522" s="10" t="str">
        <f>"2"</f>
        <v>2</v>
      </c>
      <c r="H522" s="9">
        <v>287814.46000000002</v>
      </c>
    </row>
    <row r="523" spans="1:8" ht="30" x14ac:dyDescent="0.25">
      <c r="A523" s="7">
        <v>45107</v>
      </c>
      <c r="B523" s="10">
        <v>36</v>
      </c>
      <c r="C523" s="10" t="str">
        <f>"2241"</f>
        <v>2241</v>
      </c>
      <c r="D523" s="11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E523" s="10" t="str">
        <f t="shared" ref="E523:E532" si="95">"1"</f>
        <v>1</v>
      </c>
      <c r="F523" s="10" t="str">
        <f>"9"</f>
        <v>9</v>
      </c>
      <c r="G523" s="10" t="str">
        <f>"2"</f>
        <v>2</v>
      </c>
      <c r="H523" s="9">
        <v>2952171908.0599999</v>
      </c>
    </row>
    <row r="524" spans="1:8" x14ac:dyDescent="0.25">
      <c r="A524" s="7">
        <v>45107</v>
      </c>
      <c r="B524" s="10">
        <v>36</v>
      </c>
      <c r="C524" s="10" t="str">
        <f>"2255"</f>
        <v>2255</v>
      </c>
      <c r="D524" s="11" t="str">
        <f>"Операции «РЕПО» с ценными бумагами"</f>
        <v>Операции «РЕПО» с ценными бумагами</v>
      </c>
      <c r="E524" s="10" t="str">
        <f t="shared" si="95"/>
        <v>1</v>
      </c>
      <c r="F524" s="10" t="str">
        <f t="shared" ref="F524:F532" si="96">"5"</f>
        <v>5</v>
      </c>
      <c r="G524" s="10" t="str">
        <f>"2"</f>
        <v>2</v>
      </c>
      <c r="H524" s="9">
        <v>61734612495.43</v>
      </c>
    </row>
    <row r="525" spans="1:8" x14ac:dyDescent="0.25">
      <c r="A525" s="7">
        <v>45107</v>
      </c>
      <c r="B525" s="10">
        <v>36</v>
      </c>
      <c r="C525" s="10" t="str">
        <f>"2255"</f>
        <v>2255</v>
      </c>
      <c r="D525" s="11" t="str">
        <f>"Операции «РЕПО» с ценными бумагами"</f>
        <v>Операции «РЕПО» с ценными бумагами</v>
      </c>
      <c r="E525" s="10" t="str">
        <f t="shared" si="95"/>
        <v>1</v>
      </c>
      <c r="F525" s="10" t="str">
        <f t="shared" si="96"/>
        <v>5</v>
      </c>
      <c r="G525" s="10" t="str">
        <f t="shared" ref="G525:G532" si="97">"1"</f>
        <v>1</v>
      </c>
      <c r="H525" s="9">
        <v>120374234740.61</v>
      </c>
    </row>
    <row r="526" spans="1:8" x14ac:dyDescent="0.25">
      <c r="A526" s="7">
        <v>45107</v>
      </c>
      <c r="B526" s="10">
        <v>36</v>
      </c>
      <c r="C526" s="10" t="str">
        <f>"2301"</f>
        <v>2301</v>
      </c>
      <c r="D526" s="11" t="str">
        <f>"Выпущенные в обращение облигации"</f>
        <v>Выпущенные в обращение облигации</v>
      </c>
      <c r="E526" s="10" t="str">
        <f t="shared" si="95"/>
        <v>1</v>
      </c>
      <c r="F526" s="10" t="str">
        <f t="shared" si="96"/>
        <v>5</v>
      </c>
      <c r="G526" s="10" t="str">
        <f t="shared" si="97"/>
        <v>1</v>
      </c>
      <c r="H526" s="9">
        <v>692847173800</v>
      </c>
    </row>
    <row r="527" spans="1:8" x14ac:dyDescent="0.25">
      <c r="A527" s="7">
        <v>45107</v>
      </c>
      <c r="B527" s="10">
        <v>36</v>
      </c>
      <c r="C527" s="10" t="str">
        <f>"2304"</f>
        <v>2304</v>
      </c>
      <c r="D527" s="11" t="str">
        <f>"Премия по выпущенным в обращение ценным бумагам"</f>
        <v>Премия по выпущенным в обращение ценным бумагам</v>
      </c>
      <c r="E527" s="10" t="str">
        <f t="shared" si="95"/>
        <v>1</v>
      </c>
      <c r="F527" s="10" t="str">
        <f t="shared" si="96"/>
        <v>5</v>
      </c>
      <c r="G527" s="10" t="str">
        <f t="shared" si="97"/>
        <v>1</v>
      </c>
      <c r="H527" s="9">
        <v>141257.39000000001</v>
      </c>
    </row>
    <row r="528" spans="1:8" x14ac:dyDescent="0.25">
      <c r="A528" s="7">
        <v>45107</v>
      </c>
      <c r="B528" s="10">
        <v>36</v>
      </c>
      <c r="C528" s="10" t="str">
        <f>"2305"</f>
        <v>2305</v>
      </c>
      <c r="D528" s="11" t="str">
        <f>"Дисконт по выпущенным в обращение ценным бумагам"</f>
        <v>Дисконт по выпущенным в обращение ценным бумагам</v>
      </c>
      <c r="E528" s="10" t="str">
        <f t="shared" si="95"/>
        <v>1</v>
      </c>
      <c r="F528" s="10" t="str">
        <f t="shared" si="96"/>
        <v>5</v>
      </c>
      <c r="G528" s="10" t="str">
        <f t="shared" si="97"/>
        <v>1</v>
      </c>
      <c r="H528" s="9">
        <v>-489862478904.70001</v>
      </c>
    </row>
    <row r="529" spans="1:8" x14ac:dyDescent="0.25">
      <c r="A529" s="7">
        <v>45107</v>
      </c>
      <c r="B529" s="10">
        <v>36</v>
      </c>
      <c r="C529" s="10" t="str">
        <f>"2306"</f>
        <v>2306</v>
      </c>
      <c r="D529" s="11" t="str">
        <f>"Выкупленные облигации"</f>
        <v>Выкупленные облигации</v>
      </c>
      <c r="E529" s="10" t="str">
        <f t="shared" si="95"/>
        <v>1</v>
      </c>
      <c r="F529" s="10" t="str">
        <f t="shared" si="96"/>
        <v>5</v>
      </c>
      <c r="G529" s="10" t="str">
        <f t="shared" si="97"/>
        <v>1</v>
      </c>
      <c r="H529" s="9">
        <v>-582210000</v>
      </c>
    </row>
    <row r="530" spans="1:8" ht="30" x14ac:dyDescent="0.25">
      <c r="A530" s="7">
        <v>45107</v>
      </c>
      <c r="B530" s="10">
        <v>36</v>
      </c>
      <c r="C530" s="10" t="str">
        <f>"2404"</f>
        <v>2404</v>
      </c>
      <c r="D530" s="1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30" s="10" t="str">
        <f t="shared" si="95"/>
        <v>1</v>
      </c>
      <c r="F530" s="10" t="str">
        <f t="shared" si="96"/>
        <v>5</v>
      </c>
      <c r="G530" s="10" t="str">
        <f t="shared" si="97"/>
        <v>1</v>
      </c>
      <c r="H530" s="9">
        <v>-337464531177.84003</v>
      </c>
    </row>
    <row r="531" spans="1:8" x14ac:dyDescent="0.25">
      <c r="A531" s="7">
        <v>45107</v>
      </c>
      <c r="B531" s="10">
        <v>36</v>
      </c>
      <c r="C531" s="10" t="str">
        <f>"2405"</f>
        <v>2405</v>
      </c>
      <c r="D531" s="11" t="str">
        <f>"Выкупленные субординированные облигации"</f>
        <v>Выкупленные субординированные облигации</v>
      </c>
      <c r="E531" s="10" t="str">
        <f t="shared" si="95"/>
        <v>1</v>
      </c>
      <c r="F531" s="10" t="str">
        <f t="shared" si="96"/>
        <v>5</v>
      </c>
      <c r="G531" s="10" t="str">
        <f t="shared" si="97"/>
        <v>1</v>
      </c>
      <c r="H531" s="9">
        <v>-9241740000</v>
      </c>
    </row>
    <row r="532" spans="1:8" x14ac:dyDescent="0.25">
      <c r="A532" s="7">
        <v>45107</v>
      </c>
      <c r="B532" s="10">
        <v>36</v>
      </c>
      <c r="C532" s="10" t="str">
        <f>"2406"</f>
        <v>2406</v>
      </c>
      <c r="D532" s="11" t="str">
        <f>"Субординированные облигации"</f>
        <v>Субординированные облигации</v>
      </c>
      <c r="E532" s="10" t="str">
        <f t="shared" si="95"/>
        <v>1</v>
      </c>
      <c r="F532" s="10" t="str">
        <f t="shared" si="96"/>
        <v>5</v>
      </c>
      <c r="G532" s="10" t="str">
        <f t="shared" si="97"/>
        <v>1</v>
      </c>
      <c r="H532" s="9">
        <v>539774794000</v>
      </c>
    </row>
    <row r="533" spans="1:8" x14ac:dyDescent="0.25">
      <c r="A533" s="7">
        <v>45107</v>
      </c>
      <c r="B533" s="10">
        <v>36</v>
      </c>
      <c r="C533" s="10" t="str">
        <f>"2551"</f>
        <v>2551</v>
      </c>
      <c r="D533" s="11" t="str">
        <f>"Расчеты с другими банками"</f>
        <v>Расчеты с другими банками</v>
      </c>
      <c r="E533" s="10" t="str">
        <f>"2"</f>
        <v>2</v>
      </c>
      <c r="F533" s="10" t="str">
        <f>"4"</f>
        <v>4</v>
      </c>
      <c r="G533" s="10" t="str">
        <f>"2"</f>
        <v>2</v>
      </c>
      <c r="H533" s="9">
        <v>50.19</v>
      </c>
    </row>
    <row r="534" spans="1:8" x14ac:dyDescent="0.25">
      <c r="A534" s="7">
        <v>45107</v>
      </c>
      <c r="B534" s="10">
        <v>36</v>
      </c>
      <c r="C534" s="10" t="str">
        <f>"2551"</f>
        <v>2551</v>
      </c>
      <c r="D534" s="11" t="str">
        <f>"Расчеты с другими банками"</f>
        <v>Расчеты с другими банками</v>
      </c>
      <c r="E534" s="10" t="str">
        <f>"1"</f>
        <v>1</v>
      </c>
      <c r="F534" s="10" t="str">
        <f>"3"</f>
        <v>3</v>
      </c>
      <c r="G534" s="10" t="str">
        <f>"1"</f>
        <v>1</v>
      </c>
      <c r="H534" s="9">
        <v>296714573</v>
      </c>
    </row>
    <row r="535" spans="1:8" x14ac:dyDescent="0.25">
      <c r="A535" s="7">
        <v>45107</v>
      </c>
      <c r="B535" s="10">
        <v>36</v>
      </c>
      <c r="C535" s="10" t="str">
        <f>"2551"</f>
        <v>2551</v>
      </c>
      <c r="D535" s="11" t="str">
        <f>"Расчеты с другими банками"</f>
        <v>Расчеты с другими банками</v>
      </c>
      <c r="E535" s="10" t="str">
        <f>"2"</f>
        <v>2</v>
      </c>
      <c r="F535" s="10" t="str">
        <f>"4"</f>
        <v>4</v>
      </c>
      <c r="G535" s="10" t="str">
        <f>"3"</f>
        <v>3</v>
      </c>
      <c r="H535" s="9">
        <v>459291.59</v>
      </c>
    </row>
    <row r="536" spans="1:8" x14ac:dyDescent="0.25">
      <c r="A536" s="7">
        <v>45107</v>
      </c>
      <c r="B536" s="10">
        <v>36</v>
      </c>
      <c r="C536" s="10" t="str">
        <f>"2552"</f>
        <v>2552</v>
      </c>
      <c r="D536" s="11" t="str">
        <f>"Расчеты с клиентами"</f>
        <v>Расчеты с клиентами</v>
      </c>
      <c r="E536" s="10" t="str">
        <f>"2"</f>
        <v>2</v>
      </c>
      <c r="F536" s="10" t="str">
        <f>"5"</f>
        <v>5</v>
      </c>
      <c r="G536" s="10" t="str">
        <f>"3"</f>
        <v>3</v>
      </c>
      <c r="H536" s="9">
        <v>191202.86</v>
      </c>
    </row>
    <row r="537" spans="1:8" x14ac:dyDescent="0.25">
      <c r="A537" s="7">
        <v>45107</v>
      </c>
      <c r="B537" s="10">
        <v>36</v>
      </c>
      <c r="C537" s="10" t="str">
        <f>"2552"</f>
        <v>2552</v>
      </c>
      <c r="D537" s="11" t="str">
        <f>"Расчеты с клиентами"</f>
        <v>Расчеты с клиентами</v>
      </c>
      <c r="E537" s="10" t="str">
        <f>"2"</f>
        <v>2</v>
      </c>
      <c r="F537" s="10" t="str">
        <f>"5"</f>
        <v>5</v>
      </c>
      <c r="G537" s="10" t="str">
        <f>"2"</f>
        <v>2</v>
      </c>
      <c r="H537" s="9">
        <v>226742312.55000001</v>
      </c>
    </row>
    <row r="538" spans="1:8" x14ac:dyDescent="0.25">
      <c r="A538" s="7">
        <v>45107</v>
      </c>
      <c r="B538" s="10">
        <v>36</v>
      </c>
      <c r="C538" s="10" t="str">
        <f>"2552"</f>
        <v>2552</v>
      </c>
      <c r="D538" s="11" t="str">
        <f>"Расчеты с клиентами"</f>
        <v>Расчеты с клиентами</v>
      </c>
      <c r="E538" s="10" t="str">
        <f>"1"</f>
        <v>1</v>
      </c>
      <c r="F538" s="10" t="str">
        <f>"7"</f>
        <v>7</v>
      </c>
      <c r="G538" s="10" t="str">
        <f>"1"</f>
        <v>1</v>
      </c>
      <c r="H538" s="9">
        <v>1247757.25</v>
      </c>
    </row>
    <row r="539" spans="1:8" x14ac:dyDescent="0.25">
      <c r="A539" s="7">
        <v>45107</v>
      </c>
      <c r="B539" s="10">
        <v>36</v>
      </c>
      <c r="C539" s="10" t="str">
        <f>"2552"</f>
        <v>2552</v>
      </c>
      <c r="D539" s="11" t="str">
        <f>"Расчеты с клиентами"</f>
        <v>Расчеты с клиентами</v>
      </c>
      <c r="E539" s="10" t="str">
        <f>"2"</f>
        <v>2</v>
      </c>
      <c r="F539" s="10" t="str">
        <f>"5"</f>
        <v>5</v>
      </c>
      <c r="G539" s="10" t="str">
        <f>"1"</f>
        <v>1</v>
      </c>
      <c r="H539" s="9">
        <v>126108116.23</v>
      </c>
    </row>
    <row r="540" spans="1:8" x14ac:dyDescent="0.25">
      <c r="A540" s="7">
        <v>45107</v>
      </c>
      <c r="B540" s="10">
        <v>36</v>
      </c>
      <c r="C540" s="10" t="str">
        <f>"2701"</f>
        <v>2701</v>
      </c>
      <c r="D540" s="11" t="str">
        <f>"Начисленные расходы по корреспондентским счетам"</f>
        <v>Начисленные расходы по корреспондентским счетам</v>
      </c>
      <c r="E540" s="10" t="str">
        <f>"1"</f>
        <v>1</v>
      </c>
      <c r="F540" s="10" t="str">
        <f>"3"</f>
        <v>3</v>
      </c>
      <c r="G540" s="10" t="str">
        <f>"2"</f>
        <v>2</v>
      </c>
      <c r="H540" s="9">
        <v>844440.72</v>
      </c>
    </row>
    <row r="541" spans="1:8" ht="45" x14ac:dyDescent="0.25">
      <c r="A541" s="7">
        <v>45107</v>
      </c>
      <c r="B541" s="10">
        <v>36</v>
      </c>
      <c r="C541" s="10" t="str">
        <f>"2703"</f>
        <v>2703</v>
      </c>
      <c r="D541" s="1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41" s="10" t="str">
        <f>"1"</f>
        <v>1</v>
      </c>
      <c r="F541" s="10" t="str">
        <f>"5"</f>
        <v>5</v>
      </c>
      <c r="G541" s="10" t="str">
        <f>"1"</f>
        <v>1</v>
      </c>
      <c r="H541" s="9">
        <v>4733967.5</v>
      </c>
    </row>
    <row r="542" spans="1:8" ht="30" x14ac:dyDescent="0.25">
      <c r="A542" s="7">
        <v>45107</v>
      </c>
      <c r="B542" s="10">
        <v>36</v>
      </c>
      <c r="C542" s="10" t="str">
        <f>"2705"</f>
        <v>2705</v>
      </c>
      <c r="D542" s="1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42" s="10" t="str">
        <f>"1"</f>
        <v>1</v>
      </c>
      <c r="F542" s="10" t="str">
        <f>"4"</f>
        <v>4</v>
      </c>
      <c r="G542" s="10" t="str">
        <f>"1"</f>
        <v>1</v>
      </c>
      <c r="H542" s="9">
        <v>12388510.17</v>
      </c>
    </row>
    <row r="543" spans="1:8" ht="45" x14ac:dyDescent="0.25">
      <c r="A543" s="7">
        <v>45107</v>
      </c>
      <c r="B543" s="10">
        <v>36</v>
      </c>
      <c r="C543" s="10" t="str">
        <f>"2707"</f>
        <v>2707</v>
      </c>
      <c r="D543" s="1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43" s="10" t="str">
        <f>"1"</f>
        <v>1</v>
      </c>
      <c r="F543" s="10" t="str">
        <f>"9"</f>
        <v>9</v>
      </c>
      <c r="G543" s="10" t="str">
        <f>"2"</f>
        <v>2</v>
      </c>
      <c r="H543" s="9">
        <v>13190.67</v>
      </c>
    </row>
    <row r="544" spans="1:8" x14ac:dyDescent="0.25">
      <c r="A544" s="7">
        <v>45107</v>
      </c>
      <c r="B544" s="10">
        <v>36</v>
      </c>
      <c r="C544" s="10" t="str">
        <f>"2712"</f>
        <v>2712</v>
      </c>
      <c r="D544" s="11" t="str">
        <f>"Начисленные расходы по срочным вкладам других банков"</f>
        <v>Начисленные расходы по срочным вкладам других банков</v>
      </c>
      <c r="E544" s="10" t="str">
        <f>"2"</f>
        <v>2</v>
      </c>
      <c r="F544" s="10" t="str">
        <f>"4"</f>
        <v>4</v>
      </c>
      <c r="G544" s="10" t="str">
        <f>"2"</f>
        <v>2</v>
      </c>
      <c r="H544" s="9">
        <v>879878.54</v>
      </c>
    </row>
    <row r="545" spans="1:8" x14ac:dyDescent="0.25">
      <c r="A545" s="7">
        <v>45107</v>
      </c>
      <c r="B545" s="10">
        <v>36</v>
      </c>
      <c r="C545" s="10" t="str">
        <f>"2712"</f>
        <v>2712</v>
      </c>
      <c r="D545" s="11" t="str">
        <f>"Начисленные расходы по срочным вкладам других банков"</f>
        <v>Начисленные расходы по срочным вкладам других банков</v>
      </c>
      <c r="E545" s="10" t="str">
        <f>"1"</f>
        <v>1</v>
      </c>
      <c r="F545" s="10" t="str">
        <f>"4"</f>
        <v>4</v>
      </c>
      <c r="G545" s="10" t="str">
        <f>"2"</f>
        <v>2</v>
      </c>
      <c r="H545" s="9">
        <v>1407808.39</v>
      </c>
    </row>
    <row r="546" spans="1:8" x14ac:dyDescent="0.25">
      <c r="A546" s="7">
        <v>45107</v>
      </c>
      <c r="B546" s="10">
        <v>36</v>
      </c>
      <c r="C546" s="10" t="str">
        <f>"2712"</f>
        <v>2712</v>
      </c>
      <c r="D546" s="11" t="str">
        <f>"Начисленные расходы по срочным вкладам других банков"</f>
        <v>Начисленные расходы по срочным вкладам других банков</v>
      </c>
      <c r="E546" s="10" t="str">
        <f>"2"</f>
        <v>2</v>
      </c>
      <c r="F546" s="10" t="str">
        <f>"4"</f>
        <v>4</v>
      </c>
      <c r="G546" s="10" t="str">
        <f>"1"</f>
        <v>1</v>
      </c>
      <c r="H546" s="9">
        <v>43055.56</v>
      </c>
    </row>
    <row r="547" spans="1:8" x14ac:dyDescent="0.25">
      <c r="A547" s="7">
        <v>45107</v>
      </c>
      <c r="B547" s="10">
        <v>36</v>
      </c>
      <c r="C547" s="10" t="str">
        <f t="shared" ref="C547:C556" si="98">"2719"</f>
        <v>2719</v>
      </c>
      <c r="D547" s="11" t="str">
        <f t="shared" ref="D547:D556" si="99">"Начисленные расходы по условным вкладам клиентов"</f>
        <v>Начисленные расходы по условным вкладам клиентов</v>
      </c>
      <c r="E547" s="10" t="str">
        <f>"1"</f>
        <v>1</v>
      </c>
      <c r="F547" s="10" t="str">
        <f>"8"</f>
        <v>8</v>
      </c>
      <c r="G547" s="10" t="str">
        <f>"1"</f>
        <v>1</v>
      </c>
      <c r="H547" s="9">
        <v>27580225.329999998</v>
      </c>
    </row>
    <row r="548" spans="1:8" x14ac:dyDescent="0.25">
      <c r="A548" s="7">
        <v>45107</v>
      </c>
      <c r="B548" s="10">
        <v>36</v>
      </c>
      <c r="C548" s="10" t="str">
        <f t="shared" si="98"/>
        <v>2719</v>
      </c>
      <c r="D548" s="11" t="str">
        <f t="shared" si="99"/>
        <v>Начисленные расходы по условным вкладам клиентов</v>
      </c>
      <c r="E548" s="10" t="str">
        <f>"1"</f>
        <v>1</v>
      </c>
      <c r="F548" s="10" t="str">
        <f>"9"</f>
        <v>9</v>
      </c>
      <c r="G548" s="10" t="str">
        <f>"1"</f>
        <v>1</v>
      </c>
      <c r="H548" s="9">
        <v>766826.75</v>
      </c>
    </row>
    <row r="549" spans="1:8" x14ac:dyDescent="0.25">
      <c r="A549" s="7">
        <v>45107</v>
      </c>
      <c r="B549" s="10">
        <v>36</v>
      </c>
      <c r="C549" s="10" t="str">
        <f t="shared" si="98"/>
        <v>2719</v>
      </c>
      <c r="D549" s="11" t="str">
        <f t="shared" si="99"/>
        <v>Начисленные расходы по условным вкладам клиентов</v>
      </c>
      <c r="E549" s="10" t="str">
        <f>"2"</f>
        <v>2</v>
      </c>
      <c r="F549" s="10" t="str">
        <f>"9"</f>
        <v>9</v>
      </c>
      <c r="G549" s="10" t="str">
        <f>"1"</f>
        <v>1</v>
      </c>
      <c r="H549" s="9">
        <v>103395.72</v>
      </c>
    </row>
    <row r="550" spans="1:8" x14ac:dyDescent="0.25">
      <c r="A550" s="7">
        <v>45107</v>
      </c>
      <c r="B550" s="10">
        <v>36</v>
      </c>
      <c r="C550" s="10" t="str">
        <f t="shared" si="98"/>
        <v>2719</v>
      </c>
      <c r="D550" s="11" t="str">
        <f t="shared" si="99"/>
        <v>Начисленные расходы по условным вкладам клиентов</v>
      </c>
      <c r="E550" s="10" t="str">
        <f>"1"</f>
        <v>1</v>
      </c>
      <c r="F550" s="10" t="str">
        <f>"7"</f>
        <v>7</v>
      </c>
      <c r="G550" s="10" t="str">
        <f>"2"</f>
        <v>2</v>
      </c>
      <c r="H550" s="9">
        <v>62057.23</v>
      </c>
    </row>
    <row r="551" spans="1:8" x14ac:dyDescent="0.25">
      <c r="A551" s="7">
        <v>45107</v>
      </c>
      <c r="B551" s="10">
        <v>36</v>
      </c>
      <c r="C551" s="10" t="str">
        <f t="shared" si="98"/>
        <v>2719</v>
      </c>
      <c r="D551" s="11" t="str">
        <f t="shared" si="99"/>
        <v>Начисленные расходы по условным вкладам клиентов</v>
      </c>
      <c r="E551" s="10" t="str">
        <f>"1"</f>
        <v>1</v>
      </c>
      <c r="F551" s="10" t="str">
        <f>"5"</f>
        <v>5</v>
      </c>
      <c r="G551" s="10" t="str">
        <f>"1"</f>
        <v>1</v>
      </c>
      <c r="H551" s="9">
        <v>1469223.36</v>
      </c>
    </row>
    <row r="552" spans="1:8" x14ac:dyDescent="0.25">
      <c r="A552" s="7">
        <v>45107</v>
      </c>
      <c r="B552" s="10">
        <v>36</v>
      </c>
      <c r="C552" s="10" t="str">
        <f t="shared" si="98"/>
        <v>2719</v>
      </c>
      <c r="D552" s="11" t="str">
        <f t="shared" si="99"/>
        <v>Начисленные расходы по условным вкладам клиентов</v>
      </c>
      <c r="E552" s="10" t="str">
        <f>"2"</f>
        <v>2</v>
      </c>
      <c r="F552" s="10" t="str">
        <f>"7"</f>
        <v>7</v>
      </c>
      <c r="G552" s="10" t="str">
        <f>"2"</f>
        <v>2</v>
      </c>
      <c r="H552" s="9">
        <v>13771721.220000001</v>
      </c>
    </row>
    <row r="553" spans="1:8" x14ac:dyDescent="0.25">
      <c r="A553" s="7">
        <v>45107</v>
      </c>
      <c r="B553" s="10">
        <v>36</v>
      </c>
      <c r="C553" s="10" t="str">
        <f t="shared" si="98"/>
        <v>2719</v>
      </c>
      <c r="D553" s="11" t="str">
        <f t="shared" si="99"/>
        <v>Начисленные расходы по условным вкладам клиентов</v>
      </c>
      <c r="E553" s="10" t="str">
        <f>"1"</f>
        <v>1</v>
      </c>
      <c r="F553" s="10" t="str">
        <f>"7"</f>
        <v>7</v>
      </c>
      <c r="G553" s="10" t="str">
        <f>"1"</f>
        <v>1</v>
      </c>
      <c r="H553" s="9">
        <v>80968710.329999998</v>
      </c>
    </row>
    <row r="554" spans="1:8" x14ac:dyDescent="0.25">
      <c r="A554" s="7">
        <v>45107</v>
      </c>
      <c r="B554" s="10">
        <v>36</v>
      </c>
      <c r="C554" s="10" t="str">
        <f t="shared" si="98"/>
        <v>2719</v>
      </c>
      <c r="D554" s="11" t="str">
        <f t="shared" si="99"/>
        <v>Начисленные расходы по условным вкладам клиентов</v>
      </c>
      <c r="E554" s="10" t="str">
        <f>"1"</f>
        <v>1</v>
      </c>
      <c r="F554" s="10" t="str">
        <f>"6"</f>
        <v>6</v>
      </c>
      <c r="G554" s="10" t="str">
        <f>"1"</f>
        <v>1</v>
      </c>
      <c r="H554" s="9">
        <v>2843910.23</v>
      </c>
    </row>
    <row r="555" spans="1:8" x14ac:dyDescent="0.25">
      <c r="A555" s="7">
        <v>45107</v>
      </c>
      <c r="B555" s="10">
        <v>36</v>
      </c>
      <c r="C555" s="10" t="str">
        <f t="shared" si="98"/>
        <v>2719</v>
      </c>
      <c r="D555" s="11" t="str">
        <f t="shared" si="99"/>
        <v>Начисленные расходы по условным вкладам клиентов</v>
      </c>
      <c r="E555" s="10" t="str">
        <f>"2"</f>
        <v>2</v>
      </c>
      <c r="F555" s="10" t="str">
        <f>"7"</f>
        <v>7</v>
      </c>
      <c r="G555" s="10" t="str">
        <f>"1"</f>
        <v>1</v>
      </c>
      <c r="H555" s="9">
        <v>284349.28999999998</v>
      </c>
    </row>
    <row r="556" spans="1:8" x14ac:dyDescent="0.25">
      <c r="A556" s="7">
        <v>45107</v>
      </c>
      <c r="B556" s="10">
        <v>36</v>
      </c>
      <c r="C556" s="10" t="str">
        <f t="shared" si="98"/>
        <v>2719</v>
      </c>
      <c r="D556" s="11" t="str">
        <f t="shared" si="99"/>
        <v>Начисленные расходы по условным вкладам клиентов</v>
      </c>
      <c r="E556" s="10" t="str">
        <f>"1"</f>
        <v>1</v>
      </c>
      <c r="F556" s="10" t="str">
        <f>"5"</f>
        <v>5</v>
      </c>
      <c r="G556" s="10" t="str">
        <f>"2"</f>
        <v>2</v>
      </c>
      <c r="H556" s="9">
        <v>41517.79</v>
      </c>
    </row>
    <row r="557" spans="1:8" x14ac:dyDescent="0.25">
      <c r="A557" s="7">
        <v>45107</v>
      </c>
      <c r="B557" s="10">
        <v>36</v>
      </c>
      <c r="C557" s="10" t="str">
        <f>"2720"</f>
        <v>2720</v>
      </c>
      <c r="D557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7" s="10" t="str">
        <f>"2"</f>
        <v>2</v>
      </c>
      <c r="F557" s="10" t="str">
        <f>"9"</f>
        <v>9</v>
      </c>
      <c r="G557" s="10" t="str">
        <f>"1"</f>
        <v>1</v>
      </c>
      <c r="H557" s="9">
        <v>10.33</v>
      </c>
    </row>
    <row r="558" spans="1:8" x14ac:dyDescent="0.25">
      <c r="A558" s="7">
        <v>45107</v>
      </c>
      <c r="B558" s="10">
        <v>36</v>
      </c>
      <c r="C558" s="10" t="str">
        <f>"2720"</f>
        <v>2720</v>
      </c>
      <c r="D558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8" s="10" t="str">
        <f>"1"</f>
        <v>1</v>
      </c>
      <c r="F558" s="10" t="str">
        <f>"9"</f>
        <v>9</v>
      </c>
      <c r="G558" s="10" t="str">
        <f>"2"</f>
        <v>2</v>
      </c>
      <c r="H558" s="9">
        <v>340.16</v>
      </c>
    </row>
    <row r="559" spans="1:8" x14ac:dyDescent="0.25">
      <c r="A559" s="7">
        <v>45107</v>
      </c>
      <c r="B559" s="10">
        <v>36</v>
      </c>
      <c r="C559" s="10" t="str">
        <f>"2720"</f>
        <v>2720</v>
      </c>
      <c r="D559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9" s="10" t="str">
        <f>"1"</f>
        <v>1</v>
      </c>
      <c r="F559" s="10" t="str">
        <f>"9"</f>
        <v>9</v>
      </c>
      <c r="G559" s="10" t="str">
        <f>"1"</f>
        <v>1</v>
      </c>
      <c r="H559" s="9">
        <v>31.95</v>
      </c>
    </row>
    <row r="560" spans="1:8" x14ac:dyDescent="0.25">
      <c r="A560" s="7">
        <v>45107</v>
      </c>
      <c r="B560" s="10">
        <v>36</v>
      </c>
      <c r="C560" s="10" t="str">
        <f t="shared" ref="C560:C576" si="100">"2721"</f>
        <v>2721</v>
      </c>
      <c r="D560" s="11" t="str">
        <f t="shared" ref="D560:D576" si="101">"Начисленные расходы по срочным вкладам клиентов"</f>
        <v>Начисленные расходы по срочным вкладам клиентов</v>
      </c>
      <c r="E560" s="10" t="str">
        <f>"1"</f>
        <v>1</v>
      </c>
      <c r="F560" s="10" t="str">
        <f>"7"</f>
        <v>7</v>
      </c>
      <c r="G560" s="10" t="str">
        <f>"3"</f>
        <v>3</v>
      </c>
      <c r="H560" s="9">
        <v>2193744.9500000002</v>
      </c>
    </row>
    <row r="561" spans="1:8" x14ac:dyDescent="0.25">
      <c r="A561" s="7">
        <v>45107</v>
      </c>
      <c r="B561" s="10">
        <v>36</v>
      </c>
      <c r="C561" s="10" t="str">
        <f t="shared" si="100"/>
        <v>2721</v>
      </c>
      <c r="D561" s="11" t="str">
        <f t="shared" si="101"/>
        <v>Начисленные расходы по срочным вкладам клиентов</v>
      </c>
      <c r="E561" s="10" t="str">
        <f>"2"</f>
        <v>2</v>
      </c>
      <c r="F561" s="10" t="str">
        <f>"9"</f>
        <v>9</v>
      </c>
      <c r="G561" s="10" t="str">
        <f>"1"</f>
        <v>1</v>
      </c>
      <c r="H561" s="9">
        <v>38575927.060000002</v>
      </c>
    </row>
    <row r="562" spans="1:8" x14ac:dyDescent="0.25">
      <c r="A562" s="7">
        <v>45107</v>
      </c>
      <c r="B562" s="10">
        <v>36</v>
      </c>
      <c r="C562" s="10" t="str">
        <f t="shared" si="100"/>
        <v>2721</v>
      </c>
      <c r="D562" s="11" t="str">
        <f t="shared" si="101"/>
        <v>Начисленные расходы по срочным вкладам клиентов</v>
      </c>
      <c r="E562" s="10" t="str">
        <f>"1"</f>
        <v>1</v>
      </c>
      <c r="F562" s="10" t="str">
        <f>"9"</f>
        <v>9</v>
      </c>
      <c r="G562" s="10" t="str">
        <f>"3"</f>
        <v>3</v>
      </c>
      <c r="H562" s="9">
        <v>410974.71</v>
      </c>
    </row>
    <row r="563" spans="1:8" x14ac:dyDescent="0.25">
      <c r="A563" s="7">
        <v>45107</v>
      </c>
      <c r="B563" s="10">
        <v>36</v>
      </c>
      <c r="C563" s="10" t="str">
        <f t="shared" si="100"/>
        <v>2721</v>
      </c>
      <c r="D563" s="11" t="str">
        <f t="shared" si="101"/>
        <v>Начисленные расходы по срочным вкладам клиентов</v>
      </c>
      <c r="E563" s="10" t="str">
        <f>"1"</f>
        <v>1</v>
      </c>
      <c r="F563" s="10" t="str">
        <f>"7"</f>
        <v>7</v>
      </c>
      <c r="G563" s="10" t="str">
        <f>"1"</f>
        <v>1</v>
      </c>
      <c r="H563" s="9">
        <v>842776632.75</v>
      </c>
    </row>
    <row r="564" spans="1:8" x14ac:dyDescent="0.25">
      <c r="A564" s="7">
        <v>45107</v>
      </c>
      <c r="B564" s="10">
        <v>36</v>
      </c>
      <c r="C564" s="10" t="str">
        <f t="shared" si="100"/>
        <v>2721</v>
      </c>
      <c r="D564" s="11" t="str">
        <f t="shared" si="101"/>
        <v>Начисленные расходы по срочным вкладам клиентов</v>
      </c>
      <c r="E564" s="10" t="str">
        <f>"1"</f>
        <v>1</v>
      </c>
      <c r="F564" s="10" t="str">
        <f>"9"</f>
        <v>9</v>
      </c>
      <c r="G564" s="10" t="str">
        <f>"1"</f>
        <v>1</v>
      </c>
      <c r="H564" s="9">
        <v>2463841388.48</v>
      </c>
    </row>
    <row r="565" spans="1:8" x14ac:dyDescent="0.25">
      <c r="A565" s="7">
        <v>45107</v>
      </c>
      <c r="B565" s="10">
        <v>36</v>
      </c>
      <c r="C565" s="10" t="str">
        <f t="shared" si="100"/>
        <v>2721</v>
      </c>
      <c r="D565" s="11" t="str">
        <f t="shared" si="101"/>
        <v>Начисленные расходы по срочным вкладам клиентов</v>
      </c>
      <c r="E565" s="10" t="str">
        <f>"1"</f>
        <v>1</v>
      </c>
      <c r="F565" s="10" t="str">
        <f>"5"</f>
        <v>5</v>
      </c>
      <c r="G565" s="10" t="str">
        <f>"1"</f>
        <v>1</v>
      </c>
      <c r="H565" s="9">
        <v>624780870.5</v>
      </c>
    </row>
    <row r="566" spans="1:8" x14ac:dyDescent="0.25">
      <c r="A566" s="7">
        <v>45107</v>
      </c>
      <c r="B566" s="10">
        <v>36</v>
      </c>
      <c r="C566" s="10" t="str">
        <f t="shared" si="100"/>
        <v>2721</v>
      </c>
      <c r="D566" s="11" t="str">
        <f t="shared" si="101"/>
        <v>Начисленные расходы по срочным вкладам клиентов</v>
      </c>
      <c r="E566" s="10" t="str">
        <f>"1"</f>
        <v>1</v>
      </c>
      <c r="F566" s="10" t="str">
        <f>"8"</f>
        <v>8</v>
      </c>
      <c r="G566" s="10" t="str">
        <f>"1"</f>
        <v>1</v>
      </c>
      <c r="H566" s="9">
        <v>47648052.950000003</v>
      </c>
    </row>
    <row r="567" spans="1:8" x14ac:dyDescent="0.25">
      <c r="A567" s="7">
        <v>45107</v>
      </c>
      <c r="B567" s="10">
        <v>36</v>
      </c>
      <c r="C567" s="10" t="str">
        <f t="shared" si="100"/>
        <v>2721</v>
      </c>
      <c r="D567" s="11" t="str">
        <f t="shared" si="101"/>
        <v>Начисленные расходы по срочным вкладам клиентов</v>
      </c>
      <c r="E567" s="10" t="str">
        <f>"2"</f>
        <v>2</v>
      </c>
      <c r="F567" s="10" t="str">
        <f>"7"</f>
        <v>7</v>
      </c>
      <c r="G567" s="10" t="str">
        <f>"3"</f>
        <v>3</v>
      </c>
      <c r="H567" s="9">
        <v>124930.58</v>
      </c>
    </row>
    <row r="568" spans="1:8" x14ac:dyDescent="0.25">
      <c r="A568" s="7">
        <v>45107</v>
      </c>
      <c r="B568" s="10">
        <v>36</v>
      </c>
      <c r="C568" s="10" t="str">
        <f t="shared" si="100"/>
        <v>2721</v>
      </c>
      <c r="D568" s="11" t="str">
        <f t="shared" si="101"/>
        <v>Начисленные расходы по срочным вкладам клиентов</v>
      </c>
      <c r="E568" s="10" t="str">
        <f>"2"</f>
        <v>2</v>
      </c>
      <c r="F568" s="10" t="str">
        <f>"9"</f>
        <v>9</v>
      </c>
      <c r="G568" s="10" t="str">
        <f>"2"</f>
        <v>2</v>
      </c>
      <c r="H568" s="9">
        <v>3496183.46</v>
      </c>
    </row>
    <row r="569" spans="1:8" x14ac:dyDescent="0.25">
      <c r="A569" s="7">
        <v>45107</v>
      </c>
      <c r="B569" s="10">
        <v>36</v>
      </c>
      <c r="C569" s="10" t="str">
        <f t="shared" si="100"/>
        <v>2721</v>
      </c>
      <c r="D569" s="11" t="str">
        <f t="shared" si="101"/>
        <v>Начисленные расходы по срочным вкладам клиентов</v>
      </c>
      <c r="E569" s="10" t="str">
        <f>"1"</f>
        <v>1</v>
      </c>
      <c r="F569" s="10" t="str">
        <f>"8"</f>
        <v>8</v>
      </c>
      <c r="G569" s="10" t="str">
        <f>"2"</f>
        <v>2</v>
      </c>
      <c r="H569" s="9">
        <v>39458098.210000001</v>
      </c>
    </row>
    <row r="570" spans="1:8" x14ac:dyDescent="0.25">
      <c r="A570" s="7">
        <v>45107</v>
      </c>
      <c r="B570" s="10">
        <v>36</v>
      </c>
      <c r="C570" s="10" t="str">
        <f t="shared" si="100"/>
        <v>2721</v>
      </c>
      <c r="D570" s="11" t="str">
        <f t="shared" si="101"/>
        <v>Начисленные расходы по срочным вкладам клиентов</v>
      </c>
      <c r="E570" s="10" t="str">
        <f>"2"</f>
        <v>2</v>
      </c>
      <c r="F570" s="10" t="str">
        <f>"9"</f>
        <v>9</v>
      </c>
      <c r="G570" s="10" t="str">
        <f>"3"</f>
        <v>3</v>
      </c>
      <c r="H570" s="9">
        <v>286292.83</v>
      </c>
    </row>
    <row r="571" spans="1:8" x14ac:dyDescent="0.25">
      <c r="A571" s="7">
        <v>45107</v>
      </c>
      <c r="B571" s="10">
        <v>36</v>
      </c>
      <c r="C571" s="10" t="str">
        <f t="shared" si="100"/>
        <v>2721</v>
      </c>
      <c r="D571" s="11" t="str">
        <f t="shared" si="101"/>
        <v>Начисленные расходы по срочным вкладам клиентов</v>
      </c>
      <c r="E571" s="10" t="str">
        <f>"1"</f>
        <v>1</v>
      </c>
      <c r="F571" s="10" t="str">
        <f>"6"</f>
        <v>6</v>
      </c>
      <c r="G571" s="10" t="str">
        <f>"1"</f>
        <v>1</v>
      </c>
      <c r="H571" s="9">
        <v>229371780.78</v>
      </c>
    </row>
    <row r="572" spans="1:8" x14ac:dyDescent="0.25">
      <c r="A572" s="7">
        <v>45107</v>
      </c>
      <c r="B572" s="10">
        <v>36</v>
      </c>
      <c r="C572" s="10" t="str">
        <f t="shared" si="100"/>
        <v>2721</v>
      </c>
      <c r="D572" s="11" t="str">
        <f t="shared" si="101"/>
        <v>Начисленные расходы по срочным вкладам клиентов</v>
      </c>
      <c r="E572" s="10" t="str">
        <f>"1"</f>
        <v>1</v>
      </c>
      <c r="F572" s="10" t="str">
        <f>"9"</f>
        <v>9</v>
      </c>
      <c r="G572" s="10" t="str">
        <f>"2"</f>
        <v>2</v>
      </c>
      <c r="H572" s="9">
        <v>75336486.930000007</v>
      </c>
    </row>
    <row r="573" spans="1:8" x14ac:dyDescent="0.25">
      <c r="A573" s="7">
        <v>45107</v>
      </c>
      <c r="B573" s="10">
        <v>36</v>
      </c>
      <c r="C573" s="10" t="str">
        <f t="shared" si="100"/>
        <v>2721</v>
      </c>
      <c r="D573" s="11" t="str">
        <f t="shared" si="101"/>
        <v>Начисленные расходы по срочным вкладам клиентов</v>
      </c>
      <c r="E573" s="10" t="str">
        <f>"1"</f>
        <v>1</v>
      </c>
      <c r="F573" s="10" t="str">
        <f>"7"</f>
        <v>7</v>
      </c>
      <c r="G573" s="10" t="str">
        <f>"2"</f>
        <v>2</v>
      </c>
      <c r="H573" s="9">
        <v>58036867.549999997</v>
      </c>
    </row>
    <row r="574" spans="1:8" x14ac:dyDescent="0.25">
      <c r="A574" s="7">
        <v>45107</v>
      </c>
      <c r="B574" s="10">
        <v>36</v>
      </c>
      <c r="C574" s="10" t="str">
        <f t="shared" si="100"/>
        <v>2721</v>
      </c>
      <c r="D574" s="11" t="str">
        <f t="shared" si="101"/>
        <v>Начисленные расходы по срочным вкладам клиентов</v>
      </c>
      <c r="E574" s="10" t="str">
        <f>"2"</f>
        <v>2</v>
      </c>
      <c r="F574" s="10" t="str">
        <f>"7"</f>
        <v>7</v>
      </c>
      <c r="G574" s="10" t="str">
        <f>"2"</f>
        <v>2</v>
      </c>
      <c r="H574" s="9">
        <v>7288040.0800000001</v>
      </c>
    </row>
    <row r="575" spans="1:8" x14ac:dyDescent="0.25">
      <c r="A575" s="7">
        <v>45107</v>
      </c>
      <c r="B575" s="10">
        <v>36</v>
      </c>
      <c r="C575" s="10" t="str">
        <f t="shared" si="100"/>
        <v>2721</v>
      </c>
      <c r="D575" s="11" t="str">
        <f t="shared" si="101"/>
        <v>Начисленные расходы по срочным вкладам клиентов</v>
      </c>
      <c r="E575" s="10" t="str">
        <f>"2"</f>
        <v>2</v>
      </c>
      <c r="F575" s="10" t="str">
        <f>"7"</f>
        <v>7</v>
      </c>
      <c r="G575" s="10" t="str">
        <f>"1"</f>
        <v>1</v>
      </c>
      <c r="H575" s="9">
        <v>91213.78</v>
      </c>
    </row>
    <row r="576" spans="1:8" x14ac:dyDescent="0.25">
      <c r="A576" s="7">
        <v>45107</v>
      </c>
      <c r="B576" s="10">
        <v>36</v>
      </c>
      <c r="C576" s="10" t="str">
        <f t="shared" si="100"/>
        <v>2721</v>
      </c>
      <c r="D576" s="11" t="str">
        <f t="shared" si="101"/>
        <v>Начисленные расходы по срочным вкладам клиентов</v>
      </c>
      <c r="E576" s="10" t="str">
        <f>"1"</f>
        <v>1</v>
      </c>
      <c r="F576" s="10" t="str">
        <f>"5"</f>
        <v>5</v>
      </c>
      <c r="G576" s="10" t="str">
        <f>"2"</f>
        <v>2</v>
      </c>
      <c r="H576" s="9">
        <v>65242.9</v>
      </c>
    </row>
    <row r="577" spans="1:8" ht="30" x14ac:dyDescent="0.25">
      <c r="A577" s="7">
        <v>45107</v>
      </c>
      <c r="B577" s="10">
        <v>36</v>
      </c>
      <c r="C577" s="10" t="str">
        <f>"2723"</f>
        <v>2723</v>
      </c>
      <c r="D577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7" s="10" t="str">
        <f>"2"</f>
        <v>2</v>
      </c>
      <c r="F577" s="10" t="str">
        <f>"9"</f>
        <v>9</v>
      </c>
      <c r="G577" s="10" t="str">
        <f>"2"</f>
        <v>2</v>
      </c>
      <c r="H577" s="9">
        <v>17267.78</v>
      </c>
    </row>
    <row r="578" spans="1:8" ht="30" x14ac:dyDescent="0.25">
      <c r="A578" s="7">
        <v>45107</v>
      </c>
      <c r="B578" s="10">
        <v>36</v>
      </c>
      <c r="C578" s="10" t="str">
        <f>"2723"</f>
        <v>2723</v>
      </c>
      <c r="D578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8" s="10" t="str">
        <f t="shared" ref="E578:E584" si="102">"1"</f>
        <v>1</v>
      </c>
      <c r="F578" s="10" t="str">
        <f>"9"</f>
        <v>9</v>
      </c>
      <c r="G578" s="10" t="str">
        <f>"1"</f>
        <v>1</v>
      </c>
      <c r="H578" s="9">
        <v>92899060.390000001</v>
      </c>
    </row>
    <row r="579" spans="1:8" ht="30" x14ac:dyDescent="0.25">
      <c r="A579" s="7">
        <v>45107</v>
      </c>
      <c r="B579" s="10">
        <v>36</v>
      </c>
      <c r="C579" s="10" t="str">
        <f>"2723"</f>
        <v>2723</v>
      </c>
      <c r="D579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9" s="10" t="str">
        <f t="shared" si="102"/>
        <v>1</v>
      </c>
      <c r="F579" s="10" t="str">
        <f>"9"</f>
        <v>9</v>
      </c>
      <c r="G579" s="10" t="str">
        <f>"2"</f>
        <v>2</v>
      </c>
      <c r="H579" s="9">
        <v>2226767.0499999998</v>
      </c>
    </row>
    <row r="580" spans="1:8" ht="30" x14ac:dyDescent="0.25">
      <c r="A580" s="7">
        <v>45107</v>
      </c>
      <c r="B580" s="10">
        <v>36</v>
      </c>
      <c r="C580" s="10" t="str">
        <f>"2723"</f>
        <v>2723</v>
      </c>
      <c r="D580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80" s="10" t="str">
        <f t="shared" si="102"/>
        <v>1</v>
      </c>
      <c r="F580" s="10" t="str">
        <f>"7"</f>
        <v>7</v>
      </c>
      <c r="G580" s="10" t="str">
        <f>"1"</f>
        <v>1</v>
      </c>
      <c r="H580" s="9">
        <v>59676875.600000001</v>
      </c>
    </row>
    <row r="581" spans="1:8" ht="30" x14ac:dyDescent="0.25">
      <c r="A581" s="7">
        <v>45107</v>
      </c>
      <c r="B581" s="10">
        <v>36</v>
      </c>
      <c r="C581" s="10" t="str">
        <f>"2723"</f>
        <v>2723</v>
      </c>
      <c r="D581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81" s="10" t="str">
        <f t="shared" si="102"/>
        <v>1</v>
      </c>
      <c r="F581" s="10" t="str">
        <f>"7"</f>
        <v>7</v>
      </c>
      <c r="G581" s="10" t="str">
        <f>"2"</f>
        <v>2</v>
      </c>
      <c r="H581" s="9">
        <v>7864718.8300000001</v>
      </c>
    </row>
    <row r="582" spans="1:8" x14ac:dyDescent="0.25">
      <c r="A582" s="7">
        <v>45107</v>
      </c>
      <c r="B582" s="10">
        <v>36</v>
      </c>
      <c r="C582" s="10" t="str">
        <f t="shared" ref="C582:C590" si="103">"2724"</f>
        <v>2724</v>
      </c>
      <c r="D582" s="11" t="str">
        <f t="shared" ref="D582:D590" si="104">"Начисленные расходы по сберегательным вкладам клиентов"</f>
        <v>Начисленные расходы по сберегательным вкладам клиентов</v>
      </c>
      <c r="E582" s="10" t="str">
        <f t="shared" si="102"/>
        <v>1</v>
      </c>
      <c r="F582" s="10" t="str">
        <f>"9"</f>
        <v>9</v>
      </c>
      <c r="G582" s="10" t="str">
        <f>"2"</f>
        <v>2</v>
      </c>
      <c r="H582" s="9">
        <v>13010.79</v>
      </c>
    </row>
    <row r="583" spans="1:8" x14ac:dyDescent="0.25">
      <c r="A583" s="7">
        <v>45107</v>
      </c>
      <c r="B583" s="10">
        <v>36</v>
      </c>
      <c r="C583" s="10" t="str">
        <f t="shared" si="103"/>
        <v>2724</v>
      </c>
      <c r="D583" s="11" t="str">
        <f t="shared" si="104"/>
        <v>Начисленные расходы по сберегательным вкладам клиентов</v>
      </c>
      <c r="E583" s="10" t="str">
        <f t="shared" si="102"/>
        <v>1</v>
      </c>
      <c r="F583" s="10" t="str">
        <f>"9"</f>
        <v>9</v>
      </c>
      <c r="G583" s="10" t="str">
        <f>"1"</f>
        <v>1</v>
      </c>
      <c r="H583" s="9">
        <v>97932590.489999995</v>
      </c>
    </row>
    <row r="584" spans="1:8" x14ac:dyDescent="0.25">
      <c r="A584" s="7">
        <v>45107</v>
      </c>
      <c r="B584" s="10">
        <v>36</v>
      </c>
      <c r="C584" s="10" t="str">
        <f t="shared" si="103"/>
        <v>2724</v>
      </c>
      <c r="D584" s="11" t="str">
        <f t="shared" si="104"/>
        <v>Начисленные расходы по сберегательным вкладам клиентов</v>
      </c>
      <c r="E584" s="10" t="str">
        <f t="shared" si="102"/>
        <v>1</v>
      </c>
      <c r="F584" s="10" t="str">
        <f>"8"</f>
        <v>8</v>
      </c>
      <c r="G584" s="10" t="str">
        <f>"1"</f>
        <v>1</v>
      </c>
      <c r="H584" s="9">
        <v>747988.63</v>
      </c>
    </row>
    <row r="585" spans="1:8" x14ac:dyDescent="0.25">
      <c r="A585" s="7">
        <v>45107</v>
      </c>
      <c r="B585" s="10">
        <v>36</v>
      </c>
      <c r="C585" s="10" t="str">
        <f t="shared" si="103"/>
        <v>2724</v>
      </c>
      <c r="D585" s="11" t="str">
        <f t="shared" si="104"/>
        <v>Начисленные расходы по сберегательным вкладам клиентов</v>
      </c>
      <c r="E585" s="10" t="str">
        <f>"2"</f>
        <v>2</v>
      </c>
      <c r="F585" s="10" t="str">
        <f>"9"</f>
        <v>9</v>
      </c>
      <c r="G585" s="10" t="str">
        <f>"1"</f>
        <v>1</v>
      </c>
      <c r="H585" s="9">
        <v>1605216.11</v>
      </c>
    </row>
    <row r="586" spans="1:8" x14ac:dyDescent="0.25">
      <c r="A586" s="7">
        <v>45107</v>
      </c>
      <c r="B586" s="10">
        <v>36</v>
      </c>
      <c r="C586" s="10" t="str">
        <f t="shared" si="103"/>
        <v>2724</v>
      </c>
      <c r="D586" s="11" t="str">
        <f t="shared" si="104"/>
        <v>Начисленные расходы по сберегательным вкладам клиентов</v>
      </c>
      <c r="E586" s="10" t="str">
        <f>"1"</f>
        <v>1</v>
      </c>
      <c r="F586" s="10" t="str">
        <f>"7"</f>
        <v>7</v>
      </c>
      <c r="G586" s="10" t="str">
        <f>"3"</f>
        <v>3</v>
      </c>
      <c r="H586" s="9">
        <v>3537.86</v>
      </c>
    </row>
    <row r="587" spans="1:8" x14ac:dyDescent="0.25">
      <c r="A587" s="7">
        <v>45107</v>
      </c>
      <c r="B587" s="10">
        <v>36</v>
      </c>
      <c r="C587" s="10" t="str">
        <f t="shared" si="103"/>
        <v>2724</v>
      </c>
      <c r="D587" s="11" t="str">
        <f t="shared" si="104"/>
        <v>Начисленные расходы по сберегательным вкладам клиентов</v>
      </c>
      <c r="E587" s="10" t="str">
        <f>"1"</f>
        <v>1</v>
      </c>
      <c r="F587" s="10" t="str">
        <f>"7"</f>
        <v>7</v>
      </c>
      <c r="G587" s="10" t="str">
        <f>"2"</f>
        <v>2</v>
      </c>
      <c r="H587" s="9">
        <v>525065.46</v>
      </c>
    </row>
    <row r="588" spans="1:8" x14ac:dyDescent="0.25">
      <c r="A588" s="7">
        <v>45107</v>
      </c>
      <c r="B588" s="10">
        <v>36</v>
      </c>
      <c r="C588" s="10" t="str">
        <f t="shared" si="103"/>
        <v>2724</v>
      </c>
      <c r="D588" s="11" t="str">
        <f t="shared" si="104"/>
        <v>Начисленные расходы по сберегательным вкладам клиентов</v>
      </c>
      <c r="E588" s="10" t="str">
        <f>"2"</f>
        <v>2</v>
      </c>
      <c r="F588" s="10" t="str">
        <f>"9"</f>
        <v>9</v>
      </c>
      <c r="G588" s="10" t="str">
        <f>"2"</f>
        <v>2</v>
      </c>
      <c r="H588" s="9">
        <v>2453.5</v>
      </c>
    </row>
    <row r="589" spans="1:8" x14ac:dyDescent="0.25">
      <c r="A589" s="7">
        <v>45107</v>
      </c>
      <c r="B589" s="10">
        <v>36</v>
      </c>
      <c r="C589" s="10" t="str">
        <f t="shared" si="103"/>
        <v>2724</v>
      </c>
      <c r="D589" s="11" t="str">
        <f t="shared" si="104"/>
        <v>Начисленные расходы по сберегательным вкладам клиентов</v>
      </c>
      <c r="E589" s="10" t="str">
        <f t="shared" ref="E589:E599" si="105">"1"</f>
        <v>1</v>
      </c>
      <c r="F589" s="10" t="str">
        <f>"8"</f>
        <v>8</v>
      </c>
      <c r="G589" s="10" t="str">
        <f>"2"</f>
        <v>2</v>
      </c>
      <c r="H589" s="9">
        <v>760338.98</v>
      </c>
    </row>
    <row r="590" spans="1:8" x14ac:dyDescent="0.25">
      <c r="A590" s="7">
        <v>45107</v>
      </c>
      <c r="B590" s="10">
        <v>36</v>
      </c>
      <c r="C590" s="10" t="str">
        <f t="shared" si="103"/>
        <v>2724</v>
      </c>
      <c r="D590" s="11" t="str">
        <f t="shared" si="104"/>
        <v>Начисленные расходы по сберегательным вкладам клиентов</v>
      </c>
      <c r="E590" s="10" t="str">
        <f t="shared" si="105"/>
        <v>1</v>
      </c>
      <c r="F590" s="10" t="str">
        <f>"7"</f>
        <v>7</v>
      </c>
      <c r="G590" s="10" t="str">
        <f>"1"</f>
        <v>1</v>
      </c>
      <c r="H590" s="9">
        <v>22637131.449999999</v>
      </c>
    </row>
    <row r="591" spans="1:8" x14ac:dyDescent="0.25">
      <c r="A591" s="7">
        <v>45107</v>
      </c>
      <c r="B591" s="10">
        <v>36</v>
      </c>
      <c r="C591" s="10" t="str">
        <f>"2725"</f>
        <v>2725</v>
      </c>
      <c r="D591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1" s="10" t="str">
        <f t="shared" si="105"/>
        <v>1</v>
      </c>
      <c r="F591" s="10" t="str">
        <f>"5"</f>
        <v>5</v>
      </c>
      <c r="G591" s="10" t="str">
        <f>"1"</f>
        <v>1</v>
      </c>
      <c r="H591" s="9">
        <v>99953900.579999998</v>
      </c>
    </row>
    <row r="592" spans="1:8" x14ac:dyDescent="0.25">
      <c r="A592" s="7">
        <v>45107</v>
      </c>
      <c r="B592" s="10">
        <v>36</v>
      </c>
      <c r="C592" s="10" t="str">
        <f>"2725"</f>
        <v>2725</v>
      </c>
      <c r="D592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2" s="10" t="str">
        <f t="shared" si="105"/>
        <v>1</v>
      </c>
      <c r="F592" s="10" t="str">
        <f>"5"</f>
        <v>5</v>
      </c>
      <c r="G592" s="10" t="str">
        <f>"2"</f>
        <v>2</v>
      </c>
      <c r="H592" s="9">
        <v>90199592.099999994</v>
      </c>
    </row>
    <row r="593" spans="1:8" ht="30" x14ac:dyDescent="0.25">
      <c r="A593" s="7">
        <v>45107</v>
      </c>
      <c r="B593" s="10">
        <v>36</v>
      </c>
      <c r="C593" s="10" t="str">
        <f>"2730"</f>
        <v>2730</v>
      </c>
      <c r="D593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93" s="10" t="str">
        <f t="shared" si="105"/>
        <v>1</v>
      </c>
      <c r="F593" s="10" t="str">
        <f>"5"</f>
        <v>5</v>
      </c>
      <c r="G593" s="10" t="str">
        <f t="shared" ref="G593:G603" si="106">"1"</f>
        <v>1</v>
      </c>
      <c r="H593" s="9">
        <v>3113124511.7800002</v>
      </c>
    </row>
    <row r="594" spans="1:8" x14ac:dyDescent="0.25">
      <c r="A594" s="7">
        <v>45107</v>
      </c>
      <c r="B594" s="10">
        <v>36</v>
      </c>
      <c r="C594" s="10" t="str">
        <f>"2756"</f>
        <v>2756</v>
      </c>
      <c r="D594" s="11" t="str">
        <f>"Начисленные расходы по субординированным облигациям"</f>
        <v>Начисленные расходы по субординированным облигациям</v>
      </c>
      <c r="E594" s="10" t="str">
        <f t="shared" si="105"/>
        <v>1</v>
      </c>
      <c r="F594" s="10" t="str">
        <f>"5"</f>
        <v>5</v>
      </c>
      <c r="G594" s="10" t="str">
        <f t="shared" si="106"/>
        <v>1</v>
      </c>
      <c r="H594" s="9">
        <v>7347218416.9700003</v>
      </c>
    </row>
    <row r="595" spans="1:8" ht="30" x14ac:dyDescent="0.25">
      <c r="A595" s="7">
        <v>45107</v>
      </c>
      <c r="B595" s="10">
        <v>36</v>
      </c>
      <c r="C595" s="10" t="str">
        <f t="shared" ref="C595:C601" si="107">"2770"</f>
        <v>2770</v>
      </c>
      <c r="D595" s="11" t="str">
        <f t="shared" ref="D595:D601" si="10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95" s="10" t="str">
        <f t="shared" si="105"/>
        <v>1</v>
      </c>
      <c r="F595" s="10" t="str">
        <f>"9"</f>
        <v>9</v>
      </c>
      <c r="G595" s="10" t="str">
        <f t="shared" si="106"/>
        <v>1</v>
      </c>
      <c r="H595" s="9">
        <v>48458769.939999998</v>
      </c>
    </row>
    <row r="596" spans="1:8" ht="30" x14ac:dyDescent="0.25">
      <c r="A596" s="7">
        <v>45107</v>
      </c>
      <c r="B596" s="10">
        <v>36</v>
      </c>
      <c r="C596" s="10" t="str">
        <f t="shared" si="107"/>
        <v>2770</v>
      </c>
      <c r="D596" s="11" t="str">
        <f t="shared" si="108"/>
        <v>Начисленные расходы по административно-хозяйственной деятельности</v>
      </c>
      <c r="E596" s="10" t="str">
        <f t="shared" si="105"/>
        <v>1</v>
      </c>
      <c r="F596" s="10" t="str">
        <f>"7"</f>
        <v>7</v>
      </c>
      <c r="G596" s="10" t="str">
        <f t="shared" si="106"/>
        <v>1</v>
      </c>
      <c r="H596" s="9">
        <v>660741403.69000006</v>
      </c>
    </row>
    <row r="597" spans="1:8" ht="30" x14ac:dyDescent="0.25">
      <c r="A597" s="7">
        <v>45107</v>
      </c>
      <c r="B597" s="10">
        <v>36</v>
      </c>
      <c r="C597" s="10" t="str">
        <f t="shared" si="107"/>
        <v>2770</v>
      </c>
      <c r="D597" s="11" t="str">
        <f t="shared" si="108"/>
        <v>Начисленные расходы по административно-хозяйственной деятельности</v>
      </c>
      <c r="E597" s="10" t="str">
        <f t="shared" si="105"/>
        <v>1</v>
      </c>
      <c r="F597" s="10" t="str">
        <f>"5"</f>
        <v>5</v>
      </c>
      <c r="G597" s="10" t="str">
        <f t="shared" si="106"/>
        <v>1</v>
      </c>
      <c r="H597" s="9">
        <v>7125032.8300000001</v>
      </c>
    </row>
    <row r="598" spans="1:8" ht="30" x14ac:dyDescent="0.25">
      <c r="A598" s="7">
        <v>45107</v>
      </c>
      <c r="B598" s="10">
        <v>36</v>
      </c>
      <c r="C598" s="10" t="str">
        <f t="shared" si="107"/>
        <v>2770</v>
      </c>
      <c r="D598" s="11" t="str">
        <f t="shared" si="108"/>
        <v>Начисленные расходы по административно-хозяйственной деятельности</v>
      </c>
      <c r="E598" s="10" t="str">
        <f t="shared" si="105"/>
        <v>1</v>
      </c>
      <c r="F598" s="10" t="str">
        <f>"4"</f>
        <v>4</v>
      </c>
      <c r="G598" s="10" t="str">
        <f t="shared" si="106"/>
        <v>1</v>
      </c>
      <c r="H598" s="9">
        <v>239918346.06999999</v>
      </c>
    </row>
    <row r="599" spans="1:8" ht="30" x14ac:dyDescent="0.25">
      <c r="A599" s="7">
        <v>45107</v>
      </c>
      <c r="B599" s="10">
        <v>36</v>
      </c>
      <c r="C599" s="10" t="str">
        <f t="shared" si="107"/>
        <v>2770</v>
      </c>
      <c r="D599" s="11" t="str">
        <f t="shared" si="108"/>
        <v>Начисленные расходы по административно-хозяйственной деятельности</v>
      </c>
      <c r="E599" s="10" t="str">
        <f t="shared" si="105"/>
        <v>1</v>
      </c>
      <c r="F599" s="10" t="str">
        <f>"6"</f>
        <v>6</v>
      </c>
      <c r="G599" s="10" t="str">
        <f t="shared" si="106"/>
        <v>1</v>
      </c>
      <c r="H599" s="9">
        <v>43999505.619999997</v>
      </c>
    </row>
    <row r="600" spans="1:8" ht="30" x14ac:dyDescent="0.25">
      <c r="A600" s="7">
        <v>45107</v>
      </c>
      <c r="B600" s="10">
        <v>36</v>
      </c>
      <c r="C600" s="10" t="str">
        <f t="shared" si="107"/>
        <v>2770</v>
      </c>
      <c r="D600" s="11" t="str">
        <f t="shared" si="108"/>
        <v>Начисленные расходы по административно-хозяйственной деятельности</v>
      </c>
      <c r="E600" s="10" t="str">
        <f>"2"</f>
        <v>2</v>
      </c>
      <c r="F600" s="10" t="str">
        <f>"7"</f>
        <v>7</v>
      </c>
      <c r="G600" s="10" t="str">
        <f t="shared" si="106"/>
        <v>1</v>
      </c>
      <c r="H600" s="9">
        <v>575633817.65999997</v>
      </c>
    </row>
    <row r="601" spans="1:8" ht="30" x14ac:dyDescent="0.25">
      <c r="A601" s="7">
        <v>45107</v>
      </c>
      <c r="B601" s="10">
        <v>36</v>
      </c>
      <c r="C601" s="10" t="str">
        <f t="shared" si="107"/>
        <v>2770</v>
      </c>
      <c r="D601" s="11" t="str">
        <f t="shared" si="108"/>
        <v>Начисленные расходы по административно-хозяйственной деятельности</v>
      </c>
      <c r="E601" s="10" t="str">
        <f>"1"</f>
        <v>1</v>
      </c>
      <c r="F601" s="10" t="str">
        <f>"8"</f>
        <v>8</v>
      </c>
      <c r="G601" s="10" t="str">
        <f t="shared" si="106"/>
        <v>1</v>
      </c>
      <c r="H601" s="9">
        <v>2185174.6</v>
      </c>
    </row>
    <row r="602" spans="1:8" x14ac:dyDescent="0.25">
      <c r="A602" s="7">
        <v>45107</v>
      </c>
      <c r="B602" s="10">
        <v>36</v>
      </c>
      <c r="C602" s="10" t="str">
        <f>"2792"</f>
        <v>2792</v>
      </c>
      <c r="D602" s="11" t="str">
        <f>"Предоплата вознаграждения по предоставленным займам"</f>
        <v>Предоплата вознаграждения по предоставленным займам</v>
      </c>
      <c r="E602" s="10" t="str">
        <f>"1"</f>
        <v>1</v>
      </c>
      <c r="F602" s="10" t="str">
        <f>"1"</f>
        <v>1</v>
      </c>
      <c r="G602" s="10" t="str">
        <f t="shared" si="106"/>
        <v>1</v>
      </c>
      <c r="H602" s="9">
        <v>195747076.69</v>
      </c>
    </row>
    <row r="603" spans="1:8" x14ac:dyDescent="0.25">
      <c r="A603" s="7">
        <v>45107</v>
      </c>
      <c r="B603" s="10">
        <v>36</v>
      </c>
      <c r="C603" s="10" t="str">
        <f t="shared" ref="C603:C613" si="109">"2794"</f>
        <v>2794</v>
      </c>
      <c r="D603" s="11" t="str">
        <f t="shared" ref="D603:D613" si="110">"Доходы будущих периодов"</f>
        <v>Доходы будущих периодов</v>
      </c>
      <c r="E603" s="10" t="str">
        <f>"2"</f>
        <v>2</v>
      </c>
      <c r="F603" s="10" t="str">
        <f>"9"</f>
        <v>9</v>
      </c>
      <c r="G603" s="10" t="str">
        <f t="shared" si="106"/>
        <v>1</v>
      </c>
      <c r="H603" s="9">
        <v>2046377.43</v>
      </c>
    </row>
    <row r="604" spans="1:8" x14ac:dyDescent="0.25">
      <c r="A604" s="7">
        <v>45107</v>
      </c>
      <c r="B604" s="10">
        <v>36</v>
      </c>
      <c r="C604" s="10" t="str">
        <f t="shared" si="109"/>
        <v>2794</v>
      </c>
      <c r="D604" s="11" t="str">
        <f t="shared" si="110"/>
        <v>Доходы будущих периодов</v>
      </c>
      <c r="E604" s="10" t="str">
        <f>"2"</f>
        <v>2</v>
      </c>
      <c r="F604" s="10" t="str">
        <f>"5"</f>
        <v>5</v>
      </c>
      <c r="G604" s="10" t="str">
        <f>"2"</f>
        <v>2</v>
      </c>
      <c r="H604" s="9">
        <v>188136652.68000001</v>
      </c>
    </row>
    <row r="605" spans="1:8" x14ac:dyDescent="0.25">
      <c r="A605" s="7">
        <v>45107</v>
      </c>
      <c r="B605" s="10">
        <v>36</v>
      </c>
      <c r="C605" s="10" t="str">
        <f t="shared" si="109"/>
        <v>2794</v>
      </c>
      <c r="D605" s="11" t="str">
        <f t="shared" si="110"/>
        <v>Доходы будущих периодов</v>
      </c>
      <c r="E605" s="10" t="str">
        <f>"1"</f>
        <v>1</v>
      </c>
      <c r="F605" s="10" t="str">
        <f>"5"</f>
        <v>5</v>
      </c>
      <c r="G605" s="10" t="str">
        <f>"1"</f>
        <v>1</v>
      </c>
      <c r="H605" s="9">
        <v>5416009</v>
      </c>
    </row>
    <row r="606" spans="1:8" x14ac:dyDescent="0.25">
      <c r="A606" s="7">
        <v>45107</v>
      </c>
      <c r="B606" s="10">
        <v>36</v>
      </c>
      <c r="C606" s="10" t="str">
        <f t="shared" si="109"/>
        <v>2794</v>
      </c>
      <c r="D606" s="11" t="str">
        <f t="shared" si="110"/>
        <v>Доходы будущих периодов</v>
      </c>
      <c r="E606" s="10" t="str">
        <f>"1"</f>
        <v>1</v>
      </c>
      <c r="F606" s="10" t="str">
        <f>"8"</f>
        <v>8</v>
      </c>
      <c r="G606" s="10" t="str">
        <f>"1"</f>
        <v>1</v>
      </c>
      <c r="H606" s="9">
        <v>419566.55</v>
      </c>
    </row>
    <row r="607" spans="1:8" x14ac:dyDescent="0.25">
      <c r="A607" s="7">
        <v>45107</v>
      </c>
      <c r="B607" s="10">
        <v>36</v>
      </c>
      <c r="C607" s="10" t="str">
        <f t="shared" si="109"/>
        <v>2794</v>
      </c>
      <c r="D607" s="11" t="str">
        <f t="shared" si="110"/>
        <v>Доходы будущих периодов</v>
      </c>
      <c r="E607" s="10" t="str">
        <f>"1"</f>
        <v>1</v>
      </c>
      <c r="F607" s="10" t="str">
        <f>"1"</f>
        <v>1</v>
      </c>
      <c r="G607" s="10" t="str">
        <f>"1"</f>
        <v>1</v>
      </c>
      <c r="H607" s="9">
        <v>122180</v>
      </c>
    </row>
    <row r="608" spans="1:8" x14ac:dyDescent="0.25">
      <c r="A608" s="7">
        <v>45107</v>
      </c>
      <c r="B608" s="10">
        <v>36</v>
      </c>
      <c r="C608" s="10" t="str">
        <f t="shared" si="109"/>
        <v>2794</v>
      </c>
      <c r="D608" s="11" t="str">
        <f t="shared" si="110"/>
        <v>Доходы будущих периодов</v>
      </c>
      <c r="E608" s="10" t="str">
        <f>"2"</f>
        <v>2</v>
      </c>
      <c r="F608" s="10" t="str">
        <f>"7"</f>
        <v>7</v>
      </c>
      <c r="G608" s="10" t="str">
        <f>"2"</f>
        <v>2</v>
      </c>
      <c r="H608" s="9">
        <v>1122860095.1700001</v>
      </c>
    </row>
    <row r="609" spans="1:8" x14ac:dyDescent="0.25">
      <c r="A609" s="7">
        <v>45107</v>
      </c>
      <c r="B609" s="10">
        <v>36</v>
      </c>
      <c r="C609" s="10" t="str">
        <f t="shared" si="109"/>
        <v>2794</v>
      </c>
      <c r="D609" s="11" t="str">
        <f t="shared" si="110"/>
        <v>Доходы будущих периодов</v>
      </c>
      <c r="E609" s="10" t="str">
        <f>"2"</f>
        <v>2</v>
      </c>
      <c r="F609" s="10" t="str">
        <f>"7"</f>
        <v>7</v>
      </c>
      <c r="G609" s="10" t="str">
        <f>"1"</f>
        <v>1</v>
      </c>
      <c r="H609" s="9">
        <v>3000</v>
      </c>
    </row>
    <row r="610" spans="1:8" x14ac:dyDescent="0.25">
      <c r="A610" s="7">
        <v>45107</v>
      </c>
      <c r="B610" s="10">
        <v>36</v>
      </c>
      <c r="C610" s="10" t="str">
        <f t="shared" si="109"/>
        <v>2794</v>
      </c>
      <c r="D610" s="11" t="str">
        <f t="shared" si="110"/>
        <v>Доходы будущих периодов</v>
      </c>
      <c r="E610" s="10" t="str">
        <f t="shared" ref="E610:E615" si="111">"1"</f>
        <v>1</v>
      </c>
      <c r="F610" s="10" t="str">
        <f>"6"</f>
        <v>6</v>
      </c>
      <c r="G610" s="10" t="str">
        <f>"1"</f>
        <v>1</v>
      </c>
      <c r="H610" s="9">
        <v>1418944.12</v>
      </c>
    </row>
    <row r="611" spans="1:8" x14ac:dyDescent="0.25">
      <c r="A611" s="7">
        <v>45107</v>
      </c>
      <c r="B611" s="10">
        <v>36</v>
      </c>
      <c r="C611" s="10" t="str">
        <f t="shared" si="109"/>
        <v>2794</v>
      </c>
      <c r="D611" s="11" t="str">
        <f t="shared" si="110"/>
        <v>Доходы будущих периодов</v>
      </c>
      <c r="E611" s="10" t="str">
        <f t="shared" si="111"/>
        <v>1</v>
      </c>
      <c r="F611" s="10" t="str">
        <f>"7"</f>
        <v>7</v>
      </c>
      <c r="G611" s="10" t="str">
        <f>"1"</f>
        <v>1</v>
      </c>
      <c r="H611" s="9">
        <v>161063229.22</v>
      </c>
    </row>
    <row r="612" spans="1:8" x14ac:dyDescent="0.25">
      <c r="A612" s="7">
        <v>45107</v>
      </c>
      <c r="B612" s="10">
        <v>36</v>
      </c>
      <c r="C612" s="10" t="str">
        <f t="shared" si="109"/>
        <v>2794</v>
      </c>
      <c r="D612" s="11" t="str">
        <f t="shared" si="110"/>
        <v>Доходы будущих периодов</v>
      </c>
      <c r="E612" s="10" t="str">
        <f t="shared" si="111"/>
        <v>1</v>
      </c>
      <c r="F612" s="10" t="str">
        <f>"9"</f>
        <v>9</v>
      </c>
      <c r="G612" s="10" t="str">
        <f>"1"</f>
        <v>1</v>
      </c>
      <c r="H612" s="9">
        <v>98334748.689999998</v>
      </c>
    </row>
    <row r="613" spans="1:8" x14ac:dyDescent="0.25">
      <c r="A613" s="7">
        <v>45107</v>
      </c>
      <c r="B613" s="10">
        <v>36</v>
      </c>
      <c r="C613" s="10" t="str">
        <f t="shared" si="109"/>
        <v>2794</v>
      </c>
      <c r="D613" s="11" t="str">
        <f t="shared" si="110"/>
        <v>Доходы будущих периодов</v>
      </c>
      <c r="E613" s="10" t="str">
        <f t="shared" si="111"/>
        <v>1</v>
      </c>
      <c r="F613" s="10" t="str">
        <f>"7"</f>
        <v>7</v>
      </c>
      <c r="G613" s="10" t="str">
        <f>"2"</f>
        <v>2</v>
      </c>
      <c r="H613" s="9">
        <v>17576101.789999999</v>
      </c>
    </row>
    <row r="614" spans="1:8" x14ac:dyDescent="0.25">
      <c r="A614" s="7">
        <v>45107</v>
      </c>
      <c r="B614" s="10">
        <v>36</v>
      </c>
      <c r="C614" s="10" t="str">
        <f t="shared" ref="C614:C619" si="112">"2799"</f>
        <v>2799</v>
      </c>
      <c r="D614" s="11" t="str">
        <f t="shared" ref="D614:D619" si="113">"Прочие предоплаты"</f>
        <v>Прочие предоплаты</v>
      </c>
      <c r="E614" s="10" t="str">
        <f t="shared" si="111"/>
        <v>1</v>
      </c>
      <c r="F614" s="10" t="str">
        <f>"8"</f>
        <v>8</v>
      </c>
      <c r="G614" s="10" t="str">
        <f t="shared" ref="G614:G619" si="114">"1"</f>
        <v>1</v>
      </c>
      <c r="H614" s="9">
        <v>3960</v>
      </c>
    </row>
    <row r="615" spans="1:8" x14ac:dyDescent="0.25">
      <c r="A615" s="7">
        <v>45107</v>
      </c>
      <c r="B615" s="10">
        <v>36</v>
      </c>
      <c r="C615" s="10" t="str">
        <f t="shared" si="112"/>
        <v>2799</v>
      </c>
      <c r="D615" s="11" t="str">
        <f t="shared" si="113"/>
        <v>Прочие предоплаты</v>
      </c>
      <c r="E615" s="10" t="str">
        <f t="shared" si="111"/>
        <v>1</v>
      </c>
      <c r="F615" s="10" t="str">
        <f>"6"</f>
        <v>6</v>
      </c>
      <c r="G615" s="10" t="str">
        <f t="shared" si="114"/>
        <v>1</v>
      </c>
      <c r="H615" s="9">
        <v>48360</v>
      </c>
    </row>
    <row r="616" spans="1:8" x14ac:dyDescent="0.25">
      <c r="A616" s="7">
        <v>45107</v>
      </c>
      <c r="B616" s="10">
        <v>36</v>
      </c>
      <c r="C616" s="10" t="str">
        <f t="shared" si="112"/>
        <v>2799</v>
      </c>
      <c r="D616" s="11" t="str">
        <f t="shared" si="113"/>
        <v>Прочие предоплаты</v>
      </c>
      <c r="E616" s="10" t="str">
        <f>"2"</f>
        <v>2</v>
      </c>
      <c r="F616" s="10" t="str">
        <f>"9"</f>
        <v>9</v>
      </c>
      <c r="G616" s="10" t="str">
        <f t="shared" si="114"/>
        <v>1</v>
      </c>
      <c r="H616" s="9">
        <v>7500</v>
      </c>
    </row>
    <row r="617" spans="1:8" x14ac:dyDescent="0.25">
      <c r="A617" s="7">
        <v>45107</v>
      </c>
      <c r="B617" s="10">
        <v>36</v>
      </c>
      <c r="C617" s="10" t="str">
        <f t="shared" si="112"/>
        <v>2799</v>
      </c>
      <c r="D617" s="11" t="str">
        <f t="shared" si="113"/>
        <v>Прочие предоплаты</v>
      </c>
      <c r="E617" s="10" t="str">
        <f>"1"</f>
        <v>1</v>
      </c>
      <c r="F617" s="10" t="str">
        <f>"5"</f>
        <v>5</v>
      </c>
      <c r="G617" s="10" t="str">
        <f t="shared" si="114"/>
        <v>1</v>
      </c>
      <c r="H617" s="9">
        <v>2240</v>
      </c>
    </row>
    <row r="618" spans="1:8" x14ac:dyDescent="0.25">
      <c r="A618" s="7">
        <v>45107</v>
      </c>
      <c r="B618" s="10">
        <v>36</v>
      </c>
      <c r="C618" s="10" t="str">
        <f t="shared" si="112"/>
        <v>2799</v>
      </c>
      <c r="D618" s="11" t="str">
        <f t="shared" si="113"/>
        <v>Прочие предоплаты</v>
      </c>
      <c r="E618" s="10" t="str">
        <f>"1"</f>
        <v>1</v>
      </c>
      <c r="F618" s="10" t="str">
        <f>"7"</f>
        <v>7</v>
      </c>
      <c r="G618" s="10" t="str">
        <f t="shared" si="114"/>
        <v>1</v>
      </c>
      <c r="H618" s="9">
        <v>200</v>
      </c>
    </row>
    <row r="619" spans="1:8" x14ac:dyDescent="0.25">
      <c r="A619" s="7">
        <v>45107</v>
      </c>
      <c r="B619" s="10">
        <v>36</v>
      </c>
      <c r="C619" s="10" t="str">
        <f t="shared" si="112"/>
        <v>2799</v>
      </c>
      <c r="D619" s="11" t="str">
        <f t="shared" si="113"/>
        <v>Прочие предоплаты</v>
      </c>
      <c r="E619" s="10" t="str">
        <f>"1"</f>
        <v>1</v>
      </c>
      <c r="F619" s="10" t="str">
        <f>"9"</f>
        <v>9</v>
      </c>
      <c r="G619" s="10" t="str">
        <f t="shared" si="114"/>
        <v>1</v>
      </c>
      <c r="H619" s="9">
        <v>1934569</v>
      </c>
    </row>
    <row r="620" spans="1:8" ht="30" x14ac:dyDescent="0.25">
      <c r="A620" s="7">
        <v>45107</v>
      </c>
      <c r="B620" s="10">
        <v>36</v>
      </c>
      <c r="C620" s="10" t="str">
        <f>"2811"</f>
        <v>2811</v>
      </c>
      <c r="D620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20" s="10" t="str">
        <f>"2"</f>
        <v>2</v>
      </c>
      <c r="F620" s="10" t="str">
        <f>""</f>
        <v/>
      </c>
      <c r="G620" s="10" t="str">
        <f>"2"</f>
        <v>2</v>
      </c>
      <c r="H620" s="9">
        <v>33788417.380000003</v>
      </c>
    </row>
    <row r="621" spans="1:8" ht="30" x14ac:dyDescent="0.25">
      <c r="A621" s="7">
        <v>45107</v>
      </c>
      <c r="B621" s="10">
        <v>36</v>
      </c>
      <c r="C621" s="10" t="str">
        <f>"2811"</f>
        <v>2811</v>
      </c>
      <c r="D621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21" s="10" t="str">
        <f>"1"</f>
        <v>1</v>
      </c>
      <c r="F621" s="10" t="str">
        <f>""</f>
        <v/>
      </c>
      <c r="G621" s="10" t="str">
        <f>"1"</f>
        <v>1</v>
      </c>
      <c r="H621" s="9">
        <v>9717636.9299999997</v>
      </c>
    </row>
    <row r="622" spans="1:8" x14ac:dyDescent="0.25">
      <c r="A622" s="7">
        <v>45107</v>
      </c>
      <c r="B622" s="10">
        <v>36</v>
      </c>
      <c r="C622" s="10" t="str">
        <f>"2812"</f>
        <v>2812</v>
      </c>
      <c r="D622" s="11" t="str">
        <f>"Начисленные комиссионные расходы по агентским услугам"</f>
        <v>Начисленные комиссионные расходы по агентским услугам</v>
      </c>
      <c r="E622" s="10" t="str">
        <f>"1"</f>
        <v>1</v>
      </c>
      <c r="F622" s="10" t="str">
        <f>""</f>
        <v/>
      </c>
      <c r="G622" s="10" t="str">
        <f>"1"</f>
        <v>1</v>
      </c>
      <c r="H622" s="9">
        <v>1475231.82</v>
      </c>
    </row>
    <row r="623" spans="1:8" ht="30" x14ac:dyDescent="0.25">
      <c r="A623" s="7">
        <v>45107</v>
      </c>
      <c r="B623" s="10">
        <v>36</v>
      </c>
      <c r="C623" s="10" t="str">
        <f>"2817"</f>
        <v>2817</v>
      </c>
      <c r="D623" s="1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23" s="10" t="str">
        <f>"1"</f>
        <v>1</v>
      </c>
      <c r="F623" s="10" t="str">
        <f>""</f>
        <v/>
      </c>
      <c r="G623" s="10" t="str">
        <f>"1"</f>
        <v>1</v>
      </c>
      <c r="H623" s="9">
        <v>70000</v>
      </c>
    </row>
    <row r="624" spans="1:8" x14ac:dyDescent="0.25">
      <c r="A624" s="7">
        <v>45107</v>
      </c>
      <c r="B624" s="10">
        <v>36</v>
      </c>
      <c r="C624" s="10" t="str">
        <f>"2818"</f>
        <v>2818</v>
      </c>
      <c r="D624" s="11" t="str">
        <f>"Начисленные прочие комиссионные расходы"</f>
        <v>Начисленные прочие комиссионные расходы</v>
      </c>
      <c r="E624" s="10" t="str">
        <f>"1"</f>
        <v>1</v>
      </c>
      <c r="F624" s="10" t="str">
        <f>""</f>
        <v/>
      </c>
      <c r="G624" s="10" t="str">
        <f>"1"</f>
        <v>1</v>
      </c>
      <c r="H624" s="9">
        <v>11352330.57</v>
      </c>
    </row>
    <row r="625" spans="1:8" x14ac:dyDescent="0.25">
      <c r="A625" s="7">
        <v>45107</v>
      </c>
      <c r="B625" s="10">
        <v>36</v>
      </c>
      <c r="C625" s="10" t="str">
        <f>"2818"</f>
        <v>2818</v>
      </c>
      <c r="D625" s="11" t="str">
        <f>"Начисленные прочие комиссионные расходы"</f>
        <v>Начисленные прочие комиссионные расходы</v>
      </c>
      <c r="E625" s="10" t="str">
        <f>"2"</f>
        <v>2</v>
      </c>
      <c r="F625" s="10" t="str">
        <f>""</f>
        <v/>
      </c>
      <c r="G625" s="10" t="str">
        <f>"2"</f>
        <v>2</v>
      </c>
      <c r="H625" s="9">
        <v>564240725.94000006</v>
      </c>
    </row>
    <row r="626" spans="1:8" x14ac:dyDescent="0.25">
      <c r="A626" s="7">
        <v>45107</v>
      </c>
      <c r="B626" s="10">
        <v>36</v>
      </c>
      <c r="C626" s="10" t="str">
        <f>"2818"</f>
        <v>2818</v>
      </c>
      <c r="D626" s="11" t="str">
        <f>"Начисленные прочие комиссионные расходы"</f>
        <v>Начисленные прочие комиссионные расходы</v>
      </c>
      <c r="E626" s="10" t="str">
        <f>"2"</f>
        <v>2</v>
      </c>
      <c r="F626" s="10" t="str">
        <f>""</f>
        <v/>
      </c>
      <c r="G626" s="10" t="str">
        <f>"1"</f>
        <v>1</v>
      </c>
      <c r="H626" s="9">
        <v>2323468.2400000002</v>
      </c>
    </row>
    <row r="627" spans="1:8" x14ac:dyDescent="0.25">
      <c r="A627" s="7">
        <v>45107</v>
      </c>
      <c r="B627" s="10">
        <v>36</v>
      </c>
      <c r="C627" s="10" t="str">
        <f>"2818"</f>
        <v>2818</v>
      </c>
      <c r="D627" s="11" t="str">
        <f>"Начисленные прочие комиссионные расходы"</f>
        <v>Начисленные прочие комиссионные расходы</v>
      </c>
      <c r="E627" s="10" t="str">
        <f>"2"</f>
        <v>2</v>
      </c>
      <c r="F627" s="10" t="str">
        <f>""</f>
        <v/>
      </c>
      <c r="G627" s="10" t="str">
        <f>"3"</f>
        <v>3</v>
      </c>
      <c r="H627" s="9">
        <v>38550</v>
      </c>
    </row>
    <row r="628" spans="1:8" ht="30" x14ac:dyDescent="0.25">
      <c r="A628" s="7">
        <v>45107</v>
      </c>
      <c r="B628" s="10">
        <v>36</v>
      </c>
      <c r="C628" s="10" t="str">
        <f>"2819"</f>
        <v>2819</v>
      </c>
      <c r="D628" s="1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28" s="10" t="str">
        <f>"2"</f>
        <v>2</v>
      </c>
      <c r="F628" s="10" t="str">
        <f>""</f>
        <v/>
      </c>
      <c r="G628" s="10" t="str">
        <f>"2"</f>
        <v>2</v>
      </c>
      <c r="H628" s="9">
        <v>2704368.56</v>
      </c>
    </row>
    <row r="629" spans="1:8" ht="30" x14ac:dyDescent="0.25">
      <c r="A629" s="7">
        <v>45107</v>
      </c>
      <c r="B629" s="10">
        <v>36</v>
      </c>
      <c r="C629" s="10" t="str">
        <f>"2820"</f>
        <v>2820</v>
      </c>
      <c r="D629" s="1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29" s="10" t="str">
        <f>"1"</f>
        <v>1</v>
      </c>
      <c r="F629" s="10" t="str">
        <f>""</f>
        <v/>
      </c>
      <c r="G629" s="10" t="str">
        <f>"1"</f>
        <v>1</v>
      </c>
      <c r="H629" s="9">
        <v>96949424.579999998</v>
      </c>
    </row>
    <row r="630" spans="1:8" x14ac:dyDescent="0.25">
      <c r="A630" s="7">
        <v>45107</v>
      </c>
      <c r="B630" s="10">
        <v>36</v>
      </c>
      <c r="C630" s="10" t="str">
        <f>"2851"</f>
        <v>2851</v>
      </c>
      <c r="D630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30" s="10" t="str">
        <f>"1"</f>
        <v>1</v>
      </c>
      <c r="F630" s="10" t="str">
        <f>"1"</f>
        <v>1</v>
      </c>
      <c r="G630" s="10" t="str">
        <f>"1"</f>
        <v>1</v>
      </c>
      <c r="H630" s="9">
        <v>1743198484.76</v>
      </c>
    </row>
    <row r="631" spans="1:8" x14ac:dyDescent="0.25">
      <c r="A631" s="7">
        <v>45107</v>
      </c>
      <c r="B631" s="10">
        <v>36</v>
      </c>
      <c r="C631" s="10" t="str">
        <f>"2853"</f>
        <v>2853</v>
      </c>
      <c r="D631" s="11" t="str">
        <f>"Расчеты с акционерами (по дивидендам)"</f>
        <v>Расчеты с акционерами (по дивидендам)</v>
      </c>
      <c r="E631" s="10" t="str">
        <f>"1"</f>
        <v>1</v>
      </c>
      <c r="F631" s="10" t="str">
        <f>"9"</f>
        <v>9</v>
      </c>
      <c r="G631" s="10" t="str">
        <f>"1"</f>
        <v>1</v>
      </c>
      <c r="H631" s="9">
        <v>20025290.109999999</v>
      </c>
    </row>
    <row r="632" spans="1:8" x14ac:dyDescent="0.25">
      <c r="A632" s="7">
        <v>45107</v>
      </c>
      <c r="B632" s="10">
        <v>36</v>
      </c>
      <c r="C632" s="10" t="str">
        <f>"2853"</f>
        <v>2853</v>
      </c>
      <c r="D632" s="11" t="str">
        <f>"Расчеты с акционерами (по дивидендам)"</f>
        <v>Расчеты с акционерами (по дивидендам)</v>
      </c>
      <c r="E632" s="10" t="str">
        <f>"1"</f>
        <v>1</v>
      </c>
      <c r="F632" s="10" t="str">
        <f>"5"</f>
        <v>5</v>
      </c>
      <c r="G632" s="10" t="str">
        <f>"1"</f>
        <v>1</v>
      </c>
      <c r="H632" s="9">
        <v>355550855.32999998</v>
      </c>
    </row>
    <row r="633" spans="1:8" x14ac:dyDescent="0.25">
      <c r="A633" s="7">
        <v>45107</v>
      </c>
      <c r="B633" s="10">
        <v>36</v>
      </c>
      <c r="C633" s="10" t="str">
        <f>"2853"</f>
        <v>2853</v>
      </c>
      <c r="D633" s="11" t="str">
        <f>"Расчеты с акционерами (по дивидендам)"</f>
        <v>Расчеты с акционерами (по дивидендам)</v>
      </c>
      <c r="E633" s="10" t="str">
        <f>"1"</f>
        <v>1</v>
      </c>
      <c r="F633" s="10" t="str">
        <f>"7"</f>
        <v>7</v>
      </c>
      <c r="G633" s="10" t="str">
        <f>"1"</f>
        <v>1</v>
      </c>
      <c r="H633" s="9">
        <v>816190.35</v>
      </c>
    </row>
    <row r="634" spans="1:8" x14ac:dyDescent="0.25">
      <c r="A634" s="7">
        <v>45107</v>
      </c>
      <c r="B634" s="10">
        <v>36</v>
      </c>
      <c r="C634" s="10" t="str">
        <f>"2854"</f>
        <v>2854</v>
      </c>
      <c r="D634" s="11" t="str">
        <f>"Расчеты с работниками"</f>
        <v>Расчеты с работниками</v>
      </c>
      <c r="E634" s="10" t="str">
        <f>""</f>
        <v/>
      </c>
      <c r="F634" s="10" t="str">
        <f>""</f>
        <v/>
      </c>
      <c r="G634" s="10" t="str">
        <f>""</f>
        <v/>
      </c>
      <c r="H634" s="9">
        <v>5459965288.1599998</v>
      </c>
    </row>
    <row r="635" spans="1:8" x14ac:dyDescent="0.25">
      <c r="A635" s="7">
        <v>45107</v>
      </c>
      <c r="B635" s="10">
        <v>36</v>
      </c>
      <c r="C635" s="10" t="str">
        <f>"2855"</f>
        <v>2855</v>
      </c>
      <c r="D635" s="11" t="str">
        <f>"Кредиторы по документарным расчетам"</f>
        <v>Кредиторы по документарным расчетам</v>
      </c>
      <c r="E635" s="10" t="str">
        <f>"1"</f>
        <v>1</v>
      </c>
      <c r="F635" s="10" t="str">
        <f>"7"</f>
        <v>7</v>
      </c>
      <c r="G635" s="10" t="str">
        <f>"2"</f>
        <v>2</v>
      </c>
      <c r="H635" s="9">
        <v>139828399.90000001</v>
      </c>
    </row>
    <row r="636" spans="1:8" x14ac:dyDescent="0.25">
      <c r="A636" s="7">
        <v>45107</v>
      </c>
      <c r="B636" s="10">
        <v>36</v>
      </c>
      <c r="C636" s="10" t="str">
        <f>"2856"</f>
        <v>2856</v>
      </c>
      <c r="D636" s="11" t="str">
        <f>"Кредиторы по капитальным вложениям"</f>
        <v>Кредиторы по капитальным вложениям</v>
      </c>
      <c r="E636" s="10" t="str">
        <f>"1"</f>
        <v>1</v>
      </c>
      <c r="F636" s="10" t="str">
        <f>"7"</f>
        <v>7</v>
      </c>
      <c r="G636" s="10" t="str">
        <f>"1"</f>
        <v>1</v>
      </c>
      <c r="H636" s="9">
        <v>5250000</v>
      </c>
    </row>
    <row r="637" spans="1:8" x14ac:dyDescent="0.25">
      <c r="A637" s="7">
        <v>45107</v>
      </c>
      <c r="B637" s="10">
        <v>36</v>
      </c>
      <c r="C637" s="10" t="str">
        <f>"2857"</f>
        <v>2857</v>
      </c>
      <c r="D637" s="11" t="str">
        <f>"Отложенные налоговые обязательства"</f>
        <v>Отложенные налоговые обязательства</v>
      </c>
      <c r="E637" s="10" t="str">
        <f>""</f>
        <v/>
      </c>
      <c r="F637" s="10" t="str">
        <f>""</f>
        <v/>
      </c>
      <c r="G637" s="10" t="str">
        <f>""</f>
        <v/>
      </c>
      <c r="H637" s="9">
        <v>171297020879.45999</v>
      </c>
    </row>
    <row r="638" spans="1:8" x14ac:dyDescent="0.25">
      <c r="A638" s="7">
        <v>45107</v>
      </c>
      <c r="B638" s="10">
        <v>36</v>
      </c>
      <c r="C638" s="10" t="str">
        <f t="shared" ref="C638:C655" si="115">"2860"</f>
        <v>2860</v>
      </c>
      <c r="D638" s="11" t="str">
        <f t="shared" ref="D638:D655" si="116">"Прочие кредиторы по банковской деятельности"</f>
        <v>Прочие кредиторы по банковской деятельности</v>
      </c>
      <c r="E638" s="10" t="str">
        <f>"2"</f>
        <v>2</v>
      </c>
      <c r="F638" s="10" t="str">
        <f>"7"</f>
        <v>7</v>
      </c>
      <c r="G638" s="10" t="str">
        <f>"1"</f>
        <v>1</v>
      </c>
      <c r="H638" s="9">
        <v>2749808720.2399998</v>
      </c>
    </row>
    <row r="639" spans="1:8" x14ac:dyDescent="0.25">
      <c r="A639" s="7">
        <v>45107</v>
      </c>
      <c r="B639" s="10">
        <v>36</v>
      </c>
      <c r="C639" s="10" t="str">
        <f t="shared" si="115"/>
        <v>2860</v>
      </c>
      <c r="D639" s="11" t="str">
        <f t="shared" si="116"/>
        <v>Прочие кредиторы по банковской деятельности</v>
      </c>
      <c r="E639" s="10" t="str">
        <f>"1"</f>
        <v>1</v>
      </c>
      <c r="F639" s="10" t="str">
        <f>"9"</f>
        <v>9</v>
      </c>
      <c r="G639" s="10" t="str">
        <f>"1"</f>
        <v>1</v>
      </c>
      <c r="H639" s="9">
        <v>1135413606.6900001</v>
      </c>
    </row>
    <row r="640" spans="1:8" x14ac:dyDescent="0.25">
      <c r="A640" s="7">
        <v>45107</v>
      </c>
      <c r="B640" s="10">
        <v>36</v>
      </c>
      <c r="C640" s="10" t="str">
        <f t="shared" si="115"/>
        <v>2860</v>
      </c>
      <c r="D640" s="11" t="str">
        <f t="shared" si="116"/>
        <v>Прочие кредиторы по банковской деятельности</v>
      </c>
      <c r="E640" s="10" t="str">
        <f>"1"</f>
        <v>1</v>
      </c>
      <c r="F640" s="10" t="str">
        <f>"9"</f>
        <v>9</v>
      </c>
      <c r="G640" s="10" t="str">
        <f>"3"</f>
        <v>3</v>
      </c>
      <c r="H640" s="9">
        <v>56218.85</v>
      </c>
    </row>
    <row r="641" spans="1:8" x14ac:dyDescent="0.25">
      <c r="A641" s="7">
        <v>45107</v>
      </c>
      <c r="B641" s="10">
        <v>36</v>
      </c>
      <c r="C641" s="10" t="str">
        <f t="shared" si="115"/>
        <v>2860</v>
      </c>
      <c r="D641" s="11" t="str">
        <f t="shared" si="116"/>
        <v>Прочие кредиторы по банковской деятельности</v>
      </c>
      <c r="E641" s="10" t="str">
        <f>"2"</f>
        <v>2</v>
      </c>
      <c r="F641" s="10" t="str">
        <f>"9"</f>
        <v>9</v>
      </c>
      <c r="G641" s="10" t="str">
        <f>"1"</f>
        <v>1</v>
      </c>
      <c r="H641" s="9">
        <v>111595961.81999999</v>
      </c>
    </row>
    <row r="642" spans="1:8" x14ac:dyDescent="0.25">
      <c r="A642" s="7">
        <v>45107</v>
      </c>
      <c r="B642" s="10">
        <v>36</v>
      </c>
      <c r="C642" s="10" t="str">
        <f t="shared" si="115"/>
        <v>2860</v>
      </c>
      <c r="D642" s="11" t="str">
        <f t="shared" si="116"/>
        <v>Прочие кредиторы по банковской деятельности</v>
      </c>
      <c r="E642" s="10" t="str">
        <f>"1"</f>
        <v>1</v>
      </c>
      <c r="F642" s="10" t="str">
        <f>"4"</f>
        <v>4</v>
      </c>
      <c r="G642" s="10" t="str">
        <f>"2"</f>
        <v>2</v>
      </c>
      <c r="H642" s="9">
        <v>1334.9</v>
      </c>
    </row>
    <row r="643" spans="1:8" x14ac:dyDescent="0.25">
      <c r="A643" s="7">
        <v>45107</v>
      </c>
      <c r="B643" s="10">
        <v>36</v>
      </c>
      <c r="C643" s="10" t="str">
        <f t="shared" si="115"/>
        <v>2860</v>
      </c>
      <c r="D643" s="11" t="str">
        <f t="shared" si="116"/>
        <v>Прочие кредиторы по банковской деятельности</v>
      </c>
      <c r="E643" s="10" t="str">
        <f>"2"</f>
        <v>2</v>
      </c>
      <c r="F643" s="10" t="str">
        <f>"4"</f>
        <v>4</v>
      </c>
      <c r="G643" s="10" t="str">
        <f>"2"</f>
        <v>2</v>
      </c>
      <c r="H643" s="9">
        <v>116530610.51000001</v>
      </c>
    </row>
    <row r="644" spans="1:8" x14ac:dyDescent="0.25">
      <c r="A644" s="7">
        <v>45107</v>
      </c>
      <c r="B644" s="10">
        <v>36</v>
      </c>
      <c r="C644" s="10" t="str">
        <f t="shared" si="115"/>
        <v>2860</v>
      </c>
      <c r="D644" s="11" t="str">
        <f t="shared" si="116"/>
        <v>Прочие кредиторы по банковской деятельности</v>
      </c>
      <c r="E644" s="10" t="str">
        <f>"1"</f>
        <v>1</v>
      </c>
      <c r="F644" s="10" t="str">
        <f>"5"</f>
        <v>5</v>
      </c>
      <c r="G644" s="10" t="str">
        <f>"1"</f>
        <v>1</v>
      </c>
      <c r="H644" s="9">
        <v>621083938.23000002</v>
      </c>
    </row>
    <row r="645" spans="1:8" x14ac:dyDescent="0.25">
      <c r="A645" s="7">
        <v>45107</v>
      </c>
      <c r="B645" s="10">
        <v>36</v>
      </c>
      <c r="C645" s="10" t="str">
        <f t="shared" si="115"/>
        <v>2860</v>
      </c>
      <c r="D645" s="11" t="str">
        <f t="shared" si="116"/>
        <v>Прочие кредиторы по банковской деятельности</v>
      </c>
      <c r="E645" s="10" t="str">
        <f>"2"</f>
        <v>2</v>
      </c>
      <c r="F645" s="10" t="str">
        <f>"7"</f>
        <v>7</v>
      </c>
      <c r="G645" s="10" t="str">
        <f>"3"</f>
        <v>3</v>
      </c>
      <c r="H645" s="9">
        <v>2821.86</v>
      </c>
    </row>
    <row r="646" spans="1:8" x14ac:dyDescent="0.25">
      <c r="A646" s="7">
        <v>45107</v>
      </c>
      <c r="B646" s="10">
        <v>36</v>
      </c>
      <c r="C646" s="10" t="str">
        <f t="shared" si="115"/>
        <v>2860</v>
      </c>
      <c r="D646" s="11" t="str">
        <f t="shared" si="116"/>
        <v>Прочие кредиторы по банковской деятельности</v>
      </c>
      <c r="E646" s="10" t="str">
        <f>"1"</f>
        <v>1</v>
      </c>
      <c r="F646" s="10" t="str">
        <f>"7"</f>
        <v>7</v>
      </c>
      <c r="G646" s="10" t="str">
        <f>"1"</f>
        <v>1</v>
      </c>
      <c r="H646" s="9">
        <v>608418142.12</v>
      </c>
    </row>
    <row r="647" spans="1:8" x14ac:dyDescent="0.25">
      <c r="A647" s="7">
        <v>45107</v>
      </c>
      <c r="B647" s="10">
        <v>36</v>
      </c>
      <c r="C647" s="10" t="str">
        <f t="shared" si="115"/>
        <v>2860</v>
      </c>
      <c r="D647" s="11" t="str">
        <f t="shared" si="116"/>
        <v>Прочие кредиторы по банковской деятельности</v>
      </c>
      <c r="E647" s="10" t="str">
        <f>"1"</f>
        <v>1</v>
      </c>
      <c r="F647" s="10" t="str">
        <f>"5"</f>
        <v>5</v>
      </c>
      <c r="G647" s="10" t="str">
        <f>"2"</f>
        <v>2</v>
      </c>
      <c r="H647" s="9">
        <v>9241150</v>
      </c>
    </row>
    <row r="648" spans="1:8" x14ac:dyDescent="0.25">
      <c r="A648" s="7">
        <v>45107</v>
      </c>
      <c r="B648" s="10">
        <v>36</v>
      </c>
      <c r="C648" s="10" t="str">
        <f t="shared" si="115"/>
        <v>2860</v>
      </c>
      <c r="D648" s="11" t="str">
        <f t="shared" si="116"/>
        <v>Прочие кредиторы по банковской деятельности</v>
      </c>
      <c r="E648" s="10" t="str">
        <f>"1"</f>
        <v>1</v>
      </c>
      <c r="F648" s="10" t="str">
        <f>"8"</f>
        <v>8</v>
      </c>
      <c r="G648" s="10" t="str">
        <f>"1"</f>
        <v>1</v>
      </c>
      <c r="H648" s="9">
        <v>2002232</v>
      </c>
    </row>
    <row r="649" spans="1:8" x14ac:dyDescent="0.25">
      <c r="A649" s="7">
        <v>45107</v>
      </c>
      <c r="B649" s="10">
        <v>36</v>
      </c>
      <c r="C649" s="10" t="str">
        <f t="shared" si="115"/>
        <v>2860</v>
      </c>
      <c r="D649" s="11" t="str">
        <f t="shared" si="116"/>
        <v>Прочие кредиторы по банковской деятельности</v>
      </c>
      <c r="E649" s="10" t="str">
        <f>"2"</f>
        <v>2</v>
      </c>
      <c r="F649" s="10" t="str">
        <f>"9"</f>
        <v>9</v>
      </c>
      <c r="G649" s="10" t="str">
        <f>"2"</f>
        <v>2</v>
      </c>
      <c r="H649" s="9">
        <v>3112037.97</v>
      </c>
    </row>
    <row r="650" spans="1:8" x14ac:dyDescent="0.25">
      <c r="A650" s="7">
        <v>45107</v>
      </c>
      <c r="B650" s="10">
        <v>36</v>
      </c>
      <c r="C650" s="10" t="str">
        <f t="shared" si="115"/>
        <v>2860</v>
      </c>
      <c r="D650" s="11" t="str">
        <f t="shared" si="116"/>
        <v>Прочие кредиторы по банковской деятельности</v>
      </c>
      <c r="E650" s="10" t="str">
        <f>"1"</f>
        <v>1</v>
      </c>
      <c r="F650" s="10" t="str">
        <f>"9"</f>
        <v>9</v>
      </c>
      <c r="G650" s="10" t="str">
        <f>"2"</f>
        <v>2</v>
      </c>
      <c r="H650" s="9">
        <v>5452366.8300000001</v>
      </c>
    </row>
    <row r="651" spans="1:8" x14ac:dyDescent="0.25">
      <c r="A651" s="7">
        <v>45107</v>
      </c>
      <c r="B651" s="10">
        <v>36</v>
      </c>
      <c r="C651" s="10" t="str">
        <f t="shared" si="115"/>
        <v>2860</v>
      </c>
      <c r="D651" s="11" t="str">
        <f t="shared" si="116"/>
        <v>Прочие кредиторы по банковской деятельности</v>
      </c>
      <c r="E651" s="10" t="str">
        <f>"1"</f>
        <v>1</v>
      </c>
      <c r="F651" s="10" t="str">
        <f>"7"</f>
        <v>7</v>
      </c>
      <c r="G651" s="10" t="str">
        <f>"2"</f>
        <v>2</v>
      </c>
      <c r="H651" s="9">
        <v>2083772.35</v>
      </c>
    </row>
    <row r="652" spans="1:8" x14ac:dyDescent="0.25">
      <c r="A652" s="7">
        <v>45107</v>
      </c>
      <c r="B652" s="10">
        <v>36</v>
      </c>
      <c r="C652" s="10" t="str">
        <f t="shared" si="115"/>
        <v>2860</v>
      </c>
      <c r="D652" s="11" t="str">
        <f t="shared" si="116"/>
        <v>Прочие кредиторы по банковской деятельности</v>
      </c>
      <c r="E652" s="10" t="str">
        <f>"2"</f>
        <v>2</v>
      </c>
      <c r="F652" s="10" t="str">
        <f>"5"</f>
        <v>5</v>
      </c>
      <c r="G652" s="10" t="str">
        <f>"2"</f>
        <v>2</v>
      </c>
      <c r="H652" s="9">
        <v>67592563.549999997</v>
      </c>
    </row>
    <row r="653" spans="1:8" x14ac:dyDescent="0.25">
      <c r="A653" s="7">
        <v>45107</v>
      </c>
      <c r="B653" s="10">
        <v>36</v>
      </c>
      <c r="C653" s="10" t="str">
        <f t="shared" si="115"/>
        <v>2860</v>
      </c>
      <c r="D653" s="11" t="str">
        <f t="shared" si="116"/>
        <v>Прочие кредиторы по банковской деятельности</v>
      </c>
      <c r="E653" s="10" t="str">
        <f>"2"</f>
        <v>2</v>
      </c>
      <c r="F653" s="10" t="str">
        <f>"7"</f>
        <v>7</v>
      </c>
      <c r="G653" s="10" t="str">
        <f>"2"</f>
        <v>2</v>
      </c>
      <c r="H653" s="9">
        <v>323201379.69999999</v>
      </c>
    </row>
    <row r="654" spans="1:8" x14ac:dyDescent="0.25">
      <c r="A654" s="7">
        <v>45107</v>
      </c>
      <c r="B654" s="10">
        <v>36</v>
      </c>
      <c r="C654" s="10" t="str">
        <f t="shared" si="115"/>
        <v>2860</v>
      </c>
      <c r="D654" s="11" t="str">
        <f t="shared" si="116"/>
        <v>Прочие кредиторы по банковской деятельности</v>
      </c>
      <c r="E654" s="10" t="str">
        <f>"1"</f>
        <v>1</v>
      </c>
      <c r="F654" s="10" t="str">
        <f>"4"</f>
        <v>4</v>
      </c>
      <c r="G654" s="10" t="str">
        <f>"1"</f>
        <v>1</v>
      </c>
      <c r="H654" s="9">
        <v>42940629.520000003</v>
      </c>
    </row>
    <row r="655" spans="1:8" x14ac:dyDescent="0.25">
      <c r="A655" s="7">
        <v>45107</v>
      </c>
      <c r="B655" s="10">
        <v>36</v>
      </c>
      <c r="C655" s="10" t="str">
        <f t="shared" si="115"/>
        <v>2860</v>
      </c>
      <c r="D655" s="11" t="str">
        <f t="shared" si="116"/>
        <v>Прочие кредиторы по банковской деятельности</v>
      </c>
      <c r="E655" s="10" t="str">
        <f>"1"</f>
        <v>1</v>
      </c>
      <c r="F655" s="10" t="str">
        <f>"6"</f>
        <v>6</v>
      </c>
      <c r="G655" s="10" t="str">
        <f>"1"</f>
        <v>1</v>
      </c>
      <c r="H655" s="9">
        <v>108495.78</v>
      </c>
    </row>
    <row r="656" spans="1:8" x14ac:dyDescent="0.25">
      <c r="A656" s="7">
        <v>45107</v>
      </c>
      <c r="B656" s="10">
        <v>36</v>
      </c>
      <c r="C656" s="10" t="str">
        <f>"2861"</f>
        <v>2861</v>
      </c>
      <c r="D656" s="11" t="str">
        <f>"Резерв на отпускные выплаты"</f>
        <v>Резерв на отпускные выплаты</v>
      </c>
      <c r="E656" s="10" t="str">
        <f>""</f>
        <v/>
      </c>
      <c r="F656" s="10" t="str">
        <f>""</f>
        <v/>
      </c>
      <c r="G656" s="10" t="str">
        <f>""</f>
        <v/>
      </c>
      <c r="H656" s="9">
        <v>3270244638.4699998</v>
      </c>
    </row>
    <row r="657" spans="1:8" x14ac:dyDescent="0.25">
      <c r="A657" s="7">
        <v>45107</v>
      </c>
      <c r="B657" s="10">
        <v>36</v>
      </c>
      <c r="C657" s="10" t="str">
        <f>"2865"</f>
        <v>2865</v>
      </c>
      <c r="D657" s="11" t="str">
        <f>"Обязательства по выпущенным электронным деньгам"</f>
        <v>Обязательства по выпущенным электронным деньгам</v>
      </c>
      <c r="E657" s="10" t="str">
        <f>"1"</f>
        <v>1</v>
      </c>
      <c r="F657" s="10" t="str">
        <f>"7"</f>
        <v>7</v>
      </c>
      <c r="G657" s="10" t="str">
        <f t="shared" ref="G657:G665" si="117">"1"</f>
        <v>1</v>
      </c>
      <c r="H657" s="9">
        <v>174469214.43000001</v>
      </c>
    </row>
    <row r="658" spans="1:8" x14ac:dyDescent="0.25">
      <c r="A658" s="7">
        <v>45107</v>
      </c>
      <c r="B658" s="10">
        <v>36</v>
      </c>
      <c r="C658" s="10" t="str">
        <f>"2867"</f>
        <v>2867</v>
      </c>
      <c r="D658" s="11" t="str">
        <f>"Прочие кредиторы по неосновной деятельности"</f>
        <v>Прочие кредиторы по неосновной деятельности</v>
      </c>
      <c r="E658" s="10" t="str">
        <f>"1"</f>
        <v>1</v>
      </c>
      <c r="F658" s="10" t="str">
        <f>"7"</f>
        <v>7</v>
      </c>
      <c r="G658" s="10" t="str">
        <f t="shared" si="117"/>
        <v>1</v>
      </c>
      <c r="H658" s="9">
        <v>83809258.180000007</v>
      </c>
    </row>
    <row r="659" spans="1:8" x14ac:dyDescent="0.25">
      <c r="A659" s="7">
        <v>45107</v>
      </c>
      <c r="B659" s="10">
        <v>36</v>
      </c>
      <c r="C659" s="10" t="str">
        <f>"2867"</f>
        <v>2867</v>
      </c>
      <c r="D659" s="11" t="str">
        <f>"Прочие кредиторы по неосновной деятельности"</f>
        <v>Прочие кредиторы по неосновной деятельности</v>
      </c>
      <c r="E659" s="10" t="str">
        <f>"1"</f>
        <v>1</v>
      </c>
      <c r="F659" s="10" t="str">
        <f>"4"</f>
        <v>4</v>
      </c>
      <c r="G659" s="10" t="str">
        <f t="shared" si="117"/>
        <v>1</v>
      </c>
      <c r="H659" s="9">
        <v>24355000</v>
      </c>
    </row>
    <row r="660" spans="1:8" x14ac:dyDescent="0.25">
      <c r="A660" s="7">
        <v>45107</v>
      </c>
      <c r="B660" s="10">
        <v>36</v>
      </c>
      <c r="C660" s="10" t="str">
        <f>"2867"</f>
        <v>2867</v>
      </c>
      <c r="D660" s="11" t="str">
        <f>"Прочие кредиторы по неосновной деятельности"</f>
        <v>Прочие кредиторы по неосновной деятельности</v>
      </c>
      <c r="E660" s="10" t="str">
        <f>"1"</f>
        <v>1</v>
      </c>
      <c r="F660" s="10" t="str">
        <f>"8"</f>
        <v>8</v>
      </c>
      <c r="G660" s="10" t="str">
        <f t="shared" si="117"/>
        <v>1</v>
      </c>
      <c r="H660" s="9">
        <v>144000</v>
      </c>
    </row>
    <row r="661" spans="1:8" x14ac:dyDescent="0.25">
      <c r="A661" s="7">
        <v>45107</v>
      </c>
      <c r="B661" s="10">
        <v>36</v>
      </c>
      <c r="C661" s="10" t="str">
        <f>"2867"</f>
        <v>2867</v>
      </c>
      <c r="D661" s="11" t="str">
        <f>"Прочие кредиторы по неосновной деятельности"</f>
        <v>Прочие кредиторы по неосновной деятельности</v>
      </c>
      <c r="E661" s="10" t="str">
        <f>"1"</f>
        <v>1</v>
      </c>
      <c r="F661" s="10" t="str">
        <f>"9"</f>
        <v>9</v>
      </c>
      <c r="G661" s="10" t="str">
        <f t="shared" si="117"/>
        <v>1</v>
      </c>
      <c r="H661" s="9">
        <v>50481490.329999998</v>
      </c>
    </row>
    <row r="662" spans="1:8" x14ac:dyDescent="0.25">
      <c r="A662" s="7">
        <v>45107</v>
      </c>
      <c r="B662" s="10">
        <v>36</v>
      </c>
      <c r="C662" s="10" t="str">
        <f>"2867"</f>
        <v>2867</v>
      </c>
      <c r="D662" s="11" t="str">
        <f>"Прочие кредиторы по неосновной деятельности"</f>
        <v>Прочие кредиторы по неосновной деятельности</v>
      </c>
      <c r="E662" s="10" t="str">
        <f>"2"</f>
        <v>2</v>
      </c>
      <c r="F662" s="10" t="str">
        <f>"7"</f>
        <v>7</v>
      </c>
      <c r="G662" s="10" t="str">
        <f t="shared" si="117"/>
        <v>1</v>
      </c>
      <c r="H662" s="9">
        <v>35823.75</v>
      </c>
    </row>
    <row r="663" spans="1:8" x14ac:dyDescent="0.25">
      <c r="A663" s="7">
        <v>45107</v>
      </c>
      <c r="B663" s="10">
        <v>36</v>
      </c>
      <c r="C663" s="10" t="str">
        <f>"2868"</f>
        <v>2868</v>
      </c>
      <c r="D663" s="11" t="str">
        <f>"Оценочные обязательства"</f>
        <v>Оценочные обязательства</v>
      </c>
      <c r="E663" s="10" t="str">
        <f>"1"</f>
        <v>1</v>
      </c>
      <c r="F663" s="10" t="str">
        <f>"5"</f>
        <v>5</v>
      </c>
      <c r="G663" s="10" t="str">
        <f t="shared" si="117"/>
        <v>1</v>
      </c>
      <c r="H663" s="9">
        <v>5580416000</v>
      </c>
    </row>
    <row r="664" spans="1:8" x14ac:dyDescent="0.25">
      <c r="A664" s="7">
        <v>45107</v>
      </c>
      <c r="B664" s="10">
        <v>36</v>
      </c>
      <c r="C664" s="10" t="str">
        <f t="shared" ref="C664:C673" si="118">"2869"</f>
        <v>2869</v>
      </c>
      <c r="D664" s="11" t="str">
        <f t="shared" ref="D664:D673" si="119">"Выданные гарантии"</f>
        <v>Выданные гарантии</v>
      </c>
      <c r="E664" s="10" t="str">
        <f>"2"</f>
        <v>2</v>
      </c>
      <c r="F664" s="10" t="str">
        <f>"7"</f>
        <v>7</v>
      </c>
      <c r="G664" s="10" t="str">
        <f t="shared" si="117"/>
        <v>1</v>
      </c>
      <c r="H664" s="9">
        <v>92470161.969999999</v>
      </c>
    </row>
    <row r="665" spans="1:8" x14ac:dyDescent="0.25">
      <c r="A665" s="7">
        <v>45107</v>
      </c>
      <c r="B665" s="10">
        <v>36</v>
      </c>
      <c r="C665" s="10" t="str">
        <f t="shared" si="118"/>
        <v>2869</v>
      </c>
      <c r="D665" s="11" t="str">
        <f t="shared" si="119"/>
        <v>Выданные гарантии</v>
      </c>
      <c r="E665" s="10" t="str">
        <f>"1"</f>
        <v>1</v>
      </c>
      <c r="F665" s="10" t="str">
        <f>"8"</f>
        <v>8</v>
      </c>
      <c r="G665" s="10" t="str">
        <f t="shared" si="117"/>
        <v>1</v>
      </c>
      <c r="H665" s="9">
        <v>152570.79999999999</v>
      </c>
    </row>
    <row r="666" spans="1:8" x14ac:dyDescent="0.25">
      <c r="A666" s="7">
        <v>45107</v>
      </c>
      <c r="B666" s="10">
        <v>36</v>
      </c>
      <c r="C666" s="10" t="str">
        <f t="shared" si="118"/>
        <v>2869</v>
      </c>
      <c r="D666" s="11" t="str">
        <f t="shared" si="119"/>
        <v>Выданные гарантии</v>
      </c>
      <c r="E666" s="10" t="str">
        <f>"1"</f>
        <v>1</v>
      </c>
      <c r="F666" s="10" t="str">
        <f>"7"</f>
        <v>7</v>
      </c>
      <c r="G666" s="10" t="str">
        <f>"2"</f>
        <v>2</v>
      </c>
      <c r="H666" s="9">
        <v>61690291.789999999</v>
      </c>
    </row>
    <row r="667" spans="1:8" x14ac:dyDescent="0.25">
      <c r="A667" s="7">
        <v>45107</v>
      </c>
      <c r="B667" s="10">
        <v>36</v>
      </c>
      <c r="C667" s="10" t="str">
        <f t="shared" si="118"/>
        <v>2869</v>
      </c>
      <c r="D667" s="11" t="str">
        <f t="shared" si="119"/>
        <v>Выданные гарантии</v>
      </c>
      <c r="E667" s="10" t="str">
        <f>"1"</f>
        <v>1</v>
      </c>
      <c r="F667" s="10" t="str">
        <f>"7"</f>
        <v>7</v>
      </c>
      <c r="G667" s="10" t="str">
        <f>"3"</f>
        <v>3</v>
      </c>
      <c r="H667" s="9">
        <v>15857037.76</v>
      </c>
    </row>
    <row r="668" spans="1:8" x14ac:dyDescent="0.25">
      <c r="A668" s="7">
        <v>45107</v>
      </c>
      <c r="B668" s="10">
        <v>36</v>
      </c>
      <c r="C668" s="10" t="str">
        <f t="shared" si="118"/>
        <v>2869</v>
      </c>
      <c r="D668" s="11" t="str">
        <f t="shared" si="119"/>
        <v>Выданные гарантии</v>
      </c>
      <c r="E668" s="10" t="str">
        <f>"2"</f>
        <v>2</v>
      </c>
      <c r="F668" s="10" t="str">
        <f>"4"</f>
        <v>4</v>
      </c>
      <c r="G668" s="10" t="str">
        <f>"1"</f>
        <v>1</v>
      </c>
      <c r="H668" s="9">
        <v>188654.85</v>
      </c>
    </row>
    <row r="669" spans="1:8" x14ac:dyDescent="0.25">
      <c r="A669" s="7">
        <v>45107</v>
      </c>
      <c r="B669" s="10">
        <v>36</v>
      </c>
      <c r="C669" s="10" t="str">
        <f t="shared" si="118"/>
        <v>2869</v>
      </c>
      <c r="D669" s="11" t="str">
        <f t="shared" si="119"/>
        <v>Выданные гарантии</v>
      </c>
      <c r="E669" s="10" t="str">
        <f>"1"</f>
        <v>1</v>
      </c>
      <c r="F669" s="10" t="str">
        <f>"6"</f>
        <v>6</v>
      </c>
      <c r="G669" s="10" t="str">
        <f>"1"</f>
        <v>1</v>
      </c>
      <c r="H669" s="9">
        <v>32075127.59</v>
      </c>
    </row>
    <row r="670" spans="1:8" x14ac:dyDescent="0.25">
      <c r="A670" s="7">
        <v>45107</v>
      </c>
      <c r="B670" s="10">
        <v>36</v>
      </c>
      <c r="C670" s="10" t="str">
        <f t="shared" si="118"/>
        <v>2869</v>
      </c>
      <c r="D670" s="11" t="str">
        <f t="shared" si="119"/>
        <v>Выданные гарантии</v>
      </c>
      <c r="E670" s="10" t="str">
        <f>"1"</f>
        <v>1</v>
      </c>
      <c r="F670" s="10" t="str">
        <f>"7"</f>
        <v>7</v>
      </c>
      <c r="G670" s="10" t="str">
        <f>"1"</f>
        <v>1</v>
      </c>
      <c r="H670" s="9">
        <v>4629056383.4899998</v>
      </c>
    </row>
    <row r="671" spans="1:8" x14ac:dyDescent="0.25">
      <c r="A671" s="7">
        <v>45107</v>
      </c>
      <c r="B671" s="10">
        <v>36</v>
      </c>
      <c r="C671" s="10" t="str">
        <f t="shared" si="118"/>
        <v>2869</v>
      </c>
      <c r="D671" s="11" t="str">
        <f t="shared" si="119"/>
        <v>Выданные гарантии</v>
      </c>
      <c r="E671" s="10" t="str">
        <f>"1"</f>
        <v>1</v>
      </c>
      <c r="F671" s="10" t="str">
        <f>"8"</f>
        <v>8</v>
      </c>
      <c r="G671" s="10" t="str">
        <f>"2"</f>
        <v>2</v>
      </c>
      <c r="H671" s="9">
        <v>3811551.51</v>
      </c>
    </row>
    <row r="672" spans="1:8" x14ac:dyDescent="0.25">
      <c r="A672" s="7">
        <v>45107</v>
      </c>
      <c r="B672" s="10">
        <v>36</v>
      </c>
      <c r="C672" s="10" t="str">
        <f t="shared" si="118"/>
        <v>2869</v>
      </c>
      <c r="D672" s="11" t="str">
        <f t="shared" si="119"/>
        <v>Выданные гарантии</v>
      </c>
      <c r="E672" s="10" t="str">
        <f>"1"</f>
        <v>1</v>
      </c>
      <c r="F672" s="10" t="str">
        <f>"9"</f>
        <v>9</v>
      </c>
      <c r="G672" s="10" t="str">
        <f>"1"</f>
        <v>1</v>
      </c>
      <c r="H672" s="9">
        <v>20585384.489999998</v>
      </c>
    </row>
    <row r="673" spans="1:8" x14ac:dyDescent="0.25">
      <c r="A673" s="7">
        <v>45107</v>
      </c>
      <c r="B673" s="10">
        <v>36</v>
      </c>
      <c r="C673" s="10" t="str">
        <f t="shared" si="118"/>
        <v>2869</v>
      </c>
      <c r="D673" s="11" t="str">
        <f t="shared" si="119"/>
        <v>Выданные гарантии</v>
      </c>
      <c r="E673" s="10" t="str">
        <f>"2"</f>
        <v>2</v>
      </c>
      <c r="F673" s="10" t="str">
        <f>"4"</f>
        <v>4</v>
      </c>
      <c r="G673" s="10" t="str">
        <f>"2"</f>
        <v>2</v>
      </c>
      <c r="H673" s="9">
        <v>1358729.15</v>
      </c>
    </row>
    <row r="674" spans="1:8" x14ac:dyDescent="0.25">
      <c r="A674" s="7">
        <v>45107</v>
      </c>
      <c r="B674" s="10">
        <v>36</v>
      </c>
      <c r="C674" s="10" t="str">
        <f t="shared" ref="C674:C689" si="120">"2870"</f>
        <v>2870</v>
      </c>
      <c r="D674" s="11" t="str">
        <f t="shared" ref="D674:D689" si="121">"Прочие транзитные счета"</f>
        <v>Прочие транзитные счета</v>
      </c>
      <c r="E674" s="10" t="str">
        <f>"1"</f>
        <v>1</v>
      </c>
      <c r="F674" s="10" t="str">
        <f>"5"</f>
        <v>5</v>
      </c>
      <c r="G674" s="10" t="str">
        <f>"2"</f>
        <v>2</v>
      </c>
      <c r="H674" s="9">
        <v>16858882.059999999</v>
      </c>
    </row>
    <row r="675" spans="1:8" x14ac:dyDescent="0.25">
      <c r="A675" s="7">
        <v>45107</v>
      </c>
      <c r="B675" s="10">
        <v>36</v>
      </c>
      <c r="C675" s="10" t="str">
        <f t="shared" si="120"/>
        <v>2870</v>
      </c>
      <c r="D675" s="11" t="str">
        <f t="shared" si="121"/>
        <v>Прочие транзитные счета</v>
      </c>
      <c r="E675" s="10" t="str">
        <f>"1"</f>
        <v>1</v>
      </c>
      <c r="F675" s="10" t="str">
        <f>"9"</f>
        <v>9</v>
      </c>
      <c r="G675" s="10" t="str">
        <f>"1"</f>
        <v>1</v>
      </c>
      <c r="H675" s="9">
        <v>20103077.850000001</v>
      </c>
    </row>
    <row r="676" spans="1:8" x14ac:dyDescent="0.25">
      <c r="A676" s="7">
        <v>45107</v>
      </c>
      <c r="B676" s="10">
        <v>36</v>
      </c>
      <c r="C676" s="10" t="str">
        <f t="shared" si="120"/>
        <v>2870</v>
      </c>
      <c r="D676" s="11" t="str">
        <f t="shared" si="121"/>
        <v>Прочие транзитные счета</v>
      </c>
      <c r="E676" s="10" t="str">
        <f>"1"</f>
        <v>1</v>
      </c>
      <c r="F676" s="10" t="str">
        <f>"4"</f>
        <v>4</v>
      </c>
      <c r="G676" s="10" t="str">
        <f>"3"</f>
        <v>3</v>
      </c>
      <c r="H676" s="9">
        <v>178605669.77000001</v>
      </c>
    </row>
    <row r="677" spans="1:8" x14ac:dyDescent="0.25">
      <c r="A677" s="7">
        <v>45107</v>
      </c>
      <c r="B677" s="10">
        <v>36</v>
      </c>
      <c r="C677" s="10" t="str">
        <f t="shared" si="120"/>
        <v>2870</v>
      </c>
      <c r="D677" s="11" t="str">
        <f t="shared" si="121"/>
        <v>Прочие транзитные счета</v>
      </c>
      <c r="E677" s="10" t="str">
        <f>"1"</f>
        <v>1</v>
      </c>
      <c r="F677" s="10" t="str">
        <f>"9"</f>
        <v>9</v>
      </c>
      <c r="G677" s="10" t="str">
        <f>"2"</f>
        <v>2</v>
      </c>
      <c r="H677" s="9">
        <v>325.81</v>
      </c>
    </row>
    <row r="678" spans="1:8" x14ac:dyDescent="0.25">
      <c r="A678" s="7">
        <v>45107</v>
      </c>
      <c r="B678" s="10">
        <v>36</v>
      </c>
      <c r="C678" s="10" t="str">
        <f t="shared" si="120"/>
        <v>2870</v>
      </c>
      <c r="D678" s="11" t="str">
        <f t="shared" si="121"/>
        <v>Прочие транзитные счета</v>
      </c>
      <c r="E678" s="10" t="str">
        <f>"1"</f>
        <v>1</v>
      </c>
      <c r="F678" s="10" t="str">
        <f>"4"</f>
        <v>4</v>
      </c>
      <c r="G678" s="10" t="str">
        <f>"2"</f>
        <v>2</v>
      </c>
      <c r="H678" s="9">
        <v>846534841.16999996</v>
      </c>
    </row>
    <row r="679" spans="1:8" x14ac:dyDescent="0.25">
      <c r="A679" s="7">
        <v>45107</v>
      </c>
      <c r="B679" s="10">
        <v>36</v>
      </c>
      <c r="C679" s="10" t="str">
        <f t="shared" si="120"/>
        <v>2870</v>
      </c>
      <c r="D679" s="11" t="str">
        <f t="shared" si="121"/>
        <v>Прочие транзитные счета</v>
      </c>
      <c r="E679" s="10" t="str">
        <f>"2"</f>
        <v>2</v>
      </c>
      <c r="F679" s="10" t="str">
        <f>"7"</f>
        <v>7</v>
      </c>
      <c r="G679" s="10" t="str">
        <f>"2"</f>
        <v>2</v>
      </c>
      <c r="H679" s="9">
        <v>341292904.20999998</v>
      </c>
    </row>
    <row r="680" spans="1:8" x14ac:dyDescent="0.25">
      <c r="A680" s="7">
        <v>45107</v>
      </c>
      <c r="B680" s="10">
        <v>36</v>
      </c>
      <c r="C680" s="10" t="str">
        <f t="shared" si="120"/>
        <v>2870</v>
      </c>
      <c r="D680" s="11" t="str">
        <f t="shared" si="121"/>
        <v>Прочие транзитные счета</v>
      </c>
      <c r="E680" s="10" t="str">
        <f>"1"</f>
        <v>1</v>
      </c>
      <c r="F680" s="10" t="str">
        <f>"8"</f>
        <v>8</v>
      </c>
      <c r="G680" s="10" t="str">
        <f>"1"</f>
        <v>1</v>
      </c>
      <c r="H680" s="9">
        <v>2952907</v>
      </c>
    </row>
    <row r="681" spans="1:8" x14ac:dyDescent="0.25">
      <c r="A681" s="7">
        <v>45107</v>
      </c>
      <c r="B681" s="10">
        <v>36</v>
      </c>
      <c r="C681" s="10" t="str">
        <f t="shared" si="120"/>
        <v>2870</v>
      </c>
      <c r="D681" s="11" t="str">
        <f t="shared" si="121"/>
        <v>Прочие транзитные счета</v>
      </c>
      <c r="E681" s="10" t="str">
        <f>"1"</f>
        <v>1</v>
      </c>
      <c r="F681" s="10" t="str">
        <f>"7"</f>
        <v>7</v>
      </c>
      <c r="G681" s="10" t="str">
        <f>"2"</f>
        <v>2</v>
      </c>
      <c r="H681" s="9">
        <v>3985802.99</v>
      </c>
    </row>
    <row r="682" spans="1:8" x14ac:dyDescent="0.25">
      <c r="A682" s="7">
        <v>45107</v>
      </c>
      <c r="B682" s="10">
        <v>36</v>
      </c>
      <c r="C682" s="10" t="str">
        <f t="shared" si="120"/>
        <v>2870</v>
      </c>
      <c r="D682" s="11" t="str">
        <f t="shared" si="121"/>
        <v>Прочие транзитные счета</v>
      </c>
      <c r="E682" s="10" t="str">
        <f>"2"</f>
        <v>2</v>
      </c>
      <c r="F682" s="10" t="str">
        <f>"4"</f>
        <v>4</v>
      </c>
      <c r="G682" s="10" t="str">
        <f>"2"</f>
        <v>2</v>
      </c>
      <c r="H682" s="9">
        <v>518558.15</v>
      </c>
    </row>
    <row r="683" spans="1:8" x14ac:dyDescent="0.25">
      <c r="A683" s="7">
        <v>45107</v>
      </c>
      <c r="B683" s="10">
        <v>36</v>
      </c>
      <c r="C683" s="10" t="str">
        <f t="shared" si="120"/>
        <v>2870</v>
      </c>
      <c r="D683" s="11" t="str">
        <f t="shared" si="121"/>
        <v>Прочие транзитные счета</v>
      </c>
      <c r="E683" s="10" t="str">
        <f>"1"</f>
        <v>1</v>
      </c>
      <c r="F683" s="10" t="str">
        <f>"7"</f>
        <v>7</v>
      </c>
      <c r="G683" s="10" t="str">
        <f>"3"</f>
        <v>3</v>
      </c>
      <c r="H683" s="9">
        <v>4602603.8</v>
      </c>
    </row>
    <row r="684" spans="1:8" x14ac:dyDescent="0.25">
      <c r="A684" s="7">
        <v>45107</v>
      </c>
      <c r="B684" s="10">
        <v>36</v>
      </c>
      <c r="C684" s="10" t="str">
        <f t="shared" si="120"/>
        <v>2870</v>
      </c>
      <c r="D684" s="11" t="str">
        <f t="shared" si="121"/>
        <v>Прочие транзитные счета</v>
      </c>
      <c r="E684" s="10" t="str">
        <f>"1"</f>
        <v>1</v>
      </c>
      <c r="F684" s="10" t="str">
        <f>"4"</f>
        <v>4</v>
      </c>
      <c r="G684" s="10" t="str">
        <f>"1"</f>
        <v>1</v>
      </c>
      <c r="H684" s="9">
        <v>2176977635.8299999</v>
      </c>
    </row>
    <row r="685" spans="1:8" x14ac:dyDescent="0.25">
      <c r="A685" s="7">
        <v>45107</v>
      </c>
      <c r="B685" s="10">
        <v>36</v>
      </c>
      <c r="C685" s="10" t="str">
        <f t="shared" si="120"/>
        <v>2870</v>
      </c>
      <c r="D685" s="11" t="str">
        <f t="shared" si="121"/>
        <v>Прочие транзитные счета</v>
      </c>
      <c r="E685" s="10" t="str">
        <f>"1"</f>
        <v>1</v>
      </c>
      <c r="F685" s="10" t="str">
        <f>"6"</f>
        <v>6</v>
      </c>
      <c r="G685" s="10" t="str">
        <f>"1"</f>
        <v>1</v>
      </c>
      <c r="H685" s="9">
        <v>1809412.48</v>
      </c>
    </row>
    <row r="686" spans="1:8" x14ac:dyDescent="0.25">
      <c r="A686" s="7">
        <v>45107</v>
      </c>
      <c r="B686" s="10">
        <v>36</v>
      </c>
      <c r="C686" s="10" t="str">
        <f t="shared" si="120"/>
        <v>2870</v>
      </c>
      <c r="D686" s="11" t="str">
        <f t="shared" si="121"/>
        <v>Прочие транзитные счета</v>
      </c>
      <c r="E686" s="10" t="str">
        <f>"1"</f>
        <v>1</v>
      </c>
      <c r="F686" s="10" t="str">
        <f>"5"</f>
        <v>5</v>
      </c>
      <c r="G686" s="10" t="str">
        <f>"1"</f>
        <v>1</v>
      </c>
      <c r="H686" s="9">
        <v>17875.73</v>
      </c>
    </row>
    <row r="687" spans="1:8" x14ac:dyDescent="0.25">
      <c r="A687" s="7">
        <v>45107</v>
      </c>
      <c r="B687" s="10">
        <v>36</v>
      </c>
      <c r="C687" s="10" t="str">
        <f t="shared" si="120"/>
        <v>2870</v>
      </c>
      <c r="D687" s="11" t="str">
        <f t="shared" si="121"/>
        <v>Прочие транзитные счета</v>
      </c>
      <c r="E687" s="10" t="str">
        <f>"1"</f>
        <v>1</v>
      </c>
      <c r="F687" s="10" t="str">
        <f>"7"</f>
        <v>7</v>
      </c>
      <c r="G687" s="10" t="str">
        <f>"1"</f>
        <v>1</v>
      </c>
      <c r="H687" s="9">
        <v>1010482522.78</v>
      </c>
    </row>
    <row r="688" spans="1:8" x14ac:dyDescent="0.25">
      <c r="A688" s="7">
        <v>45107</v>
      </c>
      <c r="B688" s="10">
        <v>36</v>
      </c>
      <c r="C688" s="10" t="str">
        <f t="shared" si="120"/>
        <v>2870</v>
      </c>
      <c r="D688" s="11" t="str">
        <f t="shared" si="121"/>
        <v>Прочие транзитные счета</v>
      </c>
      <c r="E688" s="10" t="str">
        <f>"2"</f>
        <v>2</v>
      </c>
      <c r="F688" s="10" t="str">
        <f>"7"</f>
        <v>7</v>
      </c>
      <c r="G688" s="10" t="str">
        <f>"1"</f>
        <v>1</v>
      </c>
      <c r="H688" s="9">
        <v>691487037.74000001</v>
      </c>
    </row>
    <row r="689" spans="1:8" x14ac:dyDescent="0.25">
      <c r="A689" s="7">
        <v>45107</v>
      </c>
      <c r="B689" s="10">
        <v>36</v>
      </c>
      <c r="C689" s="10" t="str">
        <f t="shared" si="120"/>
        <v>2870</v>
      </c>
      <c r="D689" s="11" t="str">
        <f t="shared" si="121"/>
        <v>Прочие транзитные счета</v>
      </c>
      <c r="E689" s="10" t="str">
        <f>"1"</f>
        <v>1</v>
      </c>
      <c r="F689" s="10" t="str">
        <f>"8"</f>
        <v>8</v>
      </c>
      <c r="G689" s="10" t="str">
        <f>"3"</f>
        <v>3</v>
      </c>
      <c r="H689" s="9">
        <v>2570000</v>
      </c>
    </row>
    <row r="690" spans="1:8" ht="30" x14ac:dyDescent="0.25">
      <c r="A690" s="7">
        <v>45107</v>
      </c>
      <c r="B690" s="10">
        <v>36</v>
      </c>
      <c r="C690" s="10" t="str">
        <f>"2874"</f>
        <v>2874</v>
      </c>
      <c r="D690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90" s="10" t="str">
        <f>"2"</f>
        <v>2</v>
      </c>
      <c r="F690" s="10" t="str">
        <f>""</f>
        <v/>
      </c>
      <c r="G690" s="10" t="str">
        <f>"1"</f>
        <v>1</v>
      </c>
      <c r="H690" s="9">
        <v>5500</v>
      </c>
    </row>
    <row r="691" spans="1:8" ht="30" x14ac:dyDescent="0.25">
      <c r="A691" s="7">
        <v>45107</v>
      </c>
      <c r="B691" s="10">
        <v>36</v>
      </c>
      <c r="C691" s="10" t="str">
        <f>"2874"</f>
        <v>2874</v>
      </c>
      <c r="D691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91" s="10" t="str">
        <f t="shared" ref="E691:E696" si="122">"1"</f>
        <v>1</v>
      </c>
      <c r="F691" s="10" t="str">
        <f>""</f>
        <v/>
      </c>
      <c r="G691" s="10" t="str">
        <f>"1"</f>
        <v>1</v>
      </c>
      <c r="H691" s="9">
        <v>347868608.74000001</v>
      </c>
    </row>
    <row r="692" spans="1:8" ht="30" x14ac:dyDescent="0.25">
      <c r="A692" s="7">
        <v>45107</v>
      </c>
      <c r="B692" s="10">
        <v>36</v>
      </c>
      <c r="C692" s="10" t="str">
        <f>"2874"</f>
        <v>2874</v>
      </c>
      <c r="D692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92" s="10" t="str">
        <f t="shared" si="122"/>
        <v>1</v>
      </c>
      <c r="F692" s="10" t="str">
        <f>""</f>
        <v/>
      </c>
      <c r="G692" s="10" t="str">
        <f>"3"</f>
        <v>3</v>
      </c>
      <c r="H692" s="9">
        <v>195320</v>
      </c>
    </row>
    <row r="693" spans="1:8" ht="30" x14ac:dyDescent="0.25">
      <c r="A693" s="7">
        <v>45107</v>
      </c>
      <c r="B693" s="10">
        <v>36</v>
      </c>
      <c r="C693" s="10" t="str">
        <f>"2875"</f>
        <v>2875</v>
      </c>
      <c r="D693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93" s="10" t="str">
        <f t="shared" si="122"/>
        <v>1</v>
      </c>
      <c r="F693" s="10" t="str">
        <f>"7"</f>
        <v>7</v>
      </c>
      <c r="G693" s="10" t="str">
        <f>"2"</f>
        <v>2</v>
      </c>
      <c r="H693" s="9">
        <v>44.16</v>
      </c>
    </row>
    <row r="694" spans="1:8" x14ac:dyDescent="0.25">
      <c r="A694" s="7">
        <v>45107</v>
      </c>
      <c r="B694" s="10">
        <v>36</v>
      </c>
      <c r="C694" s="10" t="str">
        <f>"2880"</f>
        <v>2880</v>
      </c>
      <c r="D694" s="11" t="str">
        <f>"Обязательства по секьюритизируемым активам"</f>
        <v>Обязательства по секьюритизируемым активам</v>
      </c>
      <c r="E694" s="10" t="str">
        <f t="shared" si="122"/>
        <v>1</v>
      </c>
      <c r="F694" s="10" t="str">
        <f>""</f>
        <v/>
      </c>
      <c r="G694" s="10" t="str">
        <f>"1"</f>
        <v>1</v>
      </c>
      <c r="H694" s="9">
        <v>10167234832.99</v>
      </c>
    </row>
    <row r="695" spans="1:8" x14ac:dyDescent="0.25">
      <c r="A695" s="7">
        <v>45107</v>
      </c>
      <c r="B695" s="10">
        <v>36</v>
      </c>
      <c r="C695" s="10" t="str">
        <f>"2894"</f>
        <v>2894</v>
      </c>
      <c r="D695" s="11" t="str">
        <f>"Обязательства по операциям спот"</f>
        <v>Обязательства по операциям спот</v>
      </c>
      <c r="E695" s="10" t="str">
        <f t="shared" si="122"/>
        <v>1</v>
      </c>
      <c r="F695" s="10" t="str">
        <f>"4"</f>
        <v>4</v>
      </c>
      <c r="G695" s="10" t="str">
        <f>"1"</f>
        <v>1</v>
      </c>
      <c r="H695" s="9">
        <v>5880000</v>
      </c>
    </row>
    <row r="696" spans="1:8" x14ac:dyDescent="0.25">
      <c r="A696" s="7">
        <v>45107</v>
      </c>
      <c r="B696" s="10">
        <v>36</v>
      </c>
      <c r="C696" s="10" t="str">
        <f>"2894"</f>
        <v>2894</v>
      </c>
      <c r="D696" s="11" t="str">
        <f>"Обязательства по операциям спот"</f>
        <v>Обязательства по операциям спот</v>
      </c>
      <c r="E696" s="10" t="str">
        <f t="shared" si="122"/>
        <v>1</v>
      </c>
      <c r="F696" s="10" t="str">
        <f>"5"</f>
        <v>5</v>
      </c>
      <c r="G696" s="10" t="str">
        <f>"1"</f>
        <v>1</v>
      </c>
      <c r="H696" s="9">
        <v>137207885</v>
      </c>
    </row>
    <row r="697" spans="1:8" x14ac:dyDescent="0.25">
      <c r="A697" s="7">
        <v>45107</v>
      </c>
      <c r="B697" s="10">
        <v>36</v>
      </c>
      <c r="C697" s="10" t="str">
        <f>"2894"</f>
        <v>2894</v>
      </c>
      <c r="D697" s="11" t="str">
        <f>"Обязательства по операциям спот"</f>
        <v>Обязательства по операциям спот</v>
      </c>
      <c r="E697" s="10" t="str">
        <f>"2"</f>
        <v>2</v>
      </c>
      <c r="F697" s="10" t="str">
        <f>"4"</f>
        <v>4</v>
      </c>
      <c r="G697" s="10" t="str">
        <f>"1"</f>
        <v>1</v>
      </c>
      <c r="H697" s="9">
        <v>154014852.87</v>
      </c>
    </row>
    <row r="698" spans="1:8" x14ac:dyDescent="0.25">
      <c r="A698" s="7">
        <v>45107</v>
      </c>
      <c r="B698" s="10">
        <v>36</v>
      </c>
      <c r="C698" s="10" t="str">
        <f>"2895"</f>
        <v>2895</v>
      </c>
      <c r="D698" s="11" t="str">
        <f>"Обязательства по операциям своп"</f>
        <v>Обязательства по операциям своп</v>
      </c>
      <c r="E698" s="10" t="str">
        <f>"2"</f>
        <v>2</v>
      </c>
      <c r="F698" s="10" t="str">
        <f>"4"</f>
        <v>4</v>
      </c>
      <c r="G698" s="10" t="str">
        <f>"1"</f>
        <v>1</v>
      </c>
      <c r="H698" s="9">
        <v>88971600</v>
      </c>
    </row>
    <row r="699" spans="1:8" x14ac:dyDescent="0.25">
      <c r="A699" s="7">
        <v>45107</v>
      </c>
      <c r="B699" s="10">
        <v>36</v>
      </c>
      <c r="C699" s="10" t="str">
        <f>"3001"</f>
        <v>3001</v>
      </c>
      <c r="D699" s="11" t="str">
        <f>"Уставный капитал – простые акции"</f>
        <v>Уставный капитал – простые акции</v>
      </c>
      <c r="E699" s="10" t="str">
        <f>""</f>
        <v/>
      </c>
      <c r="F699" s="10" t="str">
        <f>""</f>
        <v/>
      </c>
      <c r="G699" s="10" t="str">
        <f>""</f>
        <v/>
      </c>
      <c r="H699" s="9">
        <v>258200884530.94</v>
      </c>
    </row>
    <row r="700" spans="1:8" x14ac:dyDescent="0.25">
      <c r="A700" s="7">
        <v>45107</v>
      </c>
      <c r="B700" s="10">
        <v>36</v>
      </c>
      <c r="C700" s="10" t="str">
        <f>"3003"</f>
        <v>3003</v>
      </c>
      <c r="D700" s="11" t="str">
        <f>"Выкупленные простые акции"</f>
        <v>Выкупленные простые акции</v>
      </c>
      <c r="E700" s="10" t="str">
        <f>""</f>
        <v/>
      </c>
      <c r="F700" s="10" t="str">
        <f>""</f>
        <v/>
      </c>
      <c r="G700" s="10" t="str">
        <f>""</f>
        <v/>
      </c>
      <c r="H700" s="9">
        <v>-2637702661.9299998</v>
      </c>
    </row>
    <row r="701" spans="1:8" x14ac:dyDescent="0.25">
      <c r="A701" s="7">
        <v>45107</v>
      </c>
      <c r="B701" s="10">
        <v>36</v>
      </c>
      <c r="C701" s="10" t="str">
        <f>"3025"</f>
        <v>3025</v>
      </c>
      <c r="D701" s="11" t="str">
        <f>"Уставный капитал – привилегированные акции"</f>
        <v>Уставный капитал – привилегированные акции</v>
      </c>
      <c r="E701" s="10" t="str">
        <f>""</f>
        <v/>
      </c>
      <c r="F701" s="10" t="str">
        <f>""</f>
        <v/>
      </c>
      <c r="G701" s="10" t="str">
        <f>""</f>
        <v/>
      </c>
      <c r="H701" s="9">
        <v>2500000000</v>
      </c>
    </row>
    <row r="702" spans="1:8" x14ac:dyDescent="0.25">
      <c r="A702" s="7">
        <v>45107</v>
      </c>
      <c r="B702" s="10">
        <v>36</v>
      </c>
      <c r="C702" s="10" t="str">
        <f>"3101"</f>
        <v>3101</v>
      </c>
      <c r="D702" s="11" t="str">
        <f>"Дополнительный оплаченный капитал"</f>
        <v>Дополнительный оплаченный капитал</v>
      </c>
      <c r="E702" s="10" t="str">
        <f>""</f>
        <v/>
      </c>
      <c r="F702" s="10" t="str">
        <f>""</f>
        <v/>
      </c>
      <c r="G702" s="10" t="str">
        <f>""</f>
        <v/>
      </c>
      <c r="H702" s="9">
        <v>686279349.84000003</v>
      </c>
    </row>
    <row r="703" spans="1:8" ht="30" x14ac:dyDescent="0.25">
      <c r="A703" s="7">
        <v>45107</v>
      </c>
      <c r="B703" s="10">
        <v>36</v>
      </c>
      <c r="C703" s="10" t="str">
        <f>"3540"</f>
        <v>3540</v>
      </c>
      <c r="D703" s="1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703" s="10" t="str">
        <f>""</f>
        <v/>
      </c>
      <c r="F703" s="10" t="str">
        <f>""</f>
        <v/>
      </c>
      <c r="G703" s="10" t="str">
        <f>""</f>
        <v/>
      </c>
      <c r="H703" s="9">
        <v>6570246774.3900003</v>
      </c>
    </row>
    <row r="704" spans="1:8" ht="30" x14ac:dyDescent="0.25">
      <c r="A704" s="7">
        <v>45107</v>
      </c>
      <c r="B704" s="10">
        <v>36</v>
      </c>
      <c r="C704" s="10" t="str">
        <f>"3561"</f>
        <v>3561</v>
      </c>
      <c r="D704" s="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704" s="10" t="str">
        <f>"1"</f>
        <v>1</v>
      </c>
      <c r="F704" s="10" t="str">
        <f>""</f>
        <v/>
      </c>
      <c r="G704" s="10" t="str">
        <f>"1"</f>
        <v>1</v>
      </c>
      <c r="H704" s="9">
        <v>11185239815.530001</v>
      </c>
    </row>
    <row r="705" spans="1:8" ht="45" x14ac:dyDescent="0.25">
      <c r="A705" s="7">
        <v>45107</v>
      </c>
      <c r="B705" s="10">
        <v>36</v>
      </c>
      <c r="C705" s="10" t="str">
        <f>"3562"</f>
        <v>3562</v>
      </c>
      <c r="D705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5" s="10" t="str">
        <f>"1"</f>
        <v>1</v>
      </c>
      <c r="F705" s="10" t="str">
        <f>""</f>
        <v/>
      </c>
      <c r="G705" s="10" t="str">
        <f>"2"</f>
        <v>2</v>
      </c>
      <c r="H705" s="9">
        <v>34982389.670000002</v>
      </c>
    </row>
    <row r="706" spans="1:8" ht="45" x14ac:dyDescent="0.25">
      <c r="A706" s="7">
        <v>45107</v>
      </c>
      <c r="B706" s="10">
        <v>36</v>
      </c>
      <c r="C706" s="10" t="str">
        <f>"3562"</f>
        <v>3562</v>
      </c>
      <c r="D706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6" s="10" t="str">
        <f>"1"</f>
        <v>1</v>
      </c>
      <c r="F706" s="10" t="str">
        <f>""</f>
        <v/>
      </c>
      <c r="G706" s="10" t="str">
        <f>"1"</f>
        <v>1</v>
      </c>
      <c r="H706" s="9">
        <v>83716970.180000007</v>
      </c>
    </row>
    <row r="707" spans="1:8" ht="30" x14ac:dyDescent="0.25">
      <c r="A707" s="7">
        <v>45107</v>
      </c>
      <c r="B707" s="10">
        <v>36</v>
      </c>
      <c r="C707" s="10" t="str">
        <f>"3563"</f>
        <v>3563</v>
      </c>
      <c r="D707" s="11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07" s="10" t="str">
        <f>"1"</f>
        <v>1</v>
      </c>
      <c r="F707" s="10" t="str">
        <f>""</f>
        <v/>
      </c>
      <c r="G707" s="10" t="str">
        <f>"1"</f>
        <v>1</v>
      </c>
      <c r="H707" s="9">
        <v>-2564320337.5</v>
      </c>
    </row>
    <row r="708" spans="1:8" ht="30" x14ac:dyDescent="0.25">
      <c r="A708" s="7">
        <v>45107</v>
      </c>
      <c r="B708" s="10">
        <v>36</v>
      </c>
      <c r="C708" s="10" t="str">
        <f>"3580"</f>
        <v>3580</v>
      </c>
      <c r="D708" s="1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08" s="10" t="str">
        <f>""</f>
        <v/>
      </c>
      <c r="F708" s="10" t="str">
        <f>""</f>
        <v/>
      </c>
      <c r="G708" s="10" t="str">
        <f>""</f>
        <v/>
      </c>
      <c r="H708" s="9">
        <v>250952511098.29001</v>
      </c>
    </row>
    <row r="709" spans="1:8" x14ac:dyDescent="0.25">
      <c r="A709" s="7">
        <v>45107</v>
      </c>
      <c r="B709" s="10">
        <v>36</v>
      </c>
      <c r="C709" s="10" t="str">
        <f>"3599"</f>
        <v>3599</v>
      </c>
      <c r="D709" s="11" t="str">
        <f>"Нераспределенная чистая прибыль (непокрытый убыток)"</f>
        <v>Нераспределенная чистая прибыль (непокрытый убыток)</v>
      </c>
      <c r="E709" s="10" t="str">
        <f>""</f>
        <v/>
      </c>
      <c r="F709" s="10" t="str">
        <f>""</f>
        <v/>
      </c>
      <c r="G709" s="10" t="str">
        <f>""</f>
        <v/>
      </c>
      <c r="H709" s="9">
        <v>58668409767.080002</v>
      </c>
    </row>
    <row r="710" spans="1:8" ht="30" x14ac:dyDescent="0.25">
      <c r="A710" s="7">
        <v>45107</v>
      </c>
      <c r="B710" s="10">
        <v>36</v>
      </c>
      <c r="C710" s="10" t="str">
        <f>"4052"</f>
        <v>4052</v>
      </c>
      <c r="D710" s="1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10" s="10" t="str">
        <f>""</f>
        <v/>
      </c>
      <c r="F710" s="10" t="str">
        <f>""</f>
        <v/>
      </c>
      <c r="G710" s="10" t="str">
        <f>""</f>
        <v/>
      </c>
      <c r="H710" s="9">
        <v>566316859.82000005</v>
      </c>
    </row>
    <row r="711" spans="1:8" ht="45" x14ac:dyDescent="0.25">
      <c r="A711" s="7">
        <v>45107</v>
      </c>
      <c r="B711" s="10">
        <v>36</v>
      </c>
      <c r="C711" s="10" t="str">
        <f>"4101"</f>
        <v>4101</v>
      </c>
      <c r="D711" s="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11" s="10" t="str">
        <f>""</f>
        <v/>
      </c>
      <c r="F711" s="10" t="str">
        <f>""</f>
        <v/>
      </c>
      <c r="G711" s="10" t="str">
        <f>""</f>
        <v/>
      </c>
      <c r="H711" s="9">
        <v>1160250000</v>
      </c>
    </row>
    <row r="712" spans="1:8" ht="45" x14ac:dyDescent="0.25">
      <c r="A712" s="7">
        <v>45107</v>
      </c>
      <c r="B712" s="10">
        <v>36</v>
      </c>
      <c r="C712" s="10" t="str">
        <f>"4103"</f>
        <v>4103</v>
      </c>
      <c r="D712" s="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12" s="10" t="str">
        <f>""</f>
        <v/>
      </c>
      <c r="F712" s="10" t="str">
        <f>""</f>
        <v/>
      </c>
      <c r="G712" s="10" t="str">
        <f>""</f>
        <v/>
      </c>
      <c r="H712" s="9">
        <v>7401055963.4099998</v>
      </c>
    </row>
    <row r="713" spans="1:8" ht="45" x14ac:dyDescent="0.25">
      <c r="A713" s="7">
        <v>45107</v>
      </c>
      <c r="B713" s="10">
        <v>36</v>
      </c>
      <c r="C713" s="10" t="str">
        <f>"4201"</f>
        <v>4201</v>
      </c>
      <c r="D713" s="1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713" s="10" t="str">
        <f>""</f>
        <v/>
      </c>
      <c r="F713" s="10" t="str">
        <f>""</f>
        <v/>
      </c>
      <c r="G713" s="10" t="str">
        <f>""</f>
        <v/>
      </c>
      <c r="H713" s="9">
        <v>5988921.3899999997</v>
      </c>
    </row>
    <row r="714" spans="1:8" ht="45" x14ac:dyDescent="0.25">
      <c r="A714" s="7">
        <v>45107</v>
      </c>
      <c r="B714" s="10">
        <v>36</v>
      </c>
      <c r="C714" s="10" t="str">
        <f>"4202"</f>
        <v>4202</v>
      </c>
      <c r="D714" s="11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714" s="10" t="str">
        <f>""</f>
        <v/>
      </c>
      <c r="F714" s="10" t="str">
        <f>""</f>
        <v/>
      </c>
      <c r="G714" s="10" t="str">
        <f>""</f>
        <v/>
      </c>
      <c r="H714" s="9">
        <v>4250342.7</v>
      </c>
    </row>
    <row r="715" spans="1:8" ht="30" x14ac:dyDescent="0.25">
      <c r="A715" s="7">
        <v>45107</v>
      </c>
      <c r="B715" s="10">
        <v>36</v>
      </c>
      <c r="C715" s="10" t="str">
        <f>"4251"</f>
        <v>4251</v>
      </c>
      <c r="D715" s="1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15" s="10" t="str">
        <f>""</f>
        <v/>
      </c>
      <c r="F715" s="10" t="str">
        <f>""</f>
        <v/>
      </c>
      <c r="G715" s="10" t="str">
        <f>""</f>
        <v/>
      </c>
      <c r="H715" s="9">
        <v>15124536.91</v>
      </c>
    </row>
    <row r="716" spans="1:8" ht="45" x14ac:dyDescent="0.25">
      <c r="A716" s="7">
        <v>45107</v>
      </c>
      <c r="B716" s="10">
        <v>36</v>
      </c>
      <c r="C716" s="10" t="str">
        <f>"4253"</f>
        <v>4253</v>
      </c>
      <c r="D716" s="1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16" s="10" t="str">
        <f>""</f>
        <v/>
      </c>
      <c r="F716" s="10" t="str">
        <f>""</f>
        <v/>
      </c>
      <c r="G716" s="10" t="str">
        <f>""</f>
        <v/>
      </c>
      <c r="H716" s="9">
        <v>274719085.31999999</v>
      </c>
    </row>
    <row r="717" spans="1:8" ht="45" x14ac:dyDescent="0.25">
      <c r="A717" s="7">
        <v>45107</v>
      </c>
      <c r="B717" s="10">
        <v>36</v>
      </c>
      <c r="C717" s="10" t="str">
        <f>"4254"</f>
        <v>4254</v>
      </c>
      <c r="D717" s="1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17" s="10" t="str">
        <f>""</f>
        <v/>
      </c>
      <c r="F717" s="10" t="str">
        <f>""</f>
        <v/>
      </c>
      <c r="G717" s="10" t="str">
        <f>""</f>
        <v/>
      </c>
      <c r="H717" s="9">
        <v>956982978.03999996</v>
      </c>
    </row>
    <row r="718" spans="1:8" ht="30" x14ac:dyDescent="0.25">
      <c r="A718" s="7">
        <v>45107</v>
      </c>
      <c r="B718" s="10">
        <v>36</v>
      </c>
      <c r="C718" s="10" t="str">
        <f>"4264"</f>
        <v>4264</v>
      </c>
      <c r="D718" s="11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18" s="10" t="str">
        <f>""</f>
        <v/>
      </c>
      <c r="F718" s="10" t="str">
        <f>""</f>
        <v/>
      </c>
      <c r="G718" s="10" t="str">
        <f>""</f>
        <v/>
      </c>
      <c r="H718" s="9">
        <v>1560278669.1800001</v>
      </c>
    </row>
    <row r="719" spans="1:8" ht="60" x14ac:dyDescent="0.25">
      <c r="A719" s="7">
        <v>45107</v>
      </c>
      <c r="B719" s="10">
        <v>36</v>
      </c>
      <c r="C719" s="10" t="str">
        <f>"4265"</f>
        <v>4265</v>
      </c>
      <c r="D719" s="1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19" s="10" t="str">
        <f>""</f>
        <v/>
      </c>
      <c r="F719" s="10" t="str">
        <f>""</f>
        <v/>
      </c>
      <c r="G719" s="10" t="str">
        <f>""</f>
        <v/>
      </c>
      <c r="H719" s="9">
        <v>216164269.66999999</v>
      </c>
    </row>
    <row r="720" spans="1:8" ht="30" x14ac:dyDescent="0.25">
      <c r="A720" s="7">
        <v>45107</v>
      </c>
      <c r="B720" s="10">
        <v>36</v>
      </c>
      <c r="C720" s="10" t="str">
        <f>"4302"</f>
        <v>4302</v>
      </c>
      <c r="D720" s="1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20" s="10" t="str">
        <f>""</f>
        <v/>
      </c>
      <c r="F720" s="10" t="str">
        <f>""</f>
        <v/>
      </c>
      <c r="G720" s="10" t="str">
        <f>""</f>
        <v/>
      </c>
      <c r="H720" s="9">
        <v>82804046.439999998</v>
      </c>
    </row>
    <row r="721" spans="1:8" ht="30" x14ac:dyDescent="0.25">
      <c r="A721" s="7">
        <v>45107</v>
      </c>
      <c r="B721" s="10">
        <v>36</v>
      </c>
      <c r="C721" s="10" t="str">
        <f>"4304"</f>
        <v>4304</v>
      </c>
      <c r="D721" s="11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21" s="10" t="str">
        <f>""</f>
        <v/>
      </c>
      <c r="F721" s="10" t="str">
        <f>""</f>
        <v/>
      </c>
      <c r="G721" s="10" t="str">
        <f>""</f>
        <v/>
      </c>
      <c r="H721" s="9">
        <v>25302.95</v>
      </c>
    </row>
    <row r="722" spans="1:8" ht="45" x14ac:dyDescent="0.25">
      <c r="A722" s="7">
        <v>45107</v>
      </c>
      <c r="B722" s="10">
        <v>36</v>
      </c>
      <c r="C722" s="10" t="str">
        <f>"4312"</f>
        <v>4312</v>
      </c>
      <c r="D722" s="11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22" s="10" t="str">
        <f>""</f>
        <v/>
      </c>
      <c r="F722" s="10" t="str">
        <f>""</f>
        <v/>
      </c>
      <c r="G722" s="10" t="str">
        <f>""</f>
        <v/>
      </c>
      <c r="H722" s="9">
        <v>11744385.960000001</v>
      </c>
    </row>
    <row r="723" spans="1:8" ht="30" x14ac:dyDescent="0.25">
      <c r="A723" s="7">
        <v>45107</v>
      </c>
      <c r="B723" s="10">
        <v>36</v>
      </c>
      <c r="C723" s="10" t="str">
        <f>"4401"</f>
        <v>4401</v>
      </c>
      <c r="D723" s="1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23" s="10" t="str">
        <f>""</f>
        <v/>
      </c>
      <c r="F723" s="10" t="str">
        <f>""</f>
        <v/>
      </c>
      <c r="G723" s="10" t="str">
        <f>""</f>
        <v/>
      </c>
      <c r="H723" s="9">
        <v>263157454.16</v>
      </c>
    </row>
    <row r="724" spans="1:8" ht="30" x14ac:dyDescent="0.25">
      <c r="A724" s="7">
        <v>45107</v>
      </c>
      <c r="B724" s="10">
        <v>36</v>
      </c>
      <c r="C724" s="10" t="str">
        <f>"4403"</f>
        <v>4403</v>
      </c>
      <c r="D724" s="1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24" s="10" t="str">
        <f>""</f>
        <v/>
      </c>
      <c r="F724" s="10" t="str">
        <f>""</f>
        <v/>
      </c>
      <c r="G724" s="10" t="str">
        <f>""</f>
        <v/>
      </c>
      <c r="H724" s="9">
        <v>4881485.01</v>
      </c>
    </row>
    <row r="725" spans="1:8" ht="30" x14ac:dyDescent="0.25">
      <c r="A725" s="7">
        <v>45107</v>
      </c>
      <c r="B725" s="10">
        <v>36</v>
      </c>
      <c r="C725" s="10" t="str">
        <f>"4411"</f>
        <v>4411</v>
      </c>
      <c r="D725" s="1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25" s="10" t="str">
        <f>""</f>
        <v/>
      </c>
      <c r="F725" s="10" t="str">
        <f>""</f>
        <v/>
      </c>
      <c r="G725" s="10" t="str">
        <f>""</f>
        <v/>
      </c>
      <c r="H725" s="9">
        <v>12300382421.129999</v>
      </c>
    </row>
    <row r="726" spans="1:8" ht="30" x14ac:dyDescent="0.25">
      <c r="A726" s="7">
        <v>45107</v>
      </c>
      <c r="B726" s="10">
        <v>36</v>
      </c>
      <c r="C726" s="10" t="str">
        <f>"4417"</f>
        <v>4417</v>
      </c>
      <c r="D726" s="1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26" s="10" t="str">
        <f>""</f>
        <v/>
      </c>
      <c r="F726" s="10" t="str">
        <f>""</f>
        <v/>
      </c>
      <c r="G726" s="10" t="str">
        <f>""</f>
        <v/>
      </c>
      <c r="H726" s="9">
        <v>86596034538.279999</v>
      </c>
    </row>
    <row r="727" spans="1:8" ht="30" x14ac:dyDescent="0.25">
      <c r="A727" s="7">
        <v>45107</v>
      </c>
      <c r="B727" s="10">
        <v>36</v>
      </c>
      <c r="C727" s="10" t="str">
        <f>"4422"</f>
        <v>4422</v>
      </c>
      <c r="D727" s="11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27" s="10" t="str">
        <f>""</f>
        <v/>
      </c>
      <c r="F727" s="10" t="str">
        <f>""</f>
        <v/>
      </c>
      <c r="G727" s="10" t="str">
        <f>""</f>
        <v/>
      </c>
      <c r="H727" s="9">
        <v>2096066836.79</v>
      </c>
    </row>
    <row r="728" spans="1:8" ht="30" x14ac:dyDescent="0.25">
      <c r="A728" s="7">
        <v>45107</v>
      </c>
      <c r="B728" s="10">
        <v>36</v>
      </c>
      <c r="C728" s="10" t="str">
        <f>"4424"</f>
        <v>4424</v>
      </c>
      <c r="D728" s="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28" s="10" t="str">
        <f>""</f>
        <v/>
      </c>
      <c r="F728" s="10" t="str">
        <f>""</f>
        <v/>
      </c>
      <c r="G728" s="10" t="str">
        <f>""</f>
        <v/>
      </c>
      <c r="H728" s="9">
        <v>14947808907.1</v>
      </c>
    </row>
    <row r="729" spans="1:8" ht="30" x14ac:dyDescent="0.25">
      <c r="A729" s="7">
        <v>45107</v>
      </c>
      <c r="B729" s="10">
        <v>36</v>
      </c>
      <c r="C729" s="10" t="str">
        <f>"4429"</f>
        <v>4429</v>
      </c>
      <c r="D729" s="1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29" s="10" t="str">
        <f>""</f>
        <v/>
      </c>
      <c r="F729" s="10" t="str">
        <f>""</f>
        <v/>
      </c>
      <c r="G729" s="10" t="str">
        <f>""</f>
        <v/>
      </c>
      <c r="H729" s="9">
        <v>50840841.700000003</v>
      </c>
    </row>
    <row r="730" spans="1:8" ht="30" x14ac:dyDescent="0.25">
      <c r="A730" s="7">
        <v>45107</v>
      </c>
      <c r="B730" s="10">
        <v>36</v>
      </c>
      <c r="C730" s="10" t="str">
        <f>"4430"</f>
        <v>4430</v>
      </c>
      <c r="D730" s="11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30" s="10" t="str">
        <f>""</f>
        <v/>
      </c>
      <c r="F730" s="10" t="str">
        <f>""</f>
        <v/>
      </c>
      <c r="G730" s="10" t="str">
        <f>""</f>
        <v/>
      </c>
      <c r="H730" s="9">
        <v>861608695.54999995</v>
      </c>
    </row>
    <row r="731" spans="1:8" ht="45" x14ac:dyDescent="0.25">
      <c r="A731" s="7">
        <v>45107</v>
      </c>
      <c r="B731" s="10">
        <v>36</v>
      </c>
      <c r="C731" s="10" t="str">
        <f>"4434"</f>
        <v>4434</v>
      </c>
      <c r="D731" s="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31" s="10" t="str">
        <f>""</f>
        <v/>
      </c>
      <c r="F731" s="10" t="str">
        <f>""</f>
        <v/>
      </c>
      <c r="G731" s="10" t="str">
        <f>""</f>
        <v/>
      </c>
      <c r="H731" s="9">
        <v>13584846890.25</v>
      </c>
    </row>
    <row r="732" spans="1:8" ht="30" x14ac:dyDescent="0.25">
      <c r="A732" s="7">
        <v>45107</v>
      </c>
      <c r="B732" s="10">
        <v>36</v>
      </c>
      <c r="C732" s="10" t="str">
        <f>"4436"</f>
        <v>4436</v>
      </c>
      <c r="D732" s="1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32" s="10" t="str">
        <f>""</f>
        <v/>
      </c>
      <c r="F732" s="10" t="str">
        <f>""</f>
        <v/>
      </c>
      <c r="G732" s="10" t="str">
        <f>""</f>
        <v/>
      </c>
      <c r="H732" s="9">
        <v>9615316756.3400002</v>
      </c>
    </row>
    <row r="733" spans="1:8" ht="45" x14ac:dyDescent="0.25">
      <c r="A733" s="7">
        <v>45107</v>
      </c>
      <c r="B733" s="10">
        <v>36</v>
      </c>
      <c r="C733" s="10" t="str">
        <f>"4452"</f>
        <v>4452</v>
      </c>
      <c r="D733" s="1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33" s="10" t="str">
        <f>""</f>
        <v/>
      </c>
      <c r="F733" s="10" t="str">
        <f>""</f>
        <v/>
      </c>
      <c r="G733" s="10" t="str">
        <f>""</f>
        <v/>
      </c>
      <c r="H733" s="9">
        <v>8878478150.1200008</v>
      </c>
    </row>
    <row r="734" spans="1:8" ht="45" x14ac:dyDescent="0.25">
      <c r="A734" s="7">
        <v>45107</v>
      </c>
      <c r="B734" s="10">
        <v>36</v>
      </c>
      <c r="C734" s="10" t="str">
        <f>"4453"</f>
        <v>4453</v>
      </c>
      <c r="D734" s="1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34" s="10" t="str">
        <f>""</f>
        <v/>
      </c>
      <c r="F734" s="10" t="str">
        <f>""</f>
        <v/>
      </c>
      <c r="G734" s="10" t="str">
        <f>""</f>
        <v/>
      </c>
      <c r="H734" s="9">
        <v>48279185947.010002</v>
      </c>
    </row>
    <row r="735" spans="1:8" ht="30" x14ac:dyDescent="0.25">
      <c r="A735" s="7">
        <v>45107</v>
      </c>
      <c r="B735" s="10">
        <v>36</v>
      </c>
      <c r="C735" s="10" t="str">
        <f>"4454"</f>
        <v>4454</v>
      </c>
      <c r="D735" s="1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35" s="10" t="str">
        <f>""</f>
        <v/>
      </c>
      <c r="F735" s="10" t="str">
        <f>""</f>
        <v/>
      </c>
      <c r="G735" s="10" t="str">
        <f>""</f>
        <v/>
      </c>
      <c r="H735" s="9">
        <v>15408.55</v>
      </c>
    </row>
    <row r="736" spans="1:8" x14ac:dyDescent="0.25">
      <c r="A736" s="7">
        <v>45107</v>
      </c>
      <c r="B736" s="10">
        <v>36</v>
      </c>
      <c r="C736" s="10" t="str">
        <f>"4465"</f>
        <v>4465</v>
      </c>
      <c r="D736" s="11" t="s">
        <v>8</v>
      </c>
      <c r="E736" s="10" t="str">
        <f>""</f>
        <v/>
      </c>
      <c r="F736" s="10" t="str">
        <f>""</f>
        <v/>
      </c>
      <c r="G736" s="10" t="str">
        <f>""</f>
        <v/>
      </c>
      <c r="H736" s="9">
        <v>506838969.75999999</v>
      </c>
    </row>
    <row r="737" spans="1:8" ht="30" x14ac:dyDescent="0.25">
      <c r="A737" s="7">
        <v>45107</v>
      </c>
      <c r="B737" s="10">
        <v>36</v>
      </c>
      <c r="C737" s="10" t="str">
        <f>"4475"</f>
        <v>4475</v>
      </c>
      <c r="D737" s="11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37" s="10" t="str">
        <f>""</f>
        <v/>
      </c>
      <c r="F737" s="10" t="str">
        <f>""</f>
        <v/>
      </c>
      <c r="G737" s="10" t="str">
        <f>""</f>
        <v/>
      </c>
      <c r="H737" s="9">
        <v>100410863.34</v>
      </c>
    </row>
    <row r="738" spans="1:8" ht="30" x14ac:dyDescent="0.25">
      <c r="A738" s="7">
        <v>45107</v>
      </c>
      <c r="B738" s="10">
        <v>36</v>
      </c>
      <c r="C738" s="10" t="str">
        <f>"4476"</f>
        <v>4476</v>
      </c>
      <c r="D738" s="1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38" s="10" t="str">
        <f>""</f>
        <v/>
      </c>
      <c r="F738" s="10" t="str">
        <f>""</f>
        <v/>
      </c>
      <c r="G738" s="10" t="str">
        <f>""</f>
        <v/>
      </c>
      <c r="H738" s="9">
        <v>65610520</v>
      </c>
    </row>
    <row r="739" spans="1:8" ht="30" x14ac:dyDescent="0.25">
      <c r="A739" s="7">
        <v>45107</v>
      </c>
      <c r="B739" s="10">
        <v>36</v>
      </c>
      <c r="C739" s="10" t="str">
        <f>"4481"</f>
        <v>4481</v>
      </c>
      <c r="D739" s="1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39" s="10" t="str">
        <f>""</f>
        <v/>
      </c>
      <c r="F739" s="10" t="str">
        <f>""</f>
        <v/>
      </c>
      <c r="G739" s="10" t="str">
        <f>""</f>
        <v/>
      </c>
      <c r="H739" s="9">
        <v>1403470192.21</v>
      </c>
    </row>
    <row r="740" spans="1:8" ht="30" x14ac:dyDescent="0.25">
      <c r="A740" s="7">
        <v>45107</v>
      </c>
      <c r="B740" s="10">
        <v>36</v>
      </c>
      <c r="C740" s="10" t="str">
        <f>"4482"</f>
        <v>4482</v>
      </c>
      <c r="D740" s="1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40" s="10" t="str">
        <f>""</f>
        <v/>
      </c>
      <c r="F740" s="10" t="str">
        <f>""</f>
        <v/>
      </c>
      <c r="G740" s="10" t="str">
        <f>""</f>
        <v/>
      </c>
      <c r="H740" s="9">
        <v>1938458141</v>
      </c>
    </row>
    <row r="741" spans="1:8" ht="30" x14ac:dyDescent="0.25">
      <c r="A741" s="7">
        <v>45107</v>
      </c>
      <c r="B741" s="10">
        <v>36</v>
      </c>
      <c r="C741" s="10" t="str">
        <f>"4492"</f>
        <v>4492</v>
      </c>
      <c r="D741" s="1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41" s="10" t="str">
        <f>""</f>
        <v/>
      </c>
      <c r="F741" s="10" t="str">
        <f>""</f>
        <v/>
      </c>
      <c r="G741" s="10" t="str">
        <f>""</f>
        <v/>
      </c>
      <c r="H741" s="9">
        <v>315526223.11000001</v>
      </c>
    </row>
    <row r="742" spans="1:8" x14ac:dyDescent="0.25">
      <c r="A742" s="7">
        <v>45107</v>
      </c>
      <c r="B742" s="10">
        <v>36</v>
      </c>
      <c r="C742" s="10" t="str">
        <f>"4510"</f>
        <v>4510</v>
      </c>
      <c r="D742" s="11" t="str">
        <f>"Доходы по купле-продаже ценных бумаг"</f>
        <v>Доходы по купле-продаже ценных бумаг</v>
      </c>
      <c r="E742" s="10" t="str">
        <f>""</f>
        <v/>
      </c>
      <c r="F742" s="10" t="str">
        <f>""</f>
        <v/>
      </c>
      <c r="G742" s="10" t="str">
        <f>""</f>
        <v/>
      </c>
      <c r="H742" s="9">
        <v>202562321</v>
      </c>
    </row>
    <row r="743" spans="1:8" x14ac:dyDescent="0.25">
      <c r="A743" s="7">
        <v>45107</v>
      </c>
      <c r="B743" s="10">
        <v>36</v>
      </c>
      <c r="C743" s="10" t="str">
        <f>"4530"</f>
        <v>4530</v>
      </c>
      <c r="D743" s="11" t="str">
        <f>"Доходы по купле-продаже иностранной валюты"</f>
        <v>Доходы по купле-продаже иностранной валюты</v>
      </c>
      <c r="E743" s="10" t="str">
        <f>""</f>
        <v/>
      </c>
      <c r="F743" s="10" t="str">
        <f>""</f>
        <v/>
      </c>
      <c r="G743" s="10" t="str">
        <f>""</f>
        <v/>
      </c>
      <c r="H743" s="9">
        <v>18938574248.880001</v>
      </c>
    </row>
    <row r="744" spans="1:8" x14ac:dyDescent="0.25">
      <c r="A744" s="7">
        <v>45107</v>
      </c>
      <c r="B744" s="10">
        <v>36</v>
      </c>
      <c r="C744" s="10" t="str">
        <f>"4540"</f>
        <v>4540</v>
      </c>
      <c r="D744" s="11" t="str">
        <f>"Доходы от продажи аффинированных драгоценных металлов"</f>
        <v>Доходы от продажи аффинированных драгоценных металлов</v>
      </c>
      <c r="E744" s="10" t="str">
        <f>""</f>
        <v/>
      </c>
      <c r="F744" s="10" t="str">
        <f>""</f>
        <v/>
      </c>
      <c r="G744" s="10" t="str">
        <f>""</f>
        <v/>
      </c>
      <c r="H744" s="9">
        <v>115064031.64</v>
      </c>
    </row>
    <row r="745" spans="1:8" x14ac:dyDescent="0.25">
      <c r="A745" s="7">
        <v>45107</v>
      </c>
      <c r="B745" s="10">
        <v>36</v>
      </c>
      <c r="C745" s="10" t="str">
        <f>"4593"</f>
        <v>4593</v>
      </c>
      <c r="D745" s="11" t="str">
        <f>"Доходы от переоценки операций своп"</f>
        <v>Доходы от переоценки операций своп</v>
      </c>
      <c r="E745" s="10" t="str">
        <f>""</f>
        <v/>
      </c>
      <c r="F745" s="10" t="str">
        <f>""</f>
        <v/>
      </c>
      <c r="G745" s="10" t="str">
        <f>""</f>
        <v/>
      </c>
      <c r="H745" s="9">
        <v>275710587.73000002</v>
      </c>
    </row>
    <row r="746" spans="1:8" x14ac:dyDescent="0.25">
      <c r="A746" s="7">
        <v>45107</v>
      </c>
      <c r="B746" s="10">
        <v>36</v>
      </c>
      <c r="C746" s="10" t="str">
        <f>"4601"</f>
        <v>4601</v>
      </c>
      <c r="D746" s="11" t="str">
        <f>"Комиссионные доходы за услуги по переводным операциям"</f>
        <v>Комиссионные доходы за услуги по переводным операциям</v>
      </c>
      <c r="E746" s="10" t="str">
        <f>""</f>
        <v/>
      </c>
      <c r="F746" s="10" t="str">
        <f>""</f>
        <v/>
      </c>
      <c r="G746" s="10" t="str">
        <f>""</f>
        <v/>
      </c>
      <c r="H746" s="9">
        <v>15518841940.629999</v>
      </c>
    </row>
    <row r="747" spans="1:8" x14ac:dyDescent="0.25">
      <c r="A747" s="7">
        <v>45107</v>
      </c>
      <c r="B747" s="10">
        <v>36</v>
      </c>
      <c r="C747" s="10" t="str">
        <f>"4602"</f>
        <v>4602</v>
      </c>
      <c r="D747" s="11" t="str">
        <f>"Комиссионные доходы за агентские услуги"</f>
        <v>Комиссионные доходы за агентские услуги</v>
      </c>
      <c r="E747" s="10" t="str">
        <f>""</f>
        <v/>
      </c>
      <c r="F747" s="10" t="str">
        <f>""</f>
        <v/>
      </c>
      <c r="G747" s="10" t="str">
        <f>""</f>
        <v/>
      </c>
      <c r="H747" s="9">
        <v>246111234.44999999</v>
      </c>
    </row>
    <row r="748" spans="1:8" ht="30" x14ac:dyDescent="0.25">
      <c r="A748" s="7">
        <v>45107</v>
      </c>
      <c r="B748" s="10">
        <v>36</v>
      </c>
      <c r="C748" s="10" t="str">
        <f>"4604"</f>
        <v>4604</v>
      </c>
      <c r="D748" s="1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48" s="10" t="str">
        <f>""</f>
        <v/>
      </c>
      <c r="F748" s="10" t="str">
        <f>""</f>
        <v/>
      </c>
      <c r="G748" s="10" t="str">
        <f>""</f>
        <v/>
      </c>
      <c r="H748" s="9">
        <v>237627392.62</v>
      </c>
    </row>
    <row r="749" spans="1:8" x14ac:dyDescent="0.25">
      <c r="A749" s="7">
        <v>45107</v>
      </c>
      <c r="B749" s="10">
        <v>36</v>
      </c>
      <c r="C749" s="10" t="str">
        <f>"4606"</f>
        <v>4606</v>
      </c>
      <c r="D749" s="11" t="str">
        <f>"Комиссионные доходы за услуги по операциям с гарантиями"</f>
        <v>Комиссионные доходы за услуги по операциям с гарантиями</v>
      </c>
      <c r="E749" s="10" t="str">
        <f>""</f>
        <v/>
      </c>
      <c r="F749" s="10" t="str">
        <f>""</f>
        <v/>
      </c>
      <c r="G749" s="10" t="str">
        <f>""</f>
        <v/>
      </c>
      <c r="H749" s="9">
        <v>864612915.09000003</v>
      </c>
    </row>
    <row r="750" spans="1:8" ht="30" x14ac:dyDescent="0.25">
      <c r="A750" s="7">
        <v>45107</v>
      </c>
      <c r="B750" s="10">
        <v>36</v>
      </c>
      <c r="C750" s="10" t="str">
        <f>"4607"</f>
        <v>4607</v>
      </c>
      <c r="D750" s="1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50" s="10" t="str">
        <f>""</f>
        <v/>
      </c>
      <c r="F750" s="10" t="str">
        <f>""</f>
        <v/>
      </c>
      <c r="G750" s="10" t="str">
        <f>""</f>
        <v/>
      </c>
      <c r="H750" s="9">
        <v>1972902232.6700001</v>
      </c>
    </row>
    <row r="751" spans="1:8" x14ac:dyDescent="0.25">
      <c r="A751" s="7">
        <v>45107</v>
      </c>
      <c r="B751" s="10">
        <v>36</v>
      </c>
      <c r="C751" s="10" t="str">
        <f>"4608"</f>
        <v>4608</v>
      </c>
      <c r="D751" s="11" t="str">
        <f>"Прочие комиссионные доходы"</f>
        <v>Прочие комиссионные доходы</v>
      </c>
      <c r="E751" s="10" t="str">
        <f>""</f>
        <v/>
      </c>
      <c r="F751" s="10" t="str">
        <f>""</f>
        <v/>
      </c>
      <c r="G751" s="10" t="str">
        <f>""</f>
        <v/>
      </c>
      <c r="H751" s="9">
        <v>2601391705.3800001</v>
      </c>
    </row>
    <row r="752" spans="1:8" ht="30" x14ac:dyDescent="0.25">
      <c r="A752" s="7">
        <v>45107</v>
      </c>
      <c r="B752" s="10">
        <v>36</v>
      </c>
      <c r="C752" s="10" t="str">
        <f>"4609"</f>
        <v>4609</v>
      </c>
      <c r="D752" s="1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52" s="10" t="str">
        <f>""</f>
        <v/>
      </c>
      <c r="F752" s="10" t="str">
        <f>""</f>
        <v/>
      </c>
      <c r="G752" s="10" t="str">
        <f>""</f>
        <v/>
      </c>
      <c r="H752" s="9">
        <v>95206624.620000005</v>
      </c>
    </row>
    <row r="753" spans="1:8" x14ac:dyDescent="0.25">
      <c r="A753" s="7">
        <v>45107</v>
      </c>
      <c r="B753" s="10">
        <v>36</v>
      </c>
      <c r="C753" s="10" t="str">
        <f>"4611"</f>
        <v>4611</v>
      </c>
      <c r="D753" s="11" t="str">
        <f>"Комиссионные доходы за услуги по кассовым операциям"</f>
        <v>Комиссионные доходы за услуги по кассовым операциям</v>
      </c>
      <c r="E753" s="10" t="str">
        <f>""</f>
        <v/>
      </c>
      <c r="F753" s="10" t="str">
        <f>""</f>
        <v/>
      </c>
      <c r="G753" s="10" t="str">
        <f>""</f>
        <v/>
      </c>
      <c r="H753" s="9">
        <v>755351846.21000004</v>
      </c>
    </row>
    <row r="754" spans="1:8" x14ac:dyDescent="0.25">
      <c r="A754" s="7">
        <v>45107</v>
      </c>
      <c r="B754" s="10">
        <v>36</v>
      </c>
      <c r="C754" s="10" t="str">
        <f>"4612"</f>
        <v>4612</v>
      </c>
      <c r="D754" s="11" t="str">
        <f>"Комиссионные доходы по документарным расчетам"</f>
        <v>Комиссионные доходы по документарным расчетам</v>
      </c>
      <c r="E754" s="10" t="str">
        <f>""</f>
        <v/>
      </c>
      <c r="F754" s="10" t="str">
        <f>""</f>
        <v/>
      </c>
      <c r="G754" s="10" t="str">
        <f>""</f>
        <v/>
      </c>
      <c r="H754" s="9">
        <v>5815634.3799999999</v>
      </c>
    </row>
    <row r="755" spans="1:8" x14ac:dyDescent="0.25">
      <c r="A755" s="7">
        <v>45107</v>
      </c>
      <c r="B755" s="10">
        <v>36</v>
      </c>
      <c r="C755" s="10" t="str">
        <f>"4617"</f>
        <v>4617</v>
      </c>
      <c r="D755" s="11" t="str">
        <f>"Комиссионные доходы за услуги по сейфовым операциям"</f>
        <v>Комиссионные доходы за услуги по сейфовым операциям</v>
      </c>
      <c r="E755" s="10" t="str">
        <f>""</f>
        <v/>
      </c>
      <c r="F755" s="10" t="str">
        <f>""</f>
        <v/>
      </c>
      <c r="G755" s="10" t="str">
        <f>""</f>
        <v/>
      </c>
      <c r="H755" s="9">
        <v>92909535.069999993</v>
      </c>
    </row>
    <row r="756" spans="1:8" x14ac:dyDescent="0.25">
      <c r="A756" s="7">
        <v>45107</v>
      </c>
      <c r="B756" s="10">
        <v>36</v>
      </c>
      <c r="C756" s="10" t="str">
        <f>"4619"</f>
        <v>4619</v>
      </c>
      <c r="D756" s="11" t="str">
        <f>"Комиссионные доходы за обслуживание платежных карточек"</f>
        <v>Комиссионные доходы за обслуживание платежных карточек</v>
      </c>
      <c r="E756" s="10" t="str">
        <f>""</f>
        <v/>
      </c>
      <c r="F756" s="10" t="str">
        <f>""</f>
        <v/>
      </c>
      <c r="G756" s="10" t="str">
        <f>""</f>
        <v/>
      </c>
      <c r="H756" s="9">
        <v>2052787865.4400001</v>
      </c>
    </row>
    <row r="757" spans="1:8" x14ac:dyDescent="0.25">
      <c r="A757" s="7">
        <v>45107</v>
      </c>
      <c r="B757" s="10">
        <v>36</v>
      </c>
      <c r="C757" s="10" t="str">
        <f>"4703"</f>
        <v>4703</v>
      </c>
      <c r="D757" s="11" t="str">
        <f>"Доход от переоценки иностранной валюты"</f>
        <v>Доход от переоценки иностранной валюты</v>
      </c>
      <c r="E757" s="10" t="str">
        <f>""</f>
        <v/>
      </c>
      <c r="F757" s="10" t="str">
        <f>""</f>
        <v/>
      </c>
      <c r="G757" s="10" t="str">
        <f>""</f>
        <v/>
      </c>
      <c r="H757" s="9">
        <v>560188265061.54004</v>
      </c>
    </row>
    <row r="758" spans="1:8" x14ac:dyDescent="0.25">
      <c r="A758" s="7">
        <v>45107</v>
      </c>
      <c r="B758" s="10">
        <v>36</v>
      </c>
      <c r="C758" s="10" t="str">
        <f>"4704"</f>
        <v>4704</v>
      </c>
      <c r="D758" s="1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58" s="10" t="str">
        <f>""</f>
        <v/>
      </c>
      <c r="F758" s="10" t="str">
        <f>""</f>
        <v/>
      </c>
      <c r="G758" s="10" t="str">
        <f>""</f>
        <v/>
      </c>
      <c r="H758" s="9">
        <v>191041800.83000001</v>
      </c>
    </row>
    <row r="759" spans="1:8" ht="30" x14ac:dyDescent="0.25">
      <c r="A759" s="7">
        <v>45107</v>
      </c>
      <c r="B759" s="10">
        <v>36</v>
      </c>
      <c r="C759" s="10" t="str">
        <f>"4709"</f>
        <v>4709</v>
      </c>
      <c r="D759" s="1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59" s="10" t="str">
        <f>""</f>
        <v/>
      </c>
      <c r="F759" s="10" t="str">
        <f>""</f>
        <v/>
      </c>
      <c r="G759" s="10" t="str">
        <f>""</f>
        <v/>
      </c>
      <c r="H759" s="9">
        <v>4642540.54</v>
      </c>
    </row>
    <row r="760" spans="1:8" ht="30" x14ac:dyDescent="0.25">
      <c r="A760" s="7">
        <v>45107</v>
      </c>
      <c r="B760" s="10">
        <v>36</v>
      </c>
      <c r="C760" s="10" t="str">
        <f>"4733"</f>
        <v>4733</v>
      </c>
      <c r="D760" s="1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60" s="10" t="str">
        <f>""</f>
        <v/>
      </c>
      <c r="F760" s="10" t="str">
        <f>""</f>
        <v/>
      </c>
      <c r="G760" s="10" t="str">
        <f>""</f>
        <v/>
      </c>
      <c r="H760" s="9">
        <v>214934693.03</v>
      </c>
    </row>
    <row r="761" spans="1:8" ht="30" x14ac:dyDescent="0.25">
      <c r="A761" s="7">
        <v>45107</v>
      </c>
      <c r="B761" s="10">
        <v>36</v>
      </c>
      <c r="C761" s="10" t="str">
        <f>"4852"</f>
        <v>4852</v>
      </c>
      <c r="D761" s="1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61" s="10" t="str">
        <f>""</f>
        <v/>
      </c>
      <c r="F761" s="10" t="str">
        <f>""</f>
        <v/>
      </c>
      <c r="G761" s="10" t="str">
        <f>""</f>
        <v/>
      </c>
      <c r="H761" s="9">
        <v>20754777.359999999</v>
      </c>
    </row>
    <row r="762" spans="1:8" x14ac:dyDescent="0.25">
      <c r="A762" s="7">
        <v>45107</v>
      </c>
      <c r="B762" s="10">
        <v>36</v>
      </c>
      <c r="C762" s="10" t="str">
        <f>"4853"</f>
        <v>4853</v>
      </c>
      <c r="D762" s="11" t="str">
        <f>"Доходы от реализации запасов"</f>
        <v>Доходы от реализации запасов</v>
      </c>
      <c r="E762" s="10" t="str">
        <f>""</f>
        <v/>
      </c>
      <c r="F762" s="10" t="str">
        <f>""</f>
        <v/>
      </c>
      <c r="G762" s="10" t="str">
        <f>""</f>
        <v/>
      </c>
      <c r="H762" s="9">
        <v>2153071428.54</v>
      </c>
    </row>
    <row r="763" spans="1:8" ht="30" x14ac:dyDescent="0.25">
      <c r="A763" s="7">
        <v>45107</v>
      </c>
      <c r="B763" s="10">
        <v>36</v>
      </c>
      <c r="C763" s="10" t="str">
        <f>"4854"</f>
        <v>4854</v>
      </c>
      <c r="D763" s="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63" s="10" t="str">
        <f>""</f>
        <v/>
      </c>
      <c r="F763" s="10" t="str">
        <f>""</f>
        <v/>
      </c>
      <c r="G763" s="10" t="str">
        <f>""</f>
        <v/>
      </c>
      <c r="H763" s="9">
        <v>270465187.19999999</v>
      </c>
    </row>
    <row r="764" spans="1:8" x14ac:dyDescent="0.25">
      <c r="A764" s="7">
        <v>45107</v>
      </c>
      <c r="B764" s="10">
        <v>36</v>
      </c>
      <c r="C764" s="10" t="str">
        <f>"4895"</f>
        <v>4895</v>
      </c>
      <c r="D764" s="11" t="str">
        <f>"Доходы по операциям своп"</f>
        <v>Доходы по операциям своп</v>
      </c>
      <c r="E764" s="10" t="str">
        <f>""</f>
        <v/>
      </c>
      <c r="F764" s="10" t="str">
        <f>""</f>
        <v/>
      </c>
      <c r="G764" s="10" t="str">
        <f>""</f>
        <v/>
      </c>
      <c r="H764" s="9">
        <v>26265598723.599998</v>
      </c>
    </row>
    <row r="765" spans="1:8" x14ac:dyDescent="0.25">
      <c r="A765" s="7">
        <v>45107</v>
      </c>
      <c r="B765" s="10">
        <v>36</v>
      </c>
      <c r="C765" s="10" t="str">
        <f>"4900"</f>
        <v>4900</v>
      </c>
      <c r="D765" s="11" t="str">
        <f>"Неустойка (штраф, пеня)"</f>
        <v>Неустойка (штраф, пеня)</v>
      </c>
      <c r="E765" s="10" t="str">
        <f>""</f>
        <v/>
      </c>
      <c r="F765" s="10" t="str">
        <f>""</f>
        <v/>
      </c>
      <c r="G765" s="10" t="str">
        <f>""</f>
        <v/>
      </c>
      <c r="H765" s="9">
        <v>23342754318.09</v>
      </c>
    </row>
    <row r="766" spans="1:8" x14ac:dyDescent="0.25">
      <c r="A766" s="7">
        <v>45107</v>
      </c>
      <c r="B766" s="10">
        <v>36</v>
      </c>
      <c r="C766" s="10" t="str">
        <f>"4921"</f>
        <v>4921</v>
      </c>
      <c r="D766" s="11" t="str">
        <f>"Прочие доходы от банковской деятельности"</f>
        <v>Прочие доходы от банковской деятельности</v>
      </c>
      <c r="E766" s="10" t="str">
        <f>""</f>
        <v/>
      </c>
      <c r="F766" s="10" t="str">
        <f>""</f>
        <v/>
      </c>
      <c r="G766" s="10" t="str">
        <f>""</f>
        <v/>
      </c>
      <c r="H766" s="9">
        <v>232510016.53999999</v>
      </c>
    </row>
    <row r="767" spans="1:8" x14ac:dyDescent="0.25">
      <c r="A767" s="7">
        <v>45107</v>
      </c>
      <c r="B767" s="10">
        <v>36</v>
      </c>
      <c r="C767" s="10" t="str">
        <f>"4922"</f>
        <v>4922</v>
      </c>
      <c r="D767" s="11" t="str">
        <f>"Прочие доходы от неосновной деятельности"</f>
        <v>Прочие доходы от неосновной деятельности</v>
      </c>
      <c r="E767" s="10" t="str">
        <f>""</f>
        <v/>
      </c>
      <c r="F767" s="10" t="str">
        <f>""</f>
        <v/>
      </c>
      <c r="G767" s="10" t="str">
        <f>""</f>
        <v/>
      </c>
      <c r="H767" s="9">
        <v>122560425.61</v>
      </c>
    </row>
    <row r="768" spans="1:8" ht="30" x14ac:dyDescent="0.25">
      <c r="A768" s="7">
        <v>45107</v>
      </c>
      <c r="B768" s="10">
        <v>36</v>
      </c>
      <c r="C768" s="10" t="str">
        <f>"4951"</f>
        <v>4951</v>
      </c>
      <c r="D768" s="1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68" s="10" t="str">
        <f>""</f>
        <v/>
      </c>
      <c r="F768" s="10" t="str">
        <f>""</f>
        <v/>
      </c>
      <c r="G768" s="10" t="str">
        <f>""</f>
        <v/>
      </c>
      <c r="H768" s="9">
        <v>1729308.3</v>
      </c>
    </row>
    <row r="769" spans="1:8" ht="30" x14ac:dyDescent="0.25">
      <c r="A769" s="7">
        <v>45107</v>
      </c>
      <c r="B769" s="10">
        <v>36</v>
      </c>
      <c r="C769" s="10" t="str">
        <f>"4952"</f>
        <v>4952</v>
      </c>
      <c r="D769" s="11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69" s="10" t="str">
        <f>""</f>
        <v/>
      </c>
      <c r="F769" s="10" t="str">
        <f>""</f>
        <v/>
      </c>
      <c r="G769" s="10" t="str">
        <f>""</f>
        <v/>
      </c>
      <c r="H769" s="9">
        <v>34668917.899999999</v>
      </c>
    </row>
    <row r="770" spans="1:8" ht="45" x14ac:dyDescent="0.25">
      <c r="A770" s="7">
        <v>45107</v>
      </c>
      <c r="B770" s="10">
        <v>36</v>
      </c>
      <c r="C770" s="10" t="str">
        <f>"4953"</f>
        <v>4953</v>
      </c>
      <c r="D770" s="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70" s="10" t="str">
        <f>""</f>
        <v/>
      </c>
      <c r="F770" s="10" t="str">
        <f>""</f>
        <v/>
      </c>
      <c r="G770" s="10" t="str">
        <f>""</f>
        <v/>
      </c>
      <c r="H770" s="9">
        <v>2343354378.6100001</v>
      </c>
    </row>
    <row r="771" spans="1:8" ht="30" x14ac:dyDescent="0.25">
      <c r="A771" s="7">
        <v>45107</v>
      </c>
      <c r="B771" s="10">
        <v>36</v>
      </c>
      <c r="C771" s="10" t="str">
        <f>"4954"</f>
        <v>4954</v>
      </c>
      <c r="D771" s="1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71" s="10" t="str">
        <f>""</f>
        <v/>
      </c>
      <c r="F771" s="10" t="str">
        <f>""</f>
        <v/>
      </c>
      <c r="G771" s="10" t="str">
        <f>""</f>
        <v/>
      </c>
      <c r="H771" s="9">
        <v>12502672.83</v>
      </c>
    </row>
    <row r="772" spans="1:8" ht="30" x14ac:dyDescent="0.25">
      <c r="A772" s="7">
        <v>45107</v>
      </c>
      <c r="B772" s="10">
        <v>36</v>
      </c>
      <c r="C772" s="10" t="str">
        <f>"4955"</f>
        <v>4955</v>
      </c>
      <c r="D772" s="1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72" s="10" t="str">
        <f>""</f>
        <v/>
      </c>
      <c r="F772" s="10" t="str">
        <f>""</f>
        <v/>
      </c>
      <c r="G772" s="10" t="str">
        <f>""</f>
        <v/>
      </c>
      <c r="H772" s="9">
        <v>94683122355.990005</v>
      </c>
    </row>
    <row r="773" spans="1:8" ht="45" x14ac:dyDescent="0.25">
      <c r="A773" s="7">
        <v>45107</v>
      </c>
      <c r="B773" s="10">
        <v>36</v>
      </c>
      <c r="C773" s="10" t="str">
        <f>"4956"</f>
        <v>4956</v>
      </c>
      <c r="D773" s="1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73" s="10" t="str">
        <f>""</f>
        <v/>
      </c>
      <c r="F773" s="10" t="str">
        <f>""</f>
        <v/>
      </c>
      <c r="G773" s="10" t="str">
        <f>""</f>
        <v/>
      </c>
      <c r="H773" s="9">
        <v>508454493.12</v>
      </c>
    </row>
    <row r="774" spans="1:8" ht="45" x14ac:dyDescent="0.25">
      <c r="A774" s="7">
        <v>45107</v>
      </c>
      <c r="B774" s="10">
        <v>36</v>
      </c>
      <c r="C774" s="10" t="str">
        <f>"4957"</f>
        <v>4957</v>
      </c>
      <c r="D774" s="1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74" s="10" t="str">
        <f>""</f>
        <v/>
      </c>
      <c r="F774" s="10" t="str">
        <f>""</f>
        <v/>
      </c>
      <c r="G774" s="10" t="str">
        <f>""</f>
        <v/>
      </c>
      <c r="H774" s="9">
        <v>152778955.41999999</v>
      </c>
    </row>
    <row r="775" spans="1:8" ht="30" x14ac:dyDescent="0.25">
      <c r="A775" s="7">
        <v>45107</v>
      </c>
      <c r="B775" s="10">
        <v>36</v>
      </c>
      <c r="C775" s="10" t="str">
        <f>"4958"</f>
        <v>4958</v>
      </c>
      <c r="D775" s="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75" s="10" t="str">
        <f>""</f>
        <v/>
      </c>
      <c r="F775" s="10" t="str">
        <f>""</f>
        <v/>
      </c>
      <c r="G775" s="10" t="str">
        <f>""</f>
        <v/>
      </c>
      <c r="H775" s="9">
        <v>2201618901.1100001</v>
      </c>
    </row>
    <row r="776" spans="1:8" ht="45" x14ac:dyDescent="0.25">
      <c r="A776" s="7">
        <v>45107</v>
      </c>
      <c r="B776" s="10">
        <v>36</v>
      </c>
      <c r="C776" s="10" t="str">
        <f>"4959"</f>
        <v>4959</v>
      </c>
      <c r="D776" s="1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76" s="10" t="str">
        <f>""</f>
        <v/>
      </c>
      <c r="F776" s="10" t="str">
        <f>""</f>
        <v/>
      </c>
      <c r="G776" s="10" t="str">
        <f>""</f>
        <v/>
      </c>
      <c r="H776" s="9">
        <v>74836266.049999997</v>
      </c>
    </row>
    <row r="777" spans="1:8" ht="45" x14ac:dyDescent="0.25">
      <c r="A777" s="7">
        <v>45107</v>
      </c>
      <c r="B777" s="10">
        <v>36</v>
      </c>
      <c r="C777" s="10" t="str">
        <f>"4963"</f>
        <v>4963</v>
      </c>
      <c r="D777" s="1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77" s="10" t="str">
        <f>""</f>
        <v/>
      </c>
      <c r="F777" s="10" t="str">
        <f>""</f>
        <v/>
      </c>
      <c r="G777" s="10" t="str">
        <f>""</f>
        <v/>
      </c>
      <c r="H777" s="9">
        <v>105547867.68000001</v>
      </c>
    </row>
    <row r="778" spans="1:8" ht="75" x14ac:dyDescent="0.25">
      <c r="A778" s="7">
        <v>45107</v>
      </c>
      <c r="B778" s="10">
        <v>36</v>
      </c>
      <c r="C778" s="10" t="str">
        <f>"5036"</f>
        <v>5036</v>
      </c>
      <c r="D778" s="11" t="s">
        <v>9</v>
      </c>
      <c r="E778" s="10" t="str">
        <f>""</f>
        <v/>
      </c>
      <c r="F778" s="10" t="str">
        <f>""</f>
        <v/>
      </c>
      <c r="G778" s="10" t="str">
        <f>""</f>
        <v/>
      </c>
      <c r="H778" s="9">
        <v>10202647.33</v>
      </c>
    </row>
    <row r="779" spans="1:8" ht="30" x14ac:dyDescent="0.25">
      <c r="A779" s="7">
        <v>45107</v>
      </c>
      <c r="B779" s="10">
        <v>36</v>
      </c>
      <c r="C779" s="10" t="str">
        <f>"5056"</f>
        <v>5056</v>
      </c>
      <c r="D779" s="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79" s="10" t="str">
        <f>""</f>
        <v/>
      </c>
      <c r="F779" s="10" t="str">
        <f>""</f>
        <v/>
      </c>
      <c r="G779" s="10" t="str">
        <f>""</f>
        <v/>
      </c>
      <c r="H779" s="9">
        <v>21540445.170000002</v>
      </c>
    </row>
    <row r="780" spans="1:8" ht="45" x14ac:dyDescent="0.25">
      <c r="A780" s="7">
        <v>45107</v>
      </c>
      <c r="B780" s="10">
        <v>36</v>
      </c>
      <c r="C780" s="10" t="str">
        <f>"5066"</f>
        <v>5066</v>
      </c>
      <c r="D780" s="1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80" s="10" t="str">
        <f>""</f>
        <v/>
      </c>
      <c r="F780" s="10" t="str">
        <f>""</f>
        <v/>
      </c>
      <c r="G780" s="10" t="str">
        <f>""</f>
        <v/>
      </c>
      <c r="H780" s="9">
        <v>175983.92</v>
      </c>
    </row>
    <row r="781" spans="1:8" x14ac:dyDescent="0.25">
      <c r="A781" s="7">
        <v>45107</v>
      </c>
      <c r="B781" s="10">
        <v>36</v>
      </c>
      <c r="C781" s="10" t="str">
        <f>"5069"</f>
        <v>5069</v>
      </c>
      <c r="D781" s="11" t="str">
        <f>"Расходы по амортизации дисконта по полученным займам"</f>
        <v>Расходы по амортизации дисконта по полученным займам</v>
      </c>
      <c r="E781" s="10" t="str">
        <f>""</f>
        <v/>
      </c>
      <c r="F781" s="10" t="str">
        <f>""</f>
        <v/>
      </c>
      <c r="G781" s="10" t="str">
        <f>""</f>
        <v/>
      </c>
      <c r="H781" s="9">
        <v>446589742.04000002</v>
      </c>
    </row>
    <row r="782" spans="1:8" ht="30" x14ac:dyDescent="0.25">
      <c r="A782" s="7">
        <v>45107</v>
      </c>
      <c r="B782" s="10">
        <v>36</v>
      </c>
      <c r="C782" s="10" t="str">
        <f>"5126"</f>
        <v>5126</v>
      </c>
      <c r="D782" s="1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82" s="10" t="str">
        <f>""</f>
        <v/>
      </c>
      <c r="F782" s="10" t="str">
        <f>""</f>
        <v/>
      </c>
      <c r="G782" s="10" t="str">
        <f>""</f>
        <v/>
      </c>
      <c r="H782" s="9">
        <v>119658399.05</v>
      </c>
    </row>
    <row r="783" spans="1:8" ht="30" x14ac:dyDescent="0.25">
      <c r="A783" s="7">
        <v>45107</v>
      </c>
      <c r="B783" s="10">
        <v>36</v>
      </c>
      <c r="C783" s="10" t="str">
        <f>"5127"</f>
        <v>5127</v>
      </c>
      <c r="D783" s="11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E783" s="10" t="str">
        <f>""</f>
        <v/>
      </c>
      <c r="F783" s="10" t="str">
        <f>""</f>
        <v/>
      </c>
      <c r="G783" s="10" t="str">
        <f>""</f>
        <v/>
      </c>
      <c r="H783" s="9">
        <v>3149265.07</v>
      </c>
    </row>
    <row r="784" spans="1:8" ht="30" x14ac:dyDescent="0.25">
      <c r="A784" s="7">
        <v>45107</v>
      </c>
      <c r="B784" s="10">
        <v>36</v>
      </c>
      <c r="C784" s="10" t="str">
        <f>"5130"</f>
        <v>5130</v>
      </c>
      <c r="D784" s="1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84" s="10" t="str">
        <f>""</f>
        <v/>
      </c>
      <c r="F784" s="10" t="str">
        <f>""</f>
        <v/>
      </c>
      <c r="G784" s="10" t="str">
        <f>""</f>
        <v/>
      </c>
      <c r="H784" s="9">
        <v>8278896.6900000004</v>
      </c>
    </row>
    <row r="785" spans="1:8" ht="45" x14ac:dyDescent="0.25">
      <c r="A785" s="7">
        <v>45107</v>
      </c>
      <c r="B785" s="10">
        <v>36</v>
      </c>
      <c r="C785" s="10" t="str">
        <f>"5143"</f>
        <v>5143</v>
      </c>
      <c r="D785" s="11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85" s="10" t="str">
        <f>""</f>
        <v/>
      </c>
      <c r="F785" s="10" t="str">
        <f>""</f>
        <v/>
      </c>
      <c r="G785" s="10" t="str">
        <f>""</f>
        <v/>
      </c>
      <c r="H785" s="9">
        <v>23596589.260000002</v>
      </c>
    </row>
    <row r="786" spans="1:8" ht="30" x14ac:dyDescent="0.25">
      <c r="A786" s="7">
        <v>45107</v>
      </c>
      <c r="B786" s="10">
        <v>36</v>
      </c>
      <c r="C786" s="10" t="str">
        <f>"5204"</f>
        <v>5204</v>
      </c>
      <c r="D786" s="11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86" s="10" t="str">
        <f>""</f>
        <v/>
      </c>
      <c r="F786" s="10" t="str">
        <f>""</f>
        <v/>
      </c>
      <c r="G786" s="10" t="str">
        <f>""</f>
        <v/>
      </c>
      <c r="H786" s="9">
        <v>250505873.05000001</v>
      </c>
    </row>
    <row r="787" spans="1:8" ht="30" x14ac:dyDescent="0.25">
      <c r="A787" s="7">
        <v>45107</v>
      </c>
      <c r="B787" s="10">
        <v>36</v>
      </c>
      <c r="C787" s="10" t="str">
        <f>"5215"</f>
        <v>5215</v>
      </c>
      <c r="D787" s="1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87" s="10" t="str">
        <f>""</f>
        <v/>
      </c>
      <c r="F787" s="10" t="str">
        <f>""</f>
        <v/>
      </c>
      <c r="G787" s="10" t="str">
        <f>""</f>
        <v/>
      </c>
      <c r="H787" s="9">
        <v>33946801584.580002</v>
      </c>
    </row>
    <row r="788" spans="1:8" ht="30" x14ac:dyDescent="0.25">
      <c r="A788" s="7">
        <v>45107</v>
      </c>
      <c r="B788" s="10">
        <v>36</v>
      </c>
      <c r="C788" s="10" t="str">
        <f>"5217"</f>
        <v>5217</v>
      </c>
      <c r="D788" s="1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88" s="10" t="str">
        <f>""</f>
        <v/>
      </c>
      <c r="F788" s="10" t="str">
        <f>""</f>
        <v/>
      </c>
      <c r="G788" s="10" t="str">
        <f>""</f>
        <v/>
      </c>
      <c r="H788" s="9">
        <v>2516676850.0900002</v>
      </c>
    </row>
    <row r="789" spans="1:8" ht="30" x14ac:dyDescent="0.25">
      <c r="A789" s="7">
        <v>45107</v>
      </c>
      <c r="B789" s="10">
        <v>36</v>
      </c>
      <c r="C789" s="10" t="str">
        <f>"5218"</f>
        <v>5218</v>
      </c>
      <c r="D789" s="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89" s="10" t="str">
        <f>""</f>
        <v/>
      </c>
      <c r="F789" s="10" t="str">
        <f>""</f>
        <v/>
      </c>
      <c r="G789" s="10" t="str">
        <f>""</f>
        <v/>
      </c>
      <c r="H789" s="9">
        <v>1228010037.3399999</v>
      </c>
    </row>
    <row r="790" spans="1:8" ht="30" x14ac:dyDescent="0.25">
      <c r="A790" s="7">
        <v>45107</v>
      </c>
      <c r="B790" s="10">
        <v>36</v>
      </c>
      <c r="C790" s="10" t="str">
        <f>"5219"</f>
        <v>5219</v>
      </c>
      <c r="D790" s="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90" s="10" t="str">
        <f>""</f>
        <v/>
      </c>
      <c r="F790" s="10" t="str">
        <f>""</f>
        <v/>
      </c>
      <c r="G790" s="10" t="str">
        <f>""</f>
        <v/>
      </c>
      <c r="H790" s="9">
        <v>136975568.09</v>
      </c>
    </row>
    <row r="791" spans="1:8" ht="30" x14ac:dyDescent="0.25">
      <c r="A791" s="7">
        <v>45107</v>
      </c>
      <c r="B791" s="10">
        <v>36</v>
      </c>
      <c r="C791" s="10" t="str">
        <f>"5220"</f>
        <v>5220</v>
      </c>
      <c r="D791" s="1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91" s="10" t="str">
        <f>""</f>
        <v/>
      </c>
      <c r="F791" s="10" t="str">
        <f>""</f>
        <v/>
      </c>
      <c r="G791" s="10" t="str">
        <f>""</f>
        <v/>
      </c>
      <c r="H791" s="9">
        <v>123336735.37</v>
      </c>
    </row>
    <row r="792" spans="1:8" ht="30" x14ac:dyDescent="0.25">
      <c r="A792" s="7">
        <v>45107</v>
      </c>
      <c r="B792" s="10">
        <v>36</v>
      </c>
      <c r="C792" s="10" t="str">
        <f>"5223"</f>
        <v>5223</v>
      </c>
      <c r="D792" s="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92" s="10" t="str">
        <f>""</f>
        <v/>
      </c>
      <c r="F792" s="10" t="str">
        <f>""</f>
        <v/>
      </c>
      <c r="G792" s="10" t="str">
        <f>""</f>
        <v/>
      </c>
      <c r="H792" s="9">
        <v>441783219.76999998</v>
      </c>
    </row>
    <row r="793" spans="1:8" x14ac:dyDescent="0.25">
      <c r="A793" s="7">
        <v>45107</v>
      </c>
      <c r="B793" s="10">
        <v>36</v>
      </c>
      <c r="C793" s="10" t="str">
        <f>"5227"</f>
        <v>5227</v>
      </c>
      <c r="D793" s="11" t="str">
        <f>"Процентные расходы по обязательствам по аренде"</f>
        <v>Процентные расходы по обязательствам по аренде</v>
      </c>
      <c r="E793" s="10" t="str">
        <f>""</f>
        <v/>
      </c>
      <c r="F793" s="10" t="str">
        <f>""</f>
        <v/>
      </c>
      <c r="G793" s="10" t="str">
        <f>""</f>
        <v/>
      </c>
      <c r="H793" s="9">
        <v>152927889.72999999</v>
      </c>
    </row>
    <row r="794" spans="1:8" ht="30" x14ac:dyDescent="0.25">
      <c r="A794" s="7">
        <v>45107</v>
      </c>
      <c r="B794" s="10">
        <v>36</v>
      </c>
      <c r="C794" s="10" t="str">
        <f>"5232"</f>
        <v>5232</v>
      </c>
      <c r="D794" s="11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94" s="10" t="str">
        <f>""</f>
        <v/>
      </c>
      <c r="F794" s="10" t="str">
        <f>""</f>
        <v/>
      </c>
      <c r="G794" s="10" t="str">
        <f>""</f>
        <v/>
      </c>
      <c r="H794" s="9">
        <v>688719493.71000004</v>
      </c>
    </row>
    <row r="795" spans="1:8" ht="30" x14ac:dyDescent="0.25">
      <c r="A795" s="7">
        <v>45107</v>
      </c>
      <c r="B795" s="10">
        <v>36</v>
      </c>
      <c r="C795" s="10" t="str">
        <f>"5236"</f>
        <v>5236</v>
      </c>
      <c r="D795" s="1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95" s="10" t="str">
        <f>""</f>
        <v/>
      </c>
      <c r="F795" s="10" t="str">
        <f>""</f>
        <v/>
      </c>
      <c r="G795" s="10" t="str">
        <f>""</f>
        <v/>
      </c>
      <c r="H795" s="9">
        <v>83422498.590000004</v>
      </c>
    </row>
    <row r="796" spans="1:8" ht="45" x14ac:dyDescent="0.25">
      <c r="A796" s="7">
        <v>45107</v>
      </c>
      <c r="B796" s="10">
        <v>36</v>
      </c>
      <c r="C796" s="10" t="str">
        <f>"5240"</f>
        <v>5240</v>
      </c>
      <c r="D796" s="1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96" s="10" t="str">
        <f>""</f>
        <v/>
      </c>
      <c r="F796" s="10" t="str">
        <f>""</f>
        <v/>
      </c>
      <c r="G796" s="10" t="str">
        <f>""</f>
        <v/>
      </c>
      <c r="H796" s="9">
        <v>9037053429.0300007</v>
      </c>
    </row>
    <row r="797" spans="1:8" ht="60" x14ac:dyDescent="0.25">
      <c r="A797" s="7">
        <v>45107</v>
      </c>
      <c r="B797" s="10">
        <v>36</v>
      </c>
      <c r="C797" s="10" t="str">
        <f>"5241"</f>
        <v>5241</v>
      </c>
      <c r="D797" s="1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97" s="10" t="str">
        <f>""</f>
        <v/>
      </c>
      <c r="F797" s="10" t="str">
        <f>""</f>
        <v/>
      </c>
      <c r="G797" s="10" t="str">
        <f>""</f>
        <v/>
      </c>
      <c r="H797" s="9">
        <v>6647129857.6099997</v>
      </c>
    </row>
    <row r="798" spans="1:8" x14ac:dyDescent="0.25">
      <c r="A798" s="7">
        <v>45107</v>
      </c>
      <c r="B798" s="10">
        <v>36</v>
      </c>
      <c r="C798" s="10" t="str">
        <f>"5250"</f>
        <v>5250</v>
      </c>
      <c r="D798" s="11" t="s">
        <v>10</v>
      </c>
      <c r="E798" s="10" t="str">
        <f>""</f>
        <v/>
      </c>
      <c r="F798" s="10" t="str">
        <f>""</f>
        <v/>
      </c>
      <c r="G798" s="10" t="str">
        <f>""</f>
        <v/>
      </c>
      <c r="H798" s="9">
        <v>3105871975.0100002</v>
      </c>
    </row>
    <row r="799" spans="1:8" ht="30" x14ac:dyDescent="0.25">
      <c r="A799" s="7">
        <v>45107</v>
      </c>
      <c r="B799" s="10">
        <v>36</v>
      </c>
      <c r="C799" s="10" t="str">
        <f>"5301"</f>
        <v>5301</v>
      </c>
      <c r="D799" s="1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99" s="10" t="str">
        <f>""</f>
        <v/>
      </c>
      <c r="F799" s="10" t="str">
        <f>""</f>
        <v/>
      </c>
      <c r="G799" s="10" t="str">
        <f>""</f>
        <v/>
      </c>
      <c r="H799" s="9">
        <v>5480469753.1499996</v>
      </c>
    </row>
    <row r="800" spans="1:8" ht="45" x14ac:dyDescent="0.25">
      <c r="A800" s="7">
        <v>45107</v>
      </c>
      <c r="B800" s="10">
        <v>36</v>
      </c>
      <c r="C800" s="10" t="str">
        <f>"5306"</f>
        <v>5306</v>
      </c>
      <c r="D800" s="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800" s="10" t="str">
        <f>""</f>
        <v/>
      </c>
      <c r="F800" s="10" t="str">
        <f>""</f>
        <v/>
      </c>
      <c r="G800" s="10" t="str">
        <f>""</f>
        <v/>
      </c>
      <c r="H800" s="9">
        <v>46503429.25</v>
      </c>
    </row>
    <row r="801" spans="1:8" ht="30" x14ac:dyDescent="0.25">
      <c r="A801" s="7">
        <v>45107</v>
      </c>
      <c r="B801" s="10">
        <v>36</v>
      </c>
      <c r="C801" s="10" t="str">
        <f>"5307"</f>
        <v>5307</v>
      </c>
      <c r="D801" s="1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801" s="10" t="str">
        <f>""</f>
        <v/>
      </c>
      <c r="F801" s="10" t="str">
        <f>""</f>
        <v/>
      </c>
      <c r="G801" s="10" t="str">
        <f>""</f>
        <v/>
      </c>
      <c r="H801" s="9">
        <v>7207526208.6899996</v>
      </c>
    </row>
    <row r="802" spans="1:8" ht="30" x14ac:dyDescent="0.25">
      <c r="A802" s="7">
        <v>45107</v>
      </c>
      <c r="B802" s="10">
        <v>36</v>
      </c>
      <c r="C802" s="10" t="str">
        <f>"5308"</f>
        <v>5308</v>
      </c>
      <c r="D802" s="1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802" s="10" t="str">
        <f>""</f>
        <v/>
      </c>
      <c r="F802" s="10" t="str">
        <f>""</f>
        <v/>
      </c>
      <c r="G802" s="10" t="str">
        <f>""</f>
        <v/>
      </c>
      <c r="H802" s="9">
        <v>43883021.390000001</v>
      </c>
    </row>
    <row r="803" spans="1:8" ht="30" x14ac:dyDescent="0.25">
      <c r="A803" s="7">
        <v>45107</v>
      </c>
      <c r="B803" s="10">
        <v>36</v>
      </c>
      <c r="C803" s="10" t="str">
        <f>"5309"</f>
        <v>5309</v>
      </c>
      <c r="D803" s="1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803" s="10" t="str">
        <f>""</f>
        <v/>
      </c>
      <c r="F803" s="10" t="str">
        <f>""</f>
        <v/>
      </c>
      <c r="G803" s="10" t="str">
        <f>""</f>
        <v/>
      </c>
      <c r="H803" s="9">
        <v>55979443</v>
      </c>
    </row>
    <row r="804" spans="1:8" ht="30" x14ac:dyDescent="0.25">
      <c r="A804" s="7">
        <v>45107</v>
      </c>
      <c r="B804" s="10">
        <v>36</v>
      </c>
      <c r="C804" s="10" t="str">
        <f>"5404"</f>
        <v>5404</v>
      </c>
      <c r="D804" s="1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804" s="10" t="str">
        <f>""</f>
        <v/>
      </c>
      <c r="F804" s="10" t="str">
        <f>""</f>
        <v/>
      </c>
      <c r="G804" s="10" t="str">
        <f>""</f>
        <v/>
      </c>
      <c r="H804" s="9">
        <v>4955012619.79</v>
      </c>
    </row>
    <row r="805" spans="1:8" ht="30" x14ac:dyDescent="0.25">
      <c r="A805" s="7">
        <v>45107</v>
      </c>
      <c r="B805" s="10">
        <v>36</v>
      </c>
      <c r="C805" s="10" t="str">
        <f>"5406"</f>
        <v>5406</v>
      </c>
      <c r="D805" s="1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805" s="10" t="str">
        <f>""</f>
        <v/>
      </c>
      <c r="F805" s="10" t="str">
        <f>""</f>
        <v/>
      </c>
      <c r="G805" s="10" t="str">
        <f>""</f>
        <v/>
      </c>
      <c r="H805" s="9">
        <v>8165618830</v>
      </c>
    </row>
    <row r="806" spans="1:8" ht="30" x14ac:dyDescent="0.25">
      <c r="A806" s="7">
        <v>45107</v>
      </c>
      <c r="B806" s="10">
        <v>36</v>
      </c>
      <c r="C806" s="10" t="str">
        <f>"5451"</f>
        <v>5451</v>
      </c>
      <c r="D806" s="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806" s="10" t="str">
        <f>""</f>
        <v/>
      </c>
      <c r="F806" s="10" t="str">
        <f>""</f>
        <v/>
      </c>
      <c r="G806" s="10" t="str">
        <f>""</f>
        <v/>
      </c>
      <c r="H806" s="9">
        <v>20681709.32</v>
      </c>
    </row>
    <row r="807" spans="1:8" ht="30" x14ac:dyDescent="0.25">
      <c r="A807" s="7">
        <v>45107</v>
      </c>
      <c r="B807" s="10">
        <v>36</v>
      </c>
      <c r="C807" s="10" t="str">
        <f>"5453"</f>
        <v>5453</v>
      </c>
      <c r="D807" s="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07" s="10" t="str">
        <f>""</f>
        <v/>
      </c>
      <c r="F807" s="10" t="str">
        <f>""</f>
        <v/>
      </c>
      <c r="G807" s="10" t="str">
        <f>""</f>
        <v/>
      </c>
      <c r="H807" s="9">
        <v>23203432027.439999</v>
      </c>
    </row>
    <row r="808" spans="1:8" ht="30" x14ac:dyDescent="0.25">
      <c r="A808" s="7">
        <v>45107</v>
      </c>
      <c r="B808" s="10">
        <v>36</v>
      </c>
      <c r="C808" s="10" t="str">
        <f>"5455"</f>
        <v>5455</v>
      </c>
      <c r="D808" s="1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08" s="10" t="str">
        <f>""</f>
        <v/>
      </c>
      <c r="F808" s="10" t="str">
        <f>""</f>
        <v/>
      </c>
      <c r="G808" s="10" t="str">
        <f>""</f>
        <v/>
      </c>
      <c r="H808" s="9">
        <v>133217375269.57001</v>
      </c>
    </row>
    <row r="809" spans="1:8" ht="45" x14ac:dyDescent="0.25">
      <c r="A809" s="7">
        <v>45107</v>
      </c>
      <c r="B809" s="10">
        <v>36</v>
      </c>
      <c r="C809" s="10" t="str">
        <f>"5456"</f>
        <v>5456</v>
      </c>
      <c r="D809" s="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09" s="10" t="str">
        <f>""</f>
        <v/>
      </c>
      <c r="F809" s="10" t="str">
        <f>""</f>
        <v/>
      </c>
      <c r="G809" s="10" t="str">
        <f>""</f>
        <v/>
      </c>
      <c r="H809" s="9">
        <v>572705315.19000006</v>
      </c>
    </row>
    <row r="810" spans="1:8" ht="30" x14ac:dyDescent="0.25">
      <c r="A810" s="7">
        <v>45107</v>
      </c>
      <c r="B810" s="10">
        <v>36</v>
      </c>
      <c r="C810" s="10" t="str">
        <f>"5457"</f>
        <v>5457</v>
      </c>
      <c r="D810" s="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10" s="10" t="str">
        <f>""</f>
        <v/>
      </c>
      <c r="F810" s="10" t="str">
        <f>""</f>
        <v/>
      </c>
      <c r="G810" s="10" t="str">
        <f>""</f>
        <v/>
      </c>
      <c r="H810" s="9">
        <v>128439616.56999999</v>
      </c>
    </row>
    <row r="811" spans="1:8" ht="30" x14ac:dyDescent="0.25">
      <c r="A811" s="7">
        <v>45107</v>
      </c>
      <c r="B811" s="10">
        <v>36</v>
      </c>
      <c r="C811" s="10" t="str">
        <f>"5459"</f>
        <v>5459</v>
      </c>
      <c r="D811" s="1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11" s="10" t="str">
        <f>""</f>
        <v/>
      </c>
      <c r="F811" s="10" t="str">
        <f>""</f>
        <v/>
      </c>
      <c r="G811" s="10" t="str">
        <f>""</f>
        <v/>
      </c>
      <c r="H811" s="9">
        <v>72895060.450000003</v>
      </c>
    </row>
    <row r="812" spans="1:8" ht="45" x14ac:dyDescent="0.25">
      <c r="A812" s="7">
        <v>45107</v>
      </c>
      <c r="B812" s="10">
        <v>36</v>
      </c>
      <c r="C812" s="10" t="str">
        <f>"5461"</f>
        <v>5461</v>
      </c>
      <c r="D812" s="1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12" s="10" t="str">
        <f>""</f>
        <v/>
      </c>
      <c r="F812" s="10" t="str">
        <f>""</f>
        <v/>
      </c>
      <c r="G812" s="10" t="str">
        <f>""</f>
        <v/>
      </c>
      <c r="H812" s="9">
        <v>571914585.89999998</v>
      </c>
    </row>
    <row r="813" spans="1:8" ht="30" x14ac:dyDescent="0.25">
      <c r="A813" s="7">
        <v>45107</v>
      </c>
      <c r="B813" s="10">
        <v>36</v>
      </c>
      <c r="C813" s="10" t="str">
        <f>"5464"</f>
        <v>5464</v>
      </c>
      <c r="D813" s="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13" s="10" t="str">
        <f>""</f>
        <v/>
      </c>
      <c r="F813" s="10" t="str">
        <f>""</f>
        <v/>
      </c>
      <c r="G813" s="10" t="str">
        <f>""</f>
        <v/>
      </c>
      <c r="H813" s="9">
        <v>108253932.23999999</v>
      </c>
    </row>
    <row r="814" spans="1:8" ht="30" x14ac:dyDescent="0.25">
      <c r="A814" s="7">
        <v>45107</v>
      </c>
      <c r="B814" s="10">
        <v>36</v>
      </c>
      <c r="C814" s="10" t="str">
        <f>"5465"</f>
        <v>5465</v>
      </c>
      <c r="D814" s="1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14" s="10" t="str">
        <f>""</f>
        <v/>
      </c>
      <c r="F814" s="10" t="str">
        <f>""</f>
        <v/>
      </c>
      <c r="G814" s="10" t="str">
        <f>""</f>
        <v/>
      </c>
      <c r="H814" s="9">
        <v>1567188316.6199999</v>
      </c>
    </row>
    <row r="815" spans="1:8" x14ac:dyDescent="0.25">
      <c r="A815" s="7">
        <v>45107</v>
      </c>
      <c r="B815" s="10">
        <v>36</v>
      </c>
      <c r="C815" s="10" t="str">
        <f>"5468"</f>
        <v>5468</v>
      </c>
      <c r="D815" s="11" t="str">
        <f>"Расходы на формирование резервов оценочных обязательств"</f>
        <v>Расходы на формирование резервов оценочных обязательств</v>
      </c>
      <c r="E815" s="10" t="str">
        <f>""</f>
        <v/>
      </c>
      <c r="F815" s="10" t="str">
        <f>""</f>
        <v/>
      </c>
      <c r="G815" s="10" t="str">
        <f>""</f>
        <v/>
      </c>
      <c r="H815" s="9">
        <v>47789591.689999998</v>
      </c>
    </row>
    <row r="816" spans="1:8" x14ac:dyDescent="0.25">
      <c r="A816" s="7">
        <v>45107</v>
      </c>
      <c r="B816" s="10">
        <v>36</v>
      </c>
      <c r="C816" s="10" t="str">
        <f>"5510"</f>
        <v>5510</v>
      </c>
      <c r="D816" s="11" t="str">
        <f>"Расходы по купле-продаже ценных бумаг"</f>
        <v>Расходы по купле-продаже ценных бумаг</v>
      </c>
      <c r="E816" s="10" t="str">
        <f>""</f>
        <v/>
      </c>
      <c r="F816" s="10" t="str">
        <f>""</f>
        <v/>
      </c>
      <c r="G816" s="10" t="str">
        <f>""</f>
        <v/>
      </c>
      <c r="H816" s="9">
        <v>252460598.24000001</v>
      </c>
    </row>
    <row r="817" spans="1:8" x14ac:dyDescent="0.25">
      <c r="A817" s="7">
        <v>45107</v>
      </c>
      <c r="B817" s="10">
        <v>36</v>
      </c>
      <c r="C817" s="10" t="str">
        <f>"5530"</f>
        <v>5530</v>
      </c>
      <c r="D817" s="11" t="str">
        <f>"Расходы по купле-продаже иностранной валюты"</f>
        <v>Расходы по купле-продаже иностранной валюты</v>
      </c>
      <c r="E817" s="10" t="str">
        <f>""</f>
        <v/>
      </c>
      <c r="F817" s="10" t="str">
        <f>""</f>
        <v/>
      </c>
      <c r="G817" s="10" t="str">
        <f>""</f>
        <v/>
      </c>
      <c r="H817" s="9">
        <v>9619895616.9599991</v>
      </c>
    </row>
    <row r="818" spans="1:8" ht="30" x14ac:dyDescent="0.25">
      <c r="A818" s="7">
        <v>45107</v>
      </c>
      <c r="B818" s="10">
        <v>36</v>
      </c>
      <c r="C818" s="10" t="str">
        <f>"5540"</f>
        <v>5540</v>
      </c>
      <c r="D818" s="1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18" s="10" t="str">
        <f>""</f>
        <v/>
      </c>
      <c r="F818" s="10" t="str">
        <f>""</f>
        <v/>
      </c>
      <c r="G818" s="10" t="str">
        <f>""</f>
        <v/>
      </c>
      <c r="H818" s="9">
        <v>110202260.62</v>
      </c>
    </row>
    <row r="819" spans="1:8" x14ac:dyDescent="0.25">
      <c r="A819" s="7">
        <v>45107</v>
      </c>
      <c r="B819" s="10">
        <v>36</v>
      </c>
      <c r="C819" s="10" t="str">
        <f>"5593"</f>
        <v>5593</v>
      </c>
      <c r="D819" s="11" t="str">
        <f>"Расходы от переоценки операций своп"</f>
        <v>Расходы от переоценки операций своп</v>
      </c>
      <c r="E819" s="10" t="str">
        <f>""</f>
        <v/>
      </c>
      <c r="F819" s="10" t="str">
        <f>""</f>
        <v/>
      </c>
      <c r="G819" s="10" t="str">
        <f>""</f>
        <v/>
      </c>
      <c r="H819" s="9">
        <v>159208286.22</v>
      </c>
    </row>
    <row r="820" spans="1:8" ht="30" x14ac:dyDescent="0.25">
      <c r="A820" s="7">
        <v>45107</v>
      </c>
      <c r="B820" s="10">
        <v>36</v>
      </c>
      <c r="C820" s="10" t="str">
        <f>"5601"</f>
        <v>5601</v>
      </c>
      <c r="D820" s="1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20" s="10" t="str">
        <f>""</f>
        <v/>
      </c>
      <c r="F820" s="10" t="str">
        <f>""</f>
        <v/>
      </c>
      <c r="G820" s="10" t="str">
        <f>""</f>
        <v/>
      </c>
      <c r="H820" s="9">
        <v>484670629.23000002</v>
      </c>
    </row>
    <row r="821" spans="1:8" x14ac:dyDescent="0.25">
      <c r="A821" s="7">
        <v>45107</v>
      </c>
      <c r="B821" s="10">
        <v>36</v>
      </c>
      <c r="C821" s="10" t="str">
        <f>"5602"</f>
        <v>5602</v>
      </c>
      <c r="D821" s="11" t="str">
        <f>"Комиссионные расходы по полученным агентским услугам"</f>
        <v>Комиссионные расходы по полученным агентским услугам</v>
      </c>
      <c r="E821" s="10" t="str">
        <f>""</f>
        <v/>
      </c>
      <c r="F821" s="10" t="str">
        <f>""</f>
        <v/>
      </c>
      <c r="G821" s="10" t="str">
        <f>""</f>
        <v/>
      </c>
      <c r="H821" s="9">
        <v>536424026.20999998</v>
      </c>
    </row>
    <row r="822" spans="1:8" ht="30" x14ac:dyDescent="0.25">
      <c r="A822" s="7">
        <v>45107</v>
      </c>
      <c r="B822" s="10">
        <v>36</v>
      </c>
      <c r="C822" s="10" t="str">
        <f>"5604"</f>
        <v>5604</v>
      </c>
      <c r="D822" s="1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22" s="10" t="str">
        <f>""</f>
        <v/>
      </c>
      <c r="F822" s="10" t="str">
        <f>""</f>
        <v/>
      </c>
      <c r="G822" s="10" t="str">
        <f>""</f>
        <v/>
      </c>
      <c r="H822" s="9">
        <v>163537510.47999999</v>
      </c>
    </row>
    <row r="823" spans="1:8" ht="30" x14ac:dyDescent="0.25">
      <c r="A823" s="7">
        <v>45107</v>
      </c>
      <c r="B823" s="10">
        <v>36</v>
      </c>
      <c r="C823" s="10" t="str">
        <f>"5607"</f>
        <v>5607</v>
      </c>
      <c r="D823" s="1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23" s="10" t="str">
        <f>""</f>
        <v/>
      </c>
      <c r="F823" s="10" t="str">
        <f>""</f>
        <v/>
      </c>
      <c r="G823" s="10" t="str">
        <f>""</f>
        <v/>
      </c>
      <c r="H823" s="9">
        <v>13131100883.91</v>
      </c>
    </row>
    <row r="824" spans="1:8" x14ac:dyDescent="0.25">
      <c r="A824" s="7">
        <v>45107</v>
      </c>
      <c r="B824" s="10">
        <v>36</v>
      </c>
      <c r="C824" s="10" t="str">
        <f>"5608"</f>
        <v>5608</v>
      </c>
      <c r="D824" s="11" t="str">
        <f>"Прочие комиссионные расходы"</f>
        <v>Прочие комиссионные расходы</v>
      </c>
      <c r="E824" s="10" t="str">
        <f>""</f>
        <v/>
      </c>
      <c r="F824" s="10" t="str">
        <f>""</f>
        <v/>
      </c>
      <c r="G824" s="10" t="str">
        <f>""</f>
        <v/>
      </c>
      <c r="H824" s="9">
        <v>2416280022</v>
      </c>
    </row>
    <row r="825" spans="1:8" ht="30" x14ac:dyDescent="0.25">
      <c r="A825" s="7">
        <v>45107</v>
      </c>
      <c r="B825" s="10">
        <v>36</v>
      </c>
      <c r="C825" s="10" t="str">
        <f>"5609"</f>
        <v>5609</v>
      </c>
      <c r="D825" s="1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25" s="10" t="str">
        <f>""</f>
        <v/>
      </c>
      <c r="F825" s="10" t="str">
        <f>""</f>
        <v/>
      </c>
      <c r="G825" s="10" t="str">
        <f>""</f>
        <v/>
      </c>
      <c r="H825" s="9">
        <v>137326820.12</v>
      </c>
    </row>
    <row r="826" spans="1:8" x14ac:dyDescent="0.25">
      <c r="A826" s="7">
        <v>45107</v>
      </c>
      <c r="B826" s="10">
        <v>36</v>
      </c>
      <c r="C826" s="10" t="str">
        <f>"5703"</f>
        <v>5703</v>
      </c>
      <c r="D826" s="11" t="str">
        <f>"Расходы от переоценки иностранной валюты"</f>
        <v>Расходы от переоценки иностранной валюты</v>
      </c>
      <c r="E826" s="10" t="str">
        <f>""</f>
        <v/>
      </c>
      <c r="F826" s="10" t="str">
        <f>""</f>
        <v/>
      </c>
      <c r="G826" s="10" t="str">
        <f>""</f>
        <v/>
      </c>
      <c r="H826" s="9">
        <v>557495307472.06006</v>
      </c>
    </row>
    <row r="827" spans="1:8" x14ac:dyDescent="0.25">
      <c r="A827" s="7">
        <v>45107</v>
      </c>
      <c r="B827" s="10">
        <v>36</v>
      </c>
      <c r="C827" s="10" t="str">
        <f>"5704"</f>
        <v>5704</v>
      </c>
      <c r="D827" s="1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27" s="10" t="str">
        <f>""</f>
        <v/>
      </c>
      <c r="F827" s="10" t="str">
        <f>""</f>
        <v/>
      </c>
      <c r="G827" s="10" t="str">
        <f>""</f>
        <v/>
      </c>
      <c r="H827" s="9">
        <v>191604070.87</v>
      </c>
    </row>
    <row r="828" spans="1:8" ht="30" x14ac:dyDescent="0.25">
      <c r="A828" s="7">
        <v>45107</v>
      </c>
      <c r="B828" s="10">
        <v>36</v>
      </c>
      <c r="C828" s="10" t="str">
        <f>"5709"</f>
        <v>5709</v>
      </c>
      <c r="D828" s="1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28" s="10" t="str">
        <f>""</f>
        <v/>
      </c>
      <c r="F828" s="10" t="str">
        <f>""</f>
        <v/>
      </c>
      <c r="G828" s="10" t="str">
        <f>""</f>
        <v/>
      </c>
      <c r="H828" s="9">
        <v>195</v>
      </c>
    </row>
    <row r="829" spans="1:8" ht="30" x14ac:dyDescent="0.25">
      <c r="A829" s="7">
        <v>45107</v>
      </c>
      <c r="B829" s="10">
        <v>36</v>
      </c>
      <c r="C829" s="10" t="str">
        <f>"5713"</f>
        <v>5713</v>
      </c>
      <c r="D829" s="11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E829" s="10" t="str">
        <f>""</f>
        <v/>
      </c>
      <c r="F829" s="10" t="str">
        <f>""</f>
        <v/>
      </c>
      <c r="G829" s="10" t="str">
        <f>""</f>
        <v/>
      </c>
      <c r="H829" s="9">
        <v>6318.42</v>
      </c>
    </row>
    <row r="830" spans="1:8" x14ac:dyDescent="0.25">
      <c r="A830" s="7">
        <v>45107</v>
      </c>
      <c r="B830" s="10">
        <v>36</v>
      </c>
      <c r="C830" s="10" t="str">
        <f>"5721"</f>
        <v>5721</v>
      </c>
      <c r="D830" s="11" t="str">
        <f>"Расходы по оплате труда"</f>
        <v>Расходы по оплате труда</v>
      </c>
      <c r="E830" s="10" t="str">
        <f>""</f>
        <v/>
      </c>
      <c r="F830" s="10" t="str">
        <f>""</f>
        <v/>
      </c>
      <c r="G830" s="10" t="str">
        <f>""</f>
        <v/>
      </c>
      <c r="H830" s="9">
        <v>18951699670.419998</v>
      </c>
    </row>
    <row r="831" spans="1:8" ht="45" x14ac:dyDescent="0.25">
      <c r="A831" s="7">
        <v>45107</v>
      </c>
      <c r="B831" s="10">
        <v>36</v>
      </c>
      <c r="C831" s="10" t="str">
        <f>"5722"</f>
        <v>5722</v>
      </c>
      <c r="D831" s="1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31" s="10" t="str">
        <f>""</f>
        <v/>
      </c>
      <c r="F831" s="10" t="str">
        <f>""</f>
        <v/>
      </c>
      <c r="G831" s="10" t="str">
        <f>""</f>
        <v/>
      </c>
      <c r="H831" s="9">
        <v>740914675.37</v>
      </c>
    </row>
    <row r="832" spans="1:8" x14ac:dyDescent="0.25">
      <c r="A832" s="7">
        <v>45107</v>
      </c>
      <c r="B832" s="10">
        <v>36</v>
      </c>
      <c r="C832" s="10" t="str">
        <f>"5729"</f>
        <v>5729</v>
      </c>
      <c r="D832" s="11" t="str">
        <f>"Прочие выплаты"</f>
        <v>Прочие выплаты</v>
      </c>
      <c r="E832" s="10" t="str">
        <f>""</f>
        <v/>
      </c>
      <c r="F832" s="10" t="str">
        <f>""</f>
        <v/>
      </c>
      <c r="G832" s="10" t="str">
        <f>""</f>
        <v/>
      </c>
      <c r="H832" s="9">
        <v>1986757866.95</v>
      </c>
    </row>
    <row r="833" spans="1:8" ht="30" x14ac:dyDescent="0.25">
      <c r="A833" s="7">
        <v>45107</v>
      </c>
      <c r="B833" s="10">
        <v>36</v>
      </c>
      <c r="C833" s="10" t="str">
        <f>"5733"</f>
        <v>5733</v>
      </c>
      <c r="D833" s="1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33" s="10" t="str">
        <f>""</f>
        <v/>
      </c>
      <c r="F833" s="10" t="str">
        <f>""</f>
        <v/>
      </c>
      <c r="G833" s="10" t="str">
        <f>""</f>
        <v/>
      </c>
      <c r="H833" s="9">
        <v>203836252.56</v>
      </c>
    </row>
    <row r="834" spans="1:8" x14ac:dyDescent="0.25">
      <c r="A834" s="7">
        <v>45107</v>
      </c>
      <c r="B834" s="10">
        <v>36</v>
      </c>
      <c r="C834" s="10" t="str">
        <f>"5734"</f>
        <v>5734</v>
      </c>
      <c r="D834" s="11" t="str">
        <f>"Расходы от прочей переоценки"</f>
        <v>Расходы от прочей переоценки</v>
      </c>
      <c r="E834" s="10" t="str">
        <f>""</f>
        <v/>
      </c>
      <c r="F834" s="10" t="str">
        <f>""</f>
        <v/>
      </c>
      <c r="G834" s="10" t="str">
        <f>""</f>
        <v/>
      </c>
      <c r="H834" s="9">
        <v>25271960</v>
      </c>
    </row>
    <row r="835" spans="1:8" x14ac:dyDescent="0.25">
      <c r="A835" s="7">
        <v>45107</v>
      </c>
      <c r="B835" s="10">
        <v>36</v>
      </c>
      <c r="C835" s="10" t="str">
        <f>"5741"</f>
        <v>5741</v>
      </c>
      <c r="D835" s="11" t="str">
        <f>"Транспортные расходы"</f>
        <v>Транспортные расходы</v>
      </c>
      <c r="E835" s="10" t="str">
        <f>""</f>
        <v/>
      </c>
      <c r="F835" s="10" t="str">
        <f>""</f>
        <v/>
      </c>
      <c r="G835" s="10" t="str">
        <f>""</f>
        <v/>
      </c>
      <c r="H835" s="9">
        <v>149608719.43000001</v>
      </c>
    </row>
    <row r="836" spans="1:8" x14ac:dyDescent="0.25">
      <c r="A836" s="7">
        <v>45107</v>
      </c>
      <c r="B836" s="10">
        <v>36</v>
      </c>
      <c r="C836" s="10" t="str">
        <f>"5742"</f>
        <v>5742</v>
      </c>
      <c r="D836" s="11" t="str">
        <f>"Административные расходы"</f>
        <v>Административные расходы</v>
      </c>
      <c r="E836" s="10" t="str">
        <f>""</f>
        <v/>
      </c>
      <c r="F836" s="10" t="str">
        <f>""</f>
        <v/>
      </c>
      <c r="G836" s="10" t="str">
        <f>""</f>
        <v/>
      </c>
      <c r="H836" s="9">
        <v>4139387758.46</v>
      </c>
    </row>
    <row r="837" spans="1:8" x14ac:dyDescent="0.25">
      <c r="A837" s="7">
        <v>45107</v>
      </c>
      <c r="B837" s="10">
        <v>36</v>
      </c>
      <c r="C837" s="10" t="str">
        <f>"5743"</f>
        <v>5743</v>
      </c>
      <c r="D837" s="11" t="str">
        <f>"Расходы на инкассацию"</f>
        <v>Расходы на инкассацию</v>
      </c>
      <c r="E837" s="10" t="str">
        <f>""</f>
        <v/>
      </c>
      <c r="F837" s="10" t="str">
        <f>""</f>
        <v/>
      </c>
      <c r="G837" s="10" t="str">
        <f>""</f>
        <v/>
      </c>
      <c r="H837" s="9">
        <v>253328584.55000001</v>
      </c>
    </row>
    <row r="838" spans="1:8" x14ac:dyDescent="0.25">
      <c r="A838" s="7">
        <v>45107</v>
      </c>
      <c r="B838" s="10">
        <v>36</v>
      </c>
      <c r="C838" s="10" t="str">
        <f>"5744"</f>
        <v>5744</v>
      </c>
      <c r="D838" s="11" t="str">
        <f>"Расходы на ремонт"</f>
        <v>Расходы на ремонт</v>
      </c>
      <c r="E838" s="10" t="str">
        <f>""</f>
        <v/>
      </c>
      <c r="F838" s="10" t="str">
        <f>""</f>
        <v/>
      </c>
      <c r="G838" s="10" t="str">
        <f>""</f>
        <v/>
      </c>
      <c r="H838" s="9">
        <v>377270457.56999999</v>
      </c>
    </row>
    <row r="839" spans="1:8" x14ac:dyDescent="0.25">
      <c r="A839" s="7">
        <v>45107</v>
      </c>
      <c r="B839" s="10">
        <v>36</v>
      </c>
      <c r="C839" s="10" t="str">
        <f>"5745"</f>
        <v>5745</v>
      </c>
      <c r="D839" s="11" t="str">
        <f>"Расходы на рекламу"</f>
        <v>Расходы на рекламу</v>
      </c>
      <c r="E839" s="10" t="str">
        <f>""</f>
        <v/>
      </c>
      <c r="F839" s="10" t="str">
        <f>""</f>
        <v/>
      </c>
      <c r="G839" s="10" t="str">
        <f>""</f>
        <v/>
      </c>
      <c r="H839" s="9">
        <v>2864204314.0799999</v>
      </c>
    </row>
    <row r="840" spans="1:8" x14ac:dyDescent="0.25">
      <c r="A840" s="7">
        <v>45107</v>
      </c>
      <c r="B840" s="10">
        <v>36</v>
      </c>
      <c r="C840" s="10" t="str">
        <f>"5746"</f>
        <v>5746</v>
      </c>
      <c r="D840" s="11" t="str">
        <f>"Расходы на охрану и сигнализацию"</f>
        <v>Расходы на охрану и сигнализацию</v>
      </c>
      <c r="E840" s="10" t="str">
        <f>""</f>
        <v/>
      </c>
      <c r="F840" s="10" t="str">
        <f>""</f>
        <v/>
      </c>
      <c r="G840" s="10" t="str">
        <f>""</f>
        <v/>
      </c>
      <c r="H840" s="9">
        <v>543776221.86000001</v>
      </c>
    </row>
    <row r="841" spans="1:8" x14ac:dyDescent="0.25">
      <c r="A841" s="7">
        <v>45107</v>
      </c>
      <c r="B841" s="10">
        <v>36</v>
      </c>
      <c r="C841" s="10" t="str">
        <f>"5747"</f>
        <v>5747</v>
      </c>
      <c r="D841" s="11" t="str">
        <f>"Представительские расходы"</f>
        <v>Представительские расходы</v>
      </c>
      <c r="E841" s="10" t="str">
        <f>""</f>
        <v/>
      </c>
      <c r="F841" s="10" t="str">
        <f>""</f>
        <v/>
      </c>
      <c r="G841" s="10" t="str">
        <f>""</f>
        <v/>
      </c>
      <c r="H841" s="9">
        <v>15976717.48</v>
      </c>
    </row>
    <row r="842" spans="1:8" x14ac:dyDescent="0.25">
      <c r="A842" s="7">
        <v>45107</v>
      </c>
      <c r="B842" s="10">
        <v>36</v>
      </c>
      <c r="C842" s="10" t="str">
        <f>"5748"</f>
        <v>5748</v>
      </c>
      <c r="D842" s="11" t="str">
        <f>"Прочие общехозяйственные расходы"</f>
        <v>Прочие общехозяйственные расходы</v>
      </c>
      <c r="E842" s="10" t="str">
        <f>""</f>
        <v/>
      </c>
      <c r="F842" s="10" t="str">
        <f>""</f>
        <v/>
      </c>
      <c r="G842" s="10" t="str">
        <f>""</f>
        <v/>
      </c>
      <c r="H842" s="9">
        <v>471520102.14999998</v>
      </c>
    </row>
    <row r="843" spans="1:8" x14ac:dyDescent="0.25">
      <c r="A843" s="7">
        <v>45107</v>
      </c>
      <c r="B843" s="10">
        <v>36</v>
      </c>
      <c r="C843" s="10" t="str">
        <f>"5749"</f>
        <v>5749</v>
      </c>
      <c r="D843" s="11" t="str">
        <f>"Расходы на служебные командировки"</f>
        <v>Расходы на служебные командировки</v>
      </c>
      <c r="E843" s="10" t="str">
        <f>""</f>
        <v/>
      </c>
      <c r="F843" s="10" t="str">
        <f>""</f>
        <v/>
      </c>
      <c r="G843" s="10" t="str">
        <f>""</f>
        <v/>
      </c>
      <c r="H843" s="9">
        <v>212672148.44999999</v>
      </c>
    </row>
    <row r="844" spans="1:8" x14ac:dyDescent="0.25">
      <c r="A844" s="7">
        <v>45107</v>
      </c>
      <c r="B844" s="10">
        <v>36</v>
      </c>
      <c r="C844" s="10" t="str">
        <f>"5750"</f>
        <v>5750</v>
      </c>
      <c r="D844" s="11" t="str">
        <f>"Расходы по аудиту и консультационным услугам"</f>
        <v>Расходы по аудиту и консультационным услугам</v>
      </c>
      <c r="E844" s="10" t="str">
        <f>""</f>
        <v/>
      </c>
      <c r="F844" s="10" t="str">
        <f>""</f>
        <v/>
      </c>
      <c r="G844" s="10" t="str">
        <f>""</f>
        <v/>
      </c>
      <c r="H844" s="9">
        <v>616107246.53999996</v>
      </c>
    </row>
    <row r="845" spans="1:8" x14ac:dyDescent="0.25">
      <c r="A845" s="7">
        <v>45107</v>
      </c>
      <c r="B845" s="10">
        <v>36</v>
      </c>
      <c r="C845" s="10" t="str">
        <f>"5752"</f>
        <v>5752</v>
      </c>
      <c r="D845" s="11" t="str">
        <f>"Расходы по страхованию"</f>
        <v>Расходы по страхованию</v>
      </c>
      <c r="E845" s="10" t="str">
        <f>""</f>
        <v/>
      </c>
      <c r="F845" s="10" t="str">
        <f>""</f>
        <v/>
      </c>
      <c r="G845" s="10" t="str">
        <f>""</f>
        <v/>
      </c>
      <c r="H845" s="9">
        <v>48249024.969999999</v>
      </c>
    </row>
    <row r="846" spans="1:8" x14ac:dyDescent="0.25">
      <c r="A846" s="7">
        <v>45107</v>
      </c>
      <c r="B846" s="10">
        <v>36</v>
      </c>
      <c r="C846" s="10" t="str">
        <f>"5753"</f>
        <v>5753</v>
      </c>
      <c r="D846" s="11" t="str">
        <f>"Расходы по услугам связи"</f>
        <v>Расходы по услугам связи</v>
      </c>
      <c r="E846" s="10" t="str">
        <f>""</f>
        <v/>
      </c>
      <c r="F846" s="10" t="str">
        <f>""</f>
        <v/>
      </c>
      <c r="G846" s="10" t="str">
        <f>""</f>
        <v/>
      </c>
      <c r="H846" s="9">
        <v>1092697951.5999999</v>
      </c>
    </row>
    <row r="847" spans="1:8" ht="30" x14ac:dyDescent="0.25">
      <c r="A847" s="7">
        <v>45107</v>
      </c>
      <c r="B847" s="10">
        <v>36</v>
      </c>
      <c r="C847" s="10" t="str">
        <f>"5754"</f>
        <v>5754</v>
      </c>
      <c r="D847" s="1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47" s="10" t="str">
        <f>""</f>
        <v/>
      </c>
      <c r="F847" s="10" t="str">
        <f>""</f>
        <v/>
      </c>
      <c r="G847" s="10" t="str">
        <f>""</f>
        <v/>
      </c>
      <c r="H847" s="9">
        <v>1118120234.99</v>
      </c>
    </row>
    <row r="848" spans="1:8" x14ac:dyDescent="0.25">
      <c r="A848" s="7">
        <v>45107</v>
      </c>
      <c r="B848" s="10">
        <v>36</v>
      </c>
      <c r="C848" s="10" t="str">
        <f>"5761"</f>
        <v>5761</v>
      </c>
      <c r="D848" s="11" t="str">
        <f>"Налог на добавленную стоимость"</f>
        <v>Налог на добавленную стоимость</v>
      </c>
      <c r="E848" s="10" t="str">
        <f>""</f>
        <v/>
      </c>
      <c r="F848" s="10" t="str">
        <f>""</f>
        <v/>
      </c>
      <c r="G848" s="10" t="str">
        <f>""</f>
        <v/>
      </c>
      <c r="H848" s="9">
        <v>1288459882.78</v>
      </c>
    </row>
    <row r="849" spans="1:8" x14ac:dyDescent="0.25">
      <c r="A849" s="7">
        <v>45107</v>
      </c>
      <c r="B849" s="10">
        <v>36</v>
      </c>
      <c r="C849" s="10" t="str">
        <f>"5763"</f>
        <v>5763</v>
      </c>
      <c r="D849" s="11" t="str">
        <f>"Социальный налог"</f>
        <v>Социальный налог</v>
      </c>
      <c r="E849" s="10" t="str">
        <f>""</f>
        <v/>
      </c>
      <c r="F849" s="10" t="str">
        <f>""</f>
        <v/>
      </c>
      <c r="G849" s="10" t="str">
        <f>""</f>
        <v/>
      </c>
      <c r="H849" s="9">
        <v>1441821802.6900001</v>
      </c>
    </row>
    <row r="850" spans="1:8" x14ac:dyDescent="0.25">
      <c r="A850" s="7">
        <v>45107</v>
      </c>
      <c r="B850" s="10">
        <v>36</v>
      </c>
      <c r="C850" s="10" t="str">
        <f>"5764"</f>
        <v>5764</v>
      </c>
      <c r="D850" s="11" t="str">
        <f>"Земельный налог"</f>
        <v>Земельный налог</v>
      </c>
      <c r="E850" s="10" t="str">
        <f>""</f>
        <v/>
      </c>
      <c r="F850" s="10" t="str">
        <f>""</f>
        <v/>
      </c>
      <c r="G850" s="10" t="str">
        <f>""</f>
        <v/>
      </c>
      <c r="H850" s="9">
        <v>81528336</v>
      </c>
    </row>
    <row r="851" spans="1:8" x14ac:dyDescent="0.25">
      <c r="A851" s="7">
        <v>45107</v>
      </c>
      <c r="B851" s="10">
        <v>36</v>
      </c>
      <c r="C851" s="10" t="str">
        <f>"5765"</f>
        <v>5765</v>
      </c>
      <c r="D851" s="11" t="str">
        <f>"Налог на имущество юридических лиц"</f>
        <v>Налог на имущество юридических лиц</v>
      </c>
      <c r="E851" s="10" t="str">
        <f>""</f>
        <v/>
      </c>
      <c r="F851" s="10" t="str">
        <f>""</f>
        <v/>
      </c>
      <c r="G851" s="10" t="str">
        <f>""</f>
        <v/>
      </c>
      <c r="H851" s="9">
        <v>443944374</v>
      </c>
    </row>
    <row r="852" spans="1:8" x14ac:dyDescent="0.25">
      <c r="A852" s="7">
        <v>45107</v>
      </c>
      <c r="B852" s="10">
        <v>36</v>
      </c>
      <c r="C852" s="10" t="str">
        <f>"5766"</f>
        <v>5766</v>
      </c>
      <c r="D852" s="11" t="str">
        <f>"Налог на транспортные средства"</f>
        <v>Налог на транспортные средства</v>
      </c>
      <c r="E852" s="10" t="str">
        <f>""</f>
        <v/>
      </c>
      <c r="F852" s="10" t="str">
        <f>""</f>
        <v/>
      </c>
      <c r="G852" s="10" t="str">
        <f>""</f>
        <v/>
      </c>
      <c r="H852" s="9">
        <v>166374</v>
      </c>
    </row>
    <row r="853" spans="1:8" x14ac:dyDescent="0.25">
      <c r="A853" s="7">
        <v>45107</v>
      </c>
      <c r="B853" s="10">
        <v>36</v>
      </c>
      <c r="C853" s="10" t="str">
        <f>"5768"</f>
        <v>5768</v>
      </c>
      <c r="D853" s="11" t="str">
        <f>"Прочие налоги и обязательные платежи в бюджет"</f>
        <v>Прочие налоги и обязательные платежи в бюджет</v>
      </c>
      <c r="E853" s="10" t="str">
        <f>""</f>
        <v/>
      </c>
      <c r="F853" s="10" t="str">
        <f>""</f>
        <v/>
      </c>
      <c r="G853" s="10" t="str">
        <f>""</f>
        <v/>
      </c>
      <c r="H853" s="9">
        <v>570495394.77999997</v>
      </c>
    </row>
    <row r="854" spans="1:8" x14ac:dyDescent="0.25">
      <c r="A854" s="7">
        <v>45107</v>
      </c>
      <c r="B854" s="10">
        <v>36</v>
      </c>
      <c r="C854" s="10" t="str">
        <f>"5781"</f>
        <v>5781</v>
      </c>
      <c r="D854" s="11" t="str">
        <f>"Расходы по амортизации зданий и сооружений"</f>
        <v>Расходы по амортизации зданий и сооружений</v>
      </c>
      <c r="E854" s="10" t="str">
        <f>""</f>
        <v/>
      </c>
      <c r="F854" s="10" t="str">
        <f>""</f>
        <v/>
      </c>
      <c r="G854" s="10" t="str">
        <f>""</f>
        <v/>
      </c>
      <c r="H854" s="9">
        <v>440578528.12</v>
      </c>
    </row>
    <row r="855" spans="1:8" x14ac:dyDescent="0.25">
      <c r="A855" s="7">
        <v>45107</v>
      </c>
      <c r="B855" s="10">
        <v>36</v>
      </c>
      <c r="C855" s="10" t="str">
        <f>"5782"</f>
        <v>5782</v>
      </c>
      <c r="D855" s="11" t="str">
        <f>"Расходы по амортизации компьютерного оборудования"</f>
        <v>Расходы по амортизации компьютерного оборудования</v>
      </c>
      <c r="E855" s="10" t="str">
        <f>""</f>
        <v/>
      </c>
      <c r="F855" s="10" t="str">
        <f>""</f>
        <v/>
      </c>
      <c r="G855" s="10" t="str">
        <f>""</f>
        <v/>
      </c>
      <c r="H855" s="9">
        <v>930593816.16999996</v>
      </c>
    </row>
    <row r="856" spans="1:8" x14ac:dyDescent="0.25">
      <c r="A856" s="7">
        <v>45107</v>
      </c>
      <c r="B856" s="10">
        <v>36</v>
      </c>
      <c r="C856" s="10" t="str">
        <f>"5783"</f>
        <v>5783</v>
      </c>
      <c r="D856" s="11" t="str">
        <f>"Расходы по амортизации прочих основных средств"</f>
        <v>Расходы по амортизации прочих основных средств</v>
      </c>
      <c r="E856" s="10" t="str">
        <f>""</f>
        <v/>
      </c>
      <c r="F856" s="10" t="str">
        <f>""</f>
        <v/>
      </c>
      <c r="G856" s="10" t="str">
        <f>""</f>
        <v/>
      </c>
      <c r="H856" s="9">
        <v>1291087933.0799999</v>
      </c>
    </row>
    <row r="857" spans="1:8" x14ac:dyDescent="0.25">
      <c r="A857" s="7">
        <v>45107</v>
      </c>
      <c r="B857" s="10">
        <v>36</v>
      </c>
      <c r="C857" s="10" t="str">
        <f>"5784"</f>
        <v>5784</v>
      </c>
      <c r="D857" s="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57" s="10" t="str">
        <f>""</f>
        <v/>
      </c>
      <c r="F857" s="10" t="str">
        <f>""</f>
        <v/>
      </c>
      <c r="G857" s="10" t="str">
        <f>""</f>
        <v/>
      </c>
      <c r="H857" s="9">
        <v>394673114.76999998</v>
      </c>
    </row>
    <row r="858" spans="1:8" ht="30" x14ac:dyDescent="0.25">
      <c r="A858" s="7">
        <v>45107</v>
      </c>
      <c r="B858" s="10">
        <v>36</v>
      </c>
      <c r="C858" s="10" t="str">
        <f>"5786"</f>
        <v>5786</v>
      </c>
      <c r="D858" s="1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58" s="10" t="str">
        <f>""</f>
        <v/>
      </c>
      <c r="F858" s="10" t="str">
        <f>""</f>
        <v/>
      </c>
      <c r="G858" s="10" t="str">
        <f>""</f>
        <v/>
      </c>
      <c r="H858" s="9">
        <v>53021166.200000003</v>
      </c>
    </row>
    <row r="859" spans="1:8" x14ac:dyDescent="0.25">
      <c r="A859" s="7">
        <v>45107</v>
      </c>
      <c r="B859" s="10">
        <v>36</v>
      </c>
      <c r="C859" s="10" t="str">
        <f>"5787"</f>
        <v>5787</v>
      </c>
      <c r="D859" s="11" t="str">
        <f>"Расходы по амортизации транспортных средств"</f>
        <v>Расходы по амортизации транспортных средств</v>
      </c>
      <c r="E859" s="10" t="str">
        <f>""</f>
        <v/>
      </c>
      <c r="F859" s="10" t="str">
        <f>""</f>
        <v/>
      </c>
      <c r="G859" s="10" t="str">
        <f>""</f>
        <v/>
      </c>
      <c r="H859" s="9">
        <v>14002386.890000001</v>
      </c>
    </row>
    <row r="860" spans="1:8" x14ac:dyDescent="0.25">
      <c r="A860" s="7">
        <v>45107</v>
      </c>
      <c r="B860" s="10">
        <v>36</v>
      </c>
      <c r="C860" s="10" t="str">
        <f>"5788"</f>
        <v>5788</v>
      </c>
      <c r="D860" s="11" t="str">
        <f>"Расходы по амортизации нематериальных активов"</f>
        <v>Расходы по амортизации нематериальных активов</v>
      </c>
      <c r="E860" s="10" t="str">
        <f>""</f>
        <v/>
      </c>
      <c r="F860" s="10" t="str">
        <f>""</f>
        <v/>
      </c>
      <c r="G860" s="10" t="str">
        <f>""</f>
        <v/>
      </c>
      <c r="H860" s="9">
        <v>744740858.50999999</v>
      </c>
    </row>
    <row r="861" spans="1:8" ht="30" x14ac:dyDescent="0.25">
      <c r="A861" s="7">
        <v>45107</v>
      </c>
      <c r="B861" s="10">
        <v>36</v>
      </c>
      <c r="C861" s="10" t="str">
        <f>"5852"</f>
        <v>5852</v>
      </c>
      <c r="D861" s="1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61" s="10" t="str">
        <f>""</f>
        <v/>
      </c>
      <c r="F861" s="10" t="str">
        <f>""</f>
        <v/>
      </c>
      <c r="G861" s="10" t="str">
        <f>""</f>
        <v/>
      </c>
      <c r="H861" s="9">
        <v>3623.48</v>
      </c>
    </row>
    <row r="862" spans="1:8" x14ac:dyDescent="0.25">
      <c r="A862" s="7">
        <v>45107</v>
      </c>
      <c r="B862" s="10">
        <v>36</v>
      </c>
      <c r="C862" s="10" t="str">
        <f>"5854"</f>
        <v>5854</v>
      </c>
      <c r="D862" s="11" t="str">
        <f>"Расходы от реализации запасов"</f>
        <v>Расходы от реализации запасов</v>
      </c>
      <c r="E862" s="10" t="str">
        <f>""</f>
        <v/>
      </c>
      <c r="F862" s="10" t="str">
        <f>""</f>
        <v/>
      </c>
      <c r="G862" s="10" t="str">
        <f>""</f>
        <v/>
      </c>
      <c r="H862" s="9">
        <v>1600530543.25</v>
      </c>
    </row>
    <row r="863" spans="1:8" ht="30" x14ac:dyDescent="0.25">
      <c r="A863" s="7">
        <v>45107</v>
      </c>
      <c r="B863" s="10">
        <v>36</v>
      </c>
      <c r="C863" s="10" t="str">
        <f>"5857"</f>
        <v>5857</v>
      </c>
      <c r="D863" s="1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63" s="10" t="str">
        <f>""</f>
        <v/>
      </c>
      <c r="F863" s="10" t="str">
        <f>""</f>
        <v/>
      </c>
      <c r="G863" s="10" t="str">
        <f>""</f>
        <v/>
      </c>
      <c r="H863" s="9">
        <v>31168197.329999998</v>
      </c>
    </row>
    <row r="864" spans="1:8" x14ac:dyDescent="0.25">
      <c r="A864" s="7">
        <v>45107</v>
      </c>
      <c r="B864" s="10">
        <v>36</v>
      </c>
      <c r="C864" s="10" t="str">
        <f>"5895"</f>
        <v>5895</v>
      </c>
      <c r="D864" s="11" t="str">
        <f>"Расходы по операциям своп"</f>
        <v>Расходы по операциям своп</v>
      </c>
      <c r="E864" s="10" t="str">
        <f>""</f>
        <v/>
      </c>
      <c r="F864" s="10" t="str">
        <f>""</f>
        <v/>
      </c>
      <c r="G864" s="10" t="str">
        <f>""</f>
        <v/>
      </c>
      <c r="H864" s="9">
        <v>29193521440.41</v>
      </c>
    </row>
    <row r="865" spans="1:8" x14ac:dyDescent="0.25">
      <c r="A865" s="7">
        <v>45107</v>
      </c>
      <c r="B865" s="10">
        <v>36</v>
      </c>
      <c r="C865" s="10" t="str">
        <f>"5900"</f>
        <v>5900</v>
      </c>
      <c r="D865" s="11" t="str">
        <f>"Неустойка (штраф, пеня)"</f>
        <v>Неустойка (штраф, пеня)</v>
      </c>
      <c r="E865" s="10" t="str">
        <f>""</f>
        <v/>
      </c>
      <c r="F865" s="10" t="str">
        <f>""</f>
        <v/>
      </c>
      <c r="G865" s="10" t="str">
        <f>""</f>
        <v/>
      </c>
      <c r="H865" s="9">
        <v>14896769.59</v>
      </c>
    </row>
    <row r="866" spans="1:8" x14ac:dyDescent="0.25">
      <c r="A866" s="7">
        <v>45107</v>
      </c>
      <c r="B866" s="10">
        <v>36</v>
      </c>
      <c r="C866" s="10" t="str">
        <f>"5921"</f>
        <v>5921</v>
      </c>
      <c r="D866" s="11" t="str">
        <f>"Прочие расходы от банковской деятельности"</f>
        <v>Прочие расходы от банковской деятельности</v>
      </c>
      <c r="E866" s="10" t="str">
        <f>""</f>
        <v/>
      </c>
      <c r="F866" s="10" t="str">
        <f>""</f>
        <v/>
      </c>
      <c r="G866" s="10" t="str">
        <f>""</f>
        <v/>
      </c>
      <c r="H866" s="9">
        <v>1552048953.1300001</v>
      </c>
    </row>
    <row r="867" spans="1:8" x14ac:dyDescent="0.25">
      <c r="A867" s="7">
        <v>45107</v>
      </c>
      <c r="B867" s="10">
        <v>36</v>
      </c>
      <c r="C867" s="10" t="str">
        <f>"5922"</f>
        <v>5922</v>
      </c>
      <c r="D867" s="11" t="str">
        <f>"Прочие расходы от неосновной деятельности"</f>
        <v>Прочие расходы от неосновной деятельности</v>
      </c>
      <c r="E867" s="10" t="str">
        <f>""</f>
        <v/>
      </c>
      <c r="F867" s="10" t="str">
        <f>""</f>
        <v/>
      </c>
      <c r="G867" s="10" t="str">
        <f>""</f>
        <v/>
      </c>
      <c r="H867" s="9">
        <v>487563686.06999999</v>
      </c>
    </row>
    <row r="868" spans="1:8" x14ac:dyDescent="0.25">
      <c r="A868" s="7">
        <v>45107</v>
      </c>
      <c r="B868" s="10">
        <v>36</v>
      </c>
      <c r="C868" s="10" t="str">
        <f>"5923"</f>
        <v>5923</v>
      </c>
      <c r="D868" s="11" t="str">
        <f>"Расходы по аренде"</f>
        <v>Расходы по аренде</v>
      </c>
      <c r="E868" s="10" t="str">
        <f>""</f>
        <v/>
      </c>
      <c r="F868" s="10" t="str">
        <f>""</f>
        <v/>
      </c>
      <c r="G868" s="10" t="str">
        <f>""</f>
        <v/>
      </c>
      <c r="H868" s="9">
        <v>379570532.04000002</v>
      </c>
    </row>
    <row r="869" spans="1:8" x14ac:dyDescent="0.25">
      <c r="A869" s="7">
        <v>45107</v>
      </c>
      <c r="B869" s="10">
        <v>36</v>
      </c>
      <c r="C869" s="10" t="str">
        <f>"5999"</f>
        <v>5999</v>
      </c>
      <c r="D869" s="11" t="str">
        <f>"Корпоративный подоходный налог"</f>
        <v>Корпоративный подоходный налог</v>
      </c>
      <c r="E869" s="10" t="str">
        <f>""</f>
        <v/>
      </c>
      <c r="F869" s="10" t="str">
        <f>""</f>
        <v/>
      </c>
      <c r="G869" s="10" t="str">
        <f>""</f>
        <v/>
      </c>
      <c r="H869" s="9">
        <v>8450000000</v>
      </c>
    </row>
    <row r="870" spans="1:8" ht="30" x14ac:dyDescent="0.25">
      <c r="A870" s="7">
        <v>45107</v>
      </c>
      <c r="B870" s="10">
        <v>36</v>
      </c>
      <c r="C870" s="10" t="str">
        <f>"6005"</f>
        <v>6005</v>
      </c>
      <c r="D870" s="1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70" s="10" t="str">
        <f>""</f>
        <v/>
      </c>
      <c r="F870" s="10" t="str">
        <f>""</f>
        <v/>
      </c>
      <c r="G870" s="10" t="str">
        <f>""</f>
        <v/>
      </c>
      <c r="H870" s="9">
        <v>149213336.72999999</v>
      </c>
    </row>
    <row r="871" spans="1:8" x14ac:dyDescent="0.25">
      <c r="A871" s="7">
        <v>45107</v>
      </c>
      <c r="B871" s="10">
        <v>36</v>
      </c>
      <c r="C871" s="10" t="str">
        <f>"6020"</f>
        <v>6020</v>
      </c>
      <c r="D871" s="1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71" s="10" t="str">
        <f>""</f>
        <v/>
      </c>
      <c r="F871" s="10" t="str">
        <f>""</f>
        <v/>
      </c>
      <c r="G871" s="10" t="str">
        <f>""</f>
        <v/>
      </c>
      <c r="H871" s="9">
        <v>56409399.899999999</v>
      </c>
    </row>
    <row r="872" spans="1:8" ht="30" x14ac:dyDescent="0.25">
      <c r="A872" s="7">
        <v>45107</v>
      </c>
      <c r="B872" s="10">
        <v>36</v>
      </c>
      <c r="C872" s="10" t="str">
        <f>"6055"</f>
        <v>6055</v>
      </c>
      <c r="D872" s="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72" s="10" t="str">
        <f>""</f>
        <v/>
      </c>
      <c r="F872" s="10" t="str">
        <f>""</f>
        <v/>
      </c>
      <c r="G872" s="10" t="str">
        <f>""</f>
        <v/>
      </c>
      <c r="H872" s="9">
        <v>86507071622.399994</v>
      </c>
    </row>
    <row r="873" spans="1:8" x14ac:dyDescent="0.25">
      <c r="A873" s="7">
        <v>45107</v>
      </c>
      <c r="B873" s="10">
        <v>36</v>
      </c>
      <c r="C873" s="10" t="str">
        <f>"6075"</f>
        <v>6075</v>
      </c>
      <c r="D873" s="11" t="str">
        <f>"Возможные требования по принятым гарантиям"</f>
        <v>Возможные требования по принятым гарантиям</v>
      </c>
      <c r="E873" s="10" t="str">
        <f>""</f>
        <v/>
      </c>
      <c r="F873" s="10" t="str">
        <f>""</f>
        <v/>
      </c>
      <c r="G873" s="10" t="str">
        <f>""</f>
        <v/>
      </c>
      <c r="H873" s="9">
        <v>3825759041402.4399</v>
      </c>
    </row>
    <row r="874" spans="1:8" ht="30" x14ac:dyDescent="0.25">
      <c r="A874" s="7">
        <v>45107</v>
      </c>
      <c r="B874" s="10">
        <v>36</v>
      </c>
      <c r="C874" s="10" t="str">
        <f>"6126"</f>
        <v>6126</v>
      </c>
      <c r="D874" s="1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74" s="10" t="str">
        <f>""</f>
        <v/>
      </c>
      <c r="F874" s="10" t="str">
        <f>""</f>
        <v/>
      </c>
      <c r="G874" s="10" t="str">
        <f>""</f>
        <v/>
      </c>
      <c r="H874" s="9">
        <v>423766181670.17999</v>
      </c>
    </row>
    <row r="875" spans="1:8" x14ac:dyDescent="0.25">
      <c r="A875" s="7">
        <v>45107</v>
      </c>
      <c r="B875" s="10">
        <v>36</v>
      </c>
      <c r="C875" s="10" t="str">
        <f>"6155"</f>
        <v>6155</v>
      </c>
      <c r="D875" s="11" t="str">
        <f>"Условные требования по получению вкладов в будущем"</f>
        <v>Условные требования по получению вкладов в будущем</v>
      </c>
      <c r="E875" s="10" t="str">
        <f>""</f>
        <v/>
      </c>
      <c r="F875" s="10" t="str">
        <f>""</f>
        <v/>
      </c>
      <c r="G875" s="10" t="str">
        <f>""</f>
        <v/>
      </c>
      <c r="H875" s="9">
        <v>1276169475</v>
      </c>
    </row>
    <row r="876" spans="1:8" x14ac:dyDescent="0.25">
      <c r="A876" s="7">
        <v>45107</v>
      </c>
      <c r="B876" s="10">
        <v>36</v>
      </c>
      <c r="C876" s="10" t="str">
        <f>"6177"</f>
        <v>6177</v>
      </c>
      <c r="D876" s="11" t="str">
        <f>"Условные требования по предоставленным займам"</f>
        <v>Условные требования по предоставленным займам</v>
      </c>
      <c r="E876" s="10" t="str">
        <f>""</f>
        <v/>
      </c>
      <c r="F876" s="10" t="str">
        <f>""</f>
        <v/>
      </c>
      <c r="G876" s="10" t="str">
        <f>""</f>
        <v/>
      </c>
      <c r="H876" s="9">
        <v>1351205.29</v>
      </c>
    </row>
    <row r="877" spans="1:8" x14ac:dyDescent="0.25">
      <c r="A877" s="7">
        <v>45107</v>
      </c>
      <c r="B877" s="10">
        <v>36</v>
      </c>
      <c r="C877" s="10" t="str">
        <f>"6305"</f>
        <v>6305</v>
      </c>
      <c r="D877" s="11" t="str">
        <f>"Условные требования по продаже ценных бумаг"</f>
        <v>Условные требования по продаже ценных бумаг</v>
      </c>
      <c r="E877" s="10" t="str">
        <f>""</f>
        <v/>
      </c>
      <c r="F877" s="10" t="str">
        <f>""</f>
        <v/>
      </c>
      <c r="G877" s="10" t="str">
        <f>""</f>
        <v/>
      </c>
      <c r="H877" s="9">
        <v>8011299138.5799999</v>
      </c>
    </row>
    <row r="878" spans="1:8" x14ac:dyDescent="0.25">
      <c r="A878" s="7">
        <v>45107</v>
      </c>
      <c r="B878" s="10">
        <v>36</v>
      </c>
      <c r="C878" s="10" t="str">
        <f>"6405"</f>
        <v>6405</v>
      </c>
      <c r="D878" s="11" t="str">
        <f>"Условные требования по купле-продаже иностранной валюты"</f>
        <v>Условные требования по купле-продаже иностранной валюты</v>
      </c>
      <c r="E878" s="10" t="str">
        <f>""</f>
        <v/>
      </c>
      <c r="F878" s="10" t="str">
        <f>""</f>
        <v/>
      </c>
      <c r="G878" s="10" t="str">
        <f>""</f>
        <v/>
      </c>
      <c r="H878" s="9">
        <v>169618516090.45001</v>
      </c>
    </row>
    <row r="879" spans="1:8" ht="30" x14ac:dyDescent="0.25">
      <c r="A879" s="7">
        <v>45107</v>
      </c>
      <c r="B879" s="10">
        <v>36</v>
      </c>
      <c r="C879" s="10" t="str">
        <f>"6505"</f>
        <v>6505</v>
      </c>
      <c r="D879" s="1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79" s="10" t="str">
        <f>""</f>
        <v/>
      </c>
      <c r="F879" s="10" t="str">
        <f>""</f>
        <v/>
      </c>
      <c r="G879" s="10" t="str">
        <f>""</f>
        <v/>
      </c>
      <c r="H879" s="9">
        <v>149213336.72999999</v>
      </c>
    </row>
    <row r="880" spans="1:8" ht="30" x14ac:dyDescent="0.25">
      <c r="A880" s="7">
        <v>45107</v>
      </c>
      <c r="B880" s="10">
        <v>36</v>
      </c>
      <c r="C880" s="10" t="str">
        <f>"6520"</f>
        <v>6520</v>
      </c>
      <c r="D880" s="1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880" s="10" t="str">
        <f>""</f>
        <v/>
      </c>
      <c r="F880" s="10" t="str">
        <f>""</f>
        <v/>
      </c>
      <c r="G880" s="10" t="str">
        <f>""</f>
        <v/>
      </c>
      <c r="H880" s="9">
        <v>56409399.899999999</v>
      </c>
    </row>
    <row r="881" spans="1:8" ht="30" x14ac:dyDescent="0.25">
      <c r="A881" s="7">
        <v>45107</v>
      </c>
      <c r="B881" s="10">
        <v>36</v>
      </c>
      <c r="C881" s="10" t="str">
        <f>"6555"</f>
        <v>6555</v>
      </c>
      <c r="D881" s="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81" s="10" t="str">
        <f>""</f>
        <v/>
      </c>
      <c r="F881" s="10" t="str">
        <f>""</f>
        <v/>
      </c>
      <c r="G881" s="10" t="str">
        <f>""</f>
        <v/>
      </c>
      <c r="H881" s="9">
        <v>86507071622.399994</v>
      </c>
    </row>
    <row r="882" spans="1:8" x14ac:dyDescent="0.25">
      <c r="A882" s="7">
        <v>45107</v>
      </c>
      <c r="B882" s="10">
        <v>36</v>
      </c>
      <c r="C882" s="10" t="str">
        <f>"6575"</f>
        <v>6575</v>
      </c>
      <c r="D882" s="11" t="str">
        <f>"Возможное уменьшение требований по принятым гарантиям"</f>
        <v>Возможное уменьшение требований по принятым гарантиям</v>
      </c>
      <c r="E882" s="10" t="str">
        <f>""</f>
        <v/>
      </c>
      <c r="F882" s="10" t="str">
        <f>""</f>
        <v/>
      </c>
      <c r="G882" s="10" t="str">
        <f>""</f>
        <v/>
      </c>
      <c r="H882" s="9">
        <v>3825759041402.4399</v>
      </c>
    </row>
    <row r="883" spans="1:8" ht="30" x14ac:dyDescent="0.25">
      <c r="A883" s="7">
        <v>45107</v>
      </c>
      <c r="B883" s="10">
        <v>36</v>
      </c>
      <c r="C883" s="10" t="str">
        <f>"6626"</f>
        <v>6626</v>
      </c>
      <c r="D883" s="1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83" s="10" t="str">
        <f>""</f>
        <v/>
      </c>
      <c r="F883" s="10" t="str">
        <f>""</f>
        <v/>
      </c>
      <c r="G883" s="10" t="str">
        <f>""</f>
        <v/>
      </c>
      <c r="H883" s="9">
        <v>423766181670.17999</v>
      </c>
    </row>
    <row r="884" spans="1:8" x14ac:dyDescent="0.25">
      <c r="A884" s="7">
        <v>45107</v>
      </c>
      <c r="B884" s="10">
        <v>36</v>
      </c>
      <c r="C884" s="10" t="str">
        <f>"6655"</f>
        <v>6655</v>
      </c>
      <c r="D884" s="11" t="str">
        <f>"Будущие обязательства по получаемым вкладам"</f>
        <v>Будущие обязательства по получаемым вкладам</v>
      </c>
      <c r="E884" s="10" t="str">
        <f>""</f>
        <v/>
      </c>
      <c r="F884" s="10" t="str">
        <f>""</f>
        <v/>
      </c>
      <c r="G884" s="10" t="str">
        <f>""</f>
        <v/>
      </c>
      <c r="H884" s="9">
        <v>1276169475</v>
      </c>
    </row>
    <row r="885" spans="1:8" x14ac:dyDescent="0.25">
      <c r="A885" s="7">
        <v>45107</v>
      </c>
      <c r="B885" s="10">
        <v>36</v>
      </c>
      <c r="C885" s="10" t="str">
        <f>"6677"</f>
        <v>6677</v>
      </c>
      <c r="D885" s="11" t="str">
        <f>"Условные обязательства по предоставленным займам"</f>
        <v>Условные обязательства по предоставленным займам</v>
      </c>
      <c r="E885" s="10" t="str">
        <f>""</f>
        <v/>
      </c>
      <c r="F885" s="10" t="str">
        <f>""</f>
        <v/>
      </c>
      <c r="G885" s="10" t="str">
        <f>""</f>
        <v/>
      </c>
      <c r="H885" s="9">
        <v>1351205.29</v>
      </c>
    </row>
    <row r="886" spans="1:8" x14ac:dyDescent="0.25">
      <c r="A886" s="7">
        <v>45107</v>
      </c>
      <c r="B886" s="10">
        <v>36</v>
      </c>
      <c r="C886" s="10" t="str">
        <f>"6805"</f>
        <v>6805</v>
      </c>
      <c r="D886" s="11" t="str">
        <f>"Условные обязательства по продаже ценных бумаг"</f>
        <v>Условные обязательства по продаже ценных бумаг</v>
      </c>
      <c r="E886" s="10" t="str">
        <f>""</f>
        <v/>
      </c>
      <c r="F886" s="10" t="str">
        <f>""</f>
        <v/>
      </c>
      <c r="G886" s="10" t="str">
        <f>""</f>
        <v/>
      </c>
      <c r="H886" s="9">
        <v>8011299138.5799999</v>
      </c>
    </row>
    <row r="887" spans="1:8" x14ac:dyDescent="0.25">
      <c r="A887" s="7">
        <v>45107</v>
      </c>
      <c r="B887" s="10">
        <v>36</v>
      </c>
      <c r="C887" s="10" t="str">
        <f>"6905"</f>
        <v>6905</v>
      </c>
      <c r="D887" s="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87" s="10" t="str">
        <f>""</f>
        <v/>
      </c>
      <c r="F887" s="10" t="str">
        <f>""</f>
        <v/>
      </c>
      <c r="G887" s="10" t="str">
        <f>""</f>
        <v/>
      </c>
      <c r="H887" s="9">
        <v>169530878097.17999</v>
      </c>
    </row>
    <row r="888" spans="1:8" x14ac:dyDescent="0.25">
      <c r="A888" s="7">
        <v>45107</v>
      </c>
      <c r="B888" s="10">
        <v>36</v>
      </c>
      <c r="C888" s="10" t="str">
        <f>"6999"</f>
        <v>6999</v>
      </c>
      <c r="D888" s="11" t="str">
        <f>"Позиция по сделкам с иностранной валютой"</f>
        <v>Позиция по сделкам с иностранной валютой</v>
      </c>
      <c r="E888" s="10" t="str">
        <f>""</f>
        <v/>
      </c>
      <c r="F888" s="10" t="str">
        <f>""</f>
        <v/>
      </c>
      <c r="G888" s="10" t="str">
        <f>""</f>
        <v/>
      </c>
      <c r="H888" s="9">
        <v>87637993.269999996</v>
      </c>
    </row>
    <row r="889" spans="1:8" ht="30" x14ac:dyDescent="0.25">
      <c r="A889" s="7">
        <v>45107</v>
      </c>
      <c r="B889" s="10">
        <v>36</v>
      </c>
      <c r="C889" s="10" t="str">
        <f>"7110"</f>
        <v>7110</v>
      </c>
      <c r="D889" s="1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89" s="10" t="str">
        <f>""</f>
        <v/>
      </c>
      <c r="F889" s="10" t="str">
        <f>""</f>
        <v/>
      </c>
      <c r="G889" s="10" t="str">
        <f>""</f>
        <v/>
      </c>
      <c r="H889" s="9">
        <v>14386.09</v>
      </c>
    </row>
    <row r="890" spans="1:8" ht="30" x14ac:dyDescent="0.25">
      <c r="A890" s="7">
        <v>45107</v>
      </c>
      <c r="B890" s="10">
        <v>36</v>
      </c>
      <c r="C890" s="10" t="str">
        <f>"7150"</f>
        <v>7150</v>
      </c>
      <c r="D890" s="1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90" s="10" t="str">
        <f>""</f>
        <v/>
      </c>
      <c r="F890" s="10" t="str">
        <f>""</f>
        <v/>
      </c>
      <c r="G890" s="10" t="str">
        <f>""</f>
        <v/>
      </c>
      <c r="H890" s="9">
        <v>5316715.8899999997</v>
      </c>
    </row>
    <row r="891" spans="1:8" x14ac:dyDescent="0.25">
      <c r="A891" s="7">
        <v>45107</v>
      </c>
      <c r="B891" s="10">
        <v>36</v>
      </c>
      <c r="C891" s="10" t="str">
        <f>"7220"</f>
        <v>7220</v>
      </c>
      <c r="D891" s="11" t="str">
        <f>"Арендованные активы"</f>
        <v>Арендованные активы</v>
      </c>
      <c r="E891" s="10" t="str">
        <f>""</f>
        <v/>
      </c>
      <c r="F891" s="10" t="str">
        <f>""</f>
        <v/>
      </c>
      <c r="G891" s="10" t="str">
        <f>""</f>
        <v/>
      </c>
      <c r="H891" s="9">
        <v>731801188.57000005</v>
      </c>
    </row>
    <row r="892" spans="1:8" x14ac:dyDescent="0.25">
      <c r="A892" s="7">
        <v>45107</v>
      </c>
      <c r="B892" s="10">
        <v>36</v>
      </c>
      <c r="C892" s="10" t="str">
        <f>"7240"</f>
        <v>7240</v>
      </c>
      <c r="D892" s="11" t="str">
        <f>"Документы и ценности, принятые на инкассо"</f>
        <v>Документы и ценности, принятые на инкассо</v>
      </c>
      <c r="E892" s="10" t="str">
        <f>""</f>
        <v/>
      </c>
      <c r="F892" s="10" t="str">
        <f>""</f>
        <v/>
      </c>
      <c r="G892" s="10" t="str">
        <f>""</f>
        <v/>
      </c>
      <c r="H892" s="9">
        <v>392035707.39999998</v>
      </c>
    </row>
    <row r="893" spans="1:8" x14ac:dyDescent="0.25">
      <c r="A893" s="7">
        <v>45107</v>
      </c>
      <c r="B893" s="10">
        <v>36</v>
      </c>
      <c r="C893" s="10" t="str">
        <f>"7250"</f>
        <v>7250</v>
      </c>
      <c r="D893" s="1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93" s="10" t="str">
        <f>""</f>
        <v/>
      </c>
      <c r="F893" s="10" t="str">
        <f>""</f>
        <v/>
      </c>
      <c r="G893" s="10" t="str">
        <f>""</f>
        <v/>
      </c>
      <c r="H893" s="9">
        <v>1232974514499.22</v>
      </c>
    </row>
    <row r="894" spans="1:8" x14ac:dyDescent="0.25">
      <c r="A894" s="7">
        <v>45107</v>
      </c>
      <c r="B894" s="10">
        <v>36</v>
      </c>
      <c r="C894" s="10" t="str">
        <f>"7303"</f>
        <v>7303</v>
      </c>
      <c r="D894" s="11" t="str">
        <f>"Платежные документы, не оплаченные в срок"</f>
        <v>Платежные документы, не оплаченные в срок</v>
      </c>
      <c r="E894" s="10" t="str">
        <f>""</f>
        <v/>
      </c>
      <c r="F894" s="10" t="str">
        <f>""</f>
        <v/>
      </c>
      <c r="G894" s="10" t="str">
        <f>""</f>
        <v/>
      </c>
      <c r="H894" s="9">
        <v>21629785793588.602</v>
      </c>
    </row>
    <row r="895" spans="1:8" x14ac:dyDescent="0.25">
      <c r="A895" s="7">
        <v>45107</v>
      </c>
      <c r="B895" s="10">
        <v>36</v>
      </c>
      <c r="C895" s="10" t="str">
        <f>"7339"</f>
        <v>7339</v>
      </c>
      <c r="D895" s="11" t="str">
        <f>"Разные ценности и документы"</f>
        <v>Разные ценности и документы</v>
      </c>
      <c r="E895" s="10" t="str">
        <f>""</f>
        <v/>
      </c>
      <c r="F895" s="10" t="str">
        <f>""</f>
        <v/>
      </c>
      <c r="G895" s="10" t="str">
        <f>""</f>
        <v/>
      </c>
      <c r="H895" s="9">
        <v>118725578.90000001</v>
      </c>
    </row>
    <row r="896" spans="1:8" x14ac:dyDescent="0.25">
      <c r="A896" s="7">
        <v>45107</v>
      </c>
      <c r="B896" s="10">
        <v>36</v>
      </c>
      <c r="C896" s="10" t="str">
        <f>"7342"</f>
        <v>7342</v>
      </c>
      <c r="D896" s="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96" s="10" t="str">
        <f>""</f>
        <v/>
      </c>
      <c r="F896" s="10" t="str">
        <f>""</f>
        <v/>
      </c>
      <c r="G896" s="10" t="str">
        <f>""</f>
        <v/>
      </c>
      <c r="H896" s="9">
        <v>44015</v>
      </c>
    </row>
    <row r="897" spans="1:8" ht="30" x14ac:dyDescent="0.25">
      <c r="A897" s="7">
        <v>45107</v>
      </c>
      <c r="B897" s="10">
        <v>36</v>
      </c>
      <c r="C897" s="10" t="str">
        <f>"7403"</f>
        <v>7403</v>
      </c>
      <c r="D897" s="11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97" s="10" t="str">
        <f>""</f>
        <v/>
      </c>
      <c r="F897" s="10" t="str">
        <f>""</f>
        <v/>
      </c>
      <c r="G897" s="10" t="str">
        <f>""</f>
        <v/>
      </c>
      <c r="H897" s="9">
        <v>514283355.23000002</v>
      </c>
    </row>
    <row r="898" spans="1:8" ht="30" x14ac:dyDescent="0.25">
      <c r="A898" s="7">
        <v>45107</v>
      </c>
      <c r="B898" s="10">
        <v>36</v>
      </c>
      <c r="C898" s="10" t="str">
        <f>"7404"</f>
        <v>7404</v>
      </c>
      <c r="D898" s="11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98" s="10" t="str">
        <f>""</f>
        <v/>
      </c>
      <c r="F898" s="10" t="str">
        <f>""</f>
        <v/>
      </c>
      <c r="G898" s="10" t="str">
        <f>""</f>
        <v/>
      </c>
      <c r="H898" s="9">
        <v>872137745.77999997</v>
      </c>
    </row>
    <row r="899" spans="1:8" x14ac:dyDescent="0.25">
      <c r="A899" s="7">
        <v>45107</v>
      </c>
      <c r="B899" s="10">
        <v>36</v>
      </c>
      <c r="C899" s="10" t="str">
        <f>"7405"</f>
        <v>7405</v>
      </c>
      <c r="D899" s="11" t="str">
        <f>"Ценные бумаги международных финансовых организаций"</f>
        <v>Ценные бумаги международных финансовых организаций</v>
      </c>
      <c r="E899" s="10" t="str">
        <f>""</f>
        <v/>
      </c>
      <c r="F899" s="10" t="str">
        <f>""</f>
        <v/>
      </c>
      <c r="G899" s="10" t="str">
        <f>""</f>
        <v/>
      </c>
      <c r="H899" s="9">
        <v>274637568.44999999</v>
      </c>
    </row>
    <row r="900" spans="1:8" x14ac:dyDescent="0.25">
      <c r="A900" s="7">
        <v>45107</v>
      </c>
      <c r="B900" s="10">
        <v>36</v>
      </c>
      <c r="C900" s="10" t="str">
        <f>"7407"</f>
        <v>7407</v>
      </c>
      <c r="D900" s="11" t="str">
        <f>"Прочие пенсионные активы"</f>
        <v>Прочие пенсионные активы</v>
      </c>
      <c r="E900" s="10" t="str">
        <f>""</f>
        <v/>
      </c>
      <c r="F900" s="10" t="str">
        <f>""</f>
        <v/>
      </c>
      <c r="G900" s="10" t="str">
        <f>""</f>
        <v/>
      </c>
      <c r="H900" s="9">
        <v>641975060.16999996</v>
      </c>
    </row>
    <row r="901" spans="1:8" ht="45" x14ac:dyDescent="0.25">
      <c r="A901" s="7">
        <v>45107</v>
      </c>
      <c r="B901" s="10">
        <v>36</v>
      </c>
      <c r="C901" s="10" t="str">
        <f>"7409"</f>
        <v>7409</v>
      </c>
      <c r="D901" s="11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901" s="10" t="str">
        <f>""</f>
        <v/>
      </c>
      <c r="F901" s="10" t="str">
        <f>""</f>
        <v/>
      </c>
      <c r="G901" s="10" t="str">
        <f>""</f>
        <v/>
      </c>
      <c r="H901" s="9">
        <v>19473395.609999999</v>
      </c>
    </row>
    <row r="902" spans="1:8" ht="60" x14ac:dyDescent="0.25">
      <c r="A902" s="7">
        <v>45107</v>
      </c>
      <c r="B902" s="10">
        <v>36</v>
      </c>
      <c r="C902" s="10" t="str">
        <f>"7410"</f>
        <v>7410</v>
      </c>
      <c r="D902" s="11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902" s="10" t="str">
        <f>""</f>
        <v/>
      </c>
      <c r="F902" s="10" t="str">
        <f>""</f>
        <v/>
      </c>
      <c r="G902" s="10" t="str">
        <f>""</f>
        <v/>
      </c>
      <c r="H902" s="9">
        <v>34857763.450000003</v>
      </c>
    </row>
    <row r="903" spans="1:8" ht="45" x14ac:dyDescent="0.25">
      <c r="A903" s="7">
        <v>45107</v>
      </c>
      <c r="B903" s="10">
        <v>36</v>
      </c>
      <c r="C903" s="10" t="str">
        <f>"7411"</f>
        <v>7411</v>
      </c>
      <c r="D903" s="11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903" s="10" t="str">
        <f>""</f>
        <v/>
      </c>
      <c r="F903" s="10" t="str">
        <f>""</f>
        <v/>
      </c>
      <c r="G903" s="10" t="str">
        <f>""</f>
        <v/>
      </c>
      <c r="H903" s="9">
        <v>16566895.560000001</v>
      </c>
    </row>
    <row r="904" spans="1:8" ht="30" x14ac:dyDescent="0.25">
      <c r="A904" s="7">
        <v>45107</v>
      </c>
      <c r="B904" s="10">
        <v>36</v>
      </c>
      <c r="C904" s="10" t="str">
        <f>"7413"</f>
        <v>7413</v>
      </c>
      <c r="D904" s="11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04" s="10" t="str">
        <f>""</f>
        <v/>
      </c>
      <c r="F904" s="10" t="str">
        <f>""</f>
        <v/>
      </c>
      <c r="G904" s="10" t="str">
        <f>""</f>
        <v/>
      </c>
      <c r="H904" s="9">
        <v>677966.14</v>
      </c>
    </row>
    <row r="905" spans="1:8" ht="30" x14ac:dyDescent="0.25">
      <c r="A905" s="7">
        <v>45107</v>
      </c>
      <c r="B905" s="10">
        <v>36</v>
      </c>
      <c r="C905" s="10" t="str">
        <f>"7416"</f>
        <v>7416</v>
      </c>
      <c r="D905" s="1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05" s="10" t="str">
        <f>""</f>
        <v/>
      </c>
      <c r="F905" s="10" t="str">
        <f>""</f>
        <v/>
      </c>
      <c r="G905" s="10" t="str">
        <f>""</f>
        <v/>
      </c>
      <c r="H905" s="9">
        <v>1077548967.98</v>
      </c>
    </row>
    <row r="906" spans="1:8" ht="30" x14ac:dyDescent="0.25">
      <c r="A906" s="7">
        <v>45107</v>
      </c>
      <c r="B906" s="10">
        <v>36</v>
      </c>
      <c r="C906" s="10" t="str">
        <f>"7535"</f>
        <v>7535</v>
      </c>
      <c r="D906" s="1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06" s="10" t="str">
        <f>""</f>
        <v/>
      </c>
      <c r="F906" s="10" t="str">
        <f>""</f>
        <v/>
      </c>
      <c r="G906" s="10" t="str">
        <f>""</f>
        <v/>
      </c>
      <c r="H906" s="9">
        <v>1117922.1299999999</v>
      </c>
    </row>
    <row r="907" spans="1:8" ht="30" x14ac:dyDescent="0.25">
      <c r="A907" s="7">
        <v>45107</v>
      </c>
      <c r="B907" s="10">
        <v>36</v>
      </c>
      <c r="C907" s="10" t="str">
        <f>"7536"</f>
        <v>7536</v>
      </c>
      <c r="D907" s="1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07" s="10" t="str">
        <f>""</f>
        <v/>
      </c>
      <c r="F907" s="10" t="str">
        <f>""</f>
        <v/>
      </c>
      <c r="G907" s="10" t="str">
        <f>""</f>
        <v/>
      </c>
      <c r="H907" s="9">
        <v>160527.94</v>
      </c>
    </row>
    <row r="908" spans="1:8" ht="30" x14ac:dyDescent="0.25">
      <c r="A908" s="7">
        <v>45107</v>
      </c>
      <c r="B908" s="10">
        <v>36</v>
      </c>
      <c r="C908" s="10" t="str">
        <f>"7543"</f>
        <v>7543</v>
      </c>
      <c r="D908" s="11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08" s="10" t="str">
        <f>""</f>
        <v/>
      </c>
      <c r="F908" s="10" t="str">
        <f>""</f>
        <v/>
      </c>
      <c r="G908" s="10" t="str">
        <f>""</f>
        <v/>
      </c>
      <c r="H908" s="9">
        <v>7994.03</v>
      </c>
    </row>
    <row r="909" spans="1:8" ht="30" x14ac:dyDescent="0.25">
      <c r="A909" s="7">
        <v>45107</v>
      </c>
      <c r="B909" s="10">
        <v>36</v>
      </c>
      <c r="C909" s="10" t="str">
        <f>"7544"</f>
        <v>7544</v>
      </c>
      <c r="D909" s="1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09" s="10" t="str">
        <f>""</f>
        <v/>
      </c>
      <c r="F909" s="10" t="str">
        <f>""</f>
        <v/>
      </c>
      <c r="G909" s="10" t="str">
        <f>""</f>
        <v/>
      </c>
      <c r="H909" s="9">
        <v>64761.19</v>
      </c>
    </row>
    <row r="910" spans="1:8" x14ac:dyDescent="0.25">
      <c r="A910" s="7">
        <v>45107</v>
      </c>
      <c r="B910" s="10">
        <v>36</v>
      </c>
      <c r="C910" s="10" t="str">
        <f>"7601"</f>
        <v>7601</v>
      </c>
      <c r="D910" s="11" t="str">
        <f>"Деньги"</f>
        <v>Деньги</v>
      </c>
      <c r="E910" s="10" t="str">
        <f>""</f>
        <v/>
      </c>
      <c r="F910" s="10" t="str">
        <f>""</f>
        <v/>
      </c>
      <c r="G910" s="10" t="str">
        <f>""</f>
        <v/>
      </c>
      <c r="H910" s="9">
        <v>4812707858.1400003</v>
      </c>
    </row>
    <row r="911" spans="1:8" x14ac:dyDescent="0.25">
      <c r="A911" s="7">
        <v>45107</v>
      </c>
      <c r="B911" s="10">
        <v>36</v>
      </c>
      <c r="C911" s="10" t="str">
        <f>"7651"</f>
        <v>7651</v>
      </c>
      <c r="D911" s="11" t="str">
        <f>"Капитал"</f>
        <v>Капитал</v>
      </c>
      <c r="E911" s="10" t="str">
        <f>""</f>
        <v/>
      </c>
      <c r="F911" s="10" t="str">
        <f>""</f>
        <v/>
      </c>
      <c r="G911" s="10" t="str">
        <f>""</f>
        <v/>
      </c>
      <c r="H911" s="9">
        <v>-9275836106.7999992</v>
      </c>
    </row>
    <row r="912" spans="1:8" x14ac:dyDescent="0.25">
      <c r="A912" s="7">
        <v>45107</v>
      </c>
      <c r="B912" s="10">
        <v>36</v>
      </c>
      <c r="C912" s="10" t="str">
        <f>"7701"</f>
        <v>7701</v>
      </c>
      <c r="D912" s="11" t="str">
        <f>"Ценные бумаги"</f>
        <v>Ценные бумаги</v>
      </c>
      <c r="E912" s="10" t="str">
        <f>""</f>
        <v/>
      </c>
      <c r="F912" s="10" t="str">
        <f>""</f>
        <v/>
      </c>
      <c r="G912" s="10" t="str">
        <f>""</f>
        <v/>
      </c>
      <c r="H912" s="9">
        <v>21460980916</v>
      </c>
    </row>
    <row r="913" spans="1:8" x14ac:dyDescent="0.25">
      <c r="A913" s="7">
        <v>45107</v>
      </c>
      <c r="B913" s="10">
        <v>36</v>
      </c>
      <c r="C913" s="10" t="str">
        <f>"7704"</f>
        <v>7704</v>
      </c>
      <c r="D913" s="11" t="str">
        <f>"Операции «обратное РЕПО»"</f>
        <v>Операции «обратное РЕПО»</v>
      </c>
      <c r="E913" s="10" t="str">
        <f>""</f>
        <v/>
      </c>
      <c r="F913" s="10" t="str">
        <f>""</f>
        <v/>
      </c>
      <c r="G913" s="10" t="str">
        <f>""</f>
        <v/>
      </c>
      <c r="H913" s="9">
        <v>2262462081.3000002</v>
      </c>
    </row>
    <row r="914" spans="1:8" ht="30" x14ac:dyDescent="0.25">
      <c r="A914" s="7">
        <v>45107</v>
      </c>
      <c r="B914" s="10">
        <v>36</v>
      </c>
      <c r="C914" s="10" t="str">
        <f>"7708"</f>
        <v>7708</v>
      </c>
      <c r="D914" s="1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14" s="10" t="str">
        <f>""</f>
        <v/>
      </c>
      <c r="F914" s="10" t="str">
        <f>""</f>
        <v/>
      </c>
      <c r="G914" s="10" t="str">
        <f>""</f>
        <v/>
      </c>
      <c r="H914" s="9">
        <v>16457607236.190001</v>
      </c>
    </row>
    <row r="915" spans="1:8" x14ac:dyDescent="0.25">
      <c r="A915" s="7">
        <v>45107</v>
      </c>
      <c r="B915" s="10">
        <v>36</v>
      </c>
      <c r="C915" s="10" t="str">
        <f>"7709"</f>
        <v>7709</v>
      </c>
      <c r="D915" s="11" t="str">
        <f>"Прочие активы"</f>
        <v>Прочие активы</v>
      </c>
      <c r="E915" s="10" t="str">
        <f>""</f>
        <v/>
      </c>
      <c r="F915" s="10" t="str">
        <f>""</f>
        <v/>
      </c>
      <c r="G915" s="10" t="str">
        <f>""</f>
        <v/>
      </c>
      <c r="H915" s="9">
        <v>32712077417.740002</v>
      </c>
    </row>
    <row r="916" spans="1:8" x14ac:dyDescent="0.25">
      <c r="A916" s="7">
        <v>45107</v>
      </c>
      <c r="B916" s="10">
        <v>36</v>
      </c>
      <c r="C916" s="10" t="str">
        <f>"7711"</f>
        <v>7711</v>
      </c>
      <c r="D916" s="11" t="str">
        <f>"Вознаграждение"</f>
        <v>Вознаграждение</v>
      </c>
      <c r="E916" s="10" t="str">
        <f>""</f>
        <v/>
      </c>
      <c r="F916" s="10" t="str">
        <f>""</f>
        <v/>
      </c>
      <c r="G916" s="10" t="str">
        <f>""</f>
        <v/>
      </c>
      <c r="H916" s="9">
        <v>147289077.16</v>
      </c>
    </row>
    <row r="917" spans="1:8" ht="30" x14ac:dyDescent="0.25">
      <c r="A917" s="7">
        <v>45107</v>
      </c>
      <c r="B917" s="10">
        <v>36</v>
      </c>
      <c r="C917" s="10" t="str">
        <f>"7712"</f>
        <v>7712</v>
      </c>
      <c r="D917" s="11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17" s="10" t="str">
        <f>""</f>
        <v/>
      </c>
      <c r="F917" s="10" t="str">
        <f>""</f>
        <v/>
      </c>
      <c r="G917" s="10" t="str">
        <f>""</f>
        <v/>
      </c>
      <c r="H917" s="9">
        <v>38742160.979999997</v>
      </c>
    </row>
  </sheetData>
  <sortState ref="A2:I912">
    <sortCondition ref="C2:C912"/>
  </sortState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Разиева Гульзара Ахметовна</cp:lastModifiedBy>
  <dcterms:created xsi:type="dcterms:W3CDTF">2023-07-05T02:53:11Z</dcterms:created>
  <dcterms:modified xsi:type="dcterms:W3CDTF">2023-07-12T05:17:43Z</dcterms:modified>
</cp:coreProperties>
</file>