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e_li\Documents\Облигации ТЛ\KASE и ДФО мониторинг\"/>
    </mc:Choice>
  </mc:AlternateContent>
  <bookViews>
    <workbookView xWindow="0" yWindow="0" windowWidth="24000" windowHeight="9735"/>
  </bookViews>
  <sheets>
    <sheet name="Ф1" sheetId="2" r:id="rId1"/>
    <sheet name="Ф2" sheetId="1" r:id="rId2"/>
    <sheet name="Ф3" sheetId="4" r:id="rId3"/>
    <sheet name="Ф4" sheetId="5" r:id="rId4"/>
  </sheets>
  <externalReferences>
    <externalReference r:id="rId5"/>
  </externalReferences>
  <definedNames>
    <definedName name="_Hlk222891459" localSheetId="0">Ф1!$A$6</definedName>
    <definedName name="BalanceSheet" localSheetId="0">Ф1!$A$5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5" l="1"/>
  <c r="C13" i="5" l="1"/>
  <c r="D13" i="5" s="1"/>
  <c r="D7" i="5"/>
  <c r="D5" i="5"/>
  <c r="C7" i="5"/>
  <c r="C32" i="2" l="1"/>
  <c r="E39" i="4" l="1"/>
  <c r="F34" i="4" l="1"/>
  <c r="E34" i="4"/>
  <c r="F30" i="4"/>
  <c r="F39" i="4"/>
  <c r="D8" i="5" l="1"/>
  <c r="C14" i="5"/>
  <c r="D14" i="5" s="1"/>
  <c r="D15" i="5"/>
  <c r="C10" i="5"/>
  <c r="D10" i="5" s="1"/>
  <c r="D16" i="5" l="1"/>
  <c r="E10" i="5"/>
  <c r="E8" i="5"/>
  <c r="E13" i="5"/>
  <c r="E14" i="5"/>
  <c r="C16" i="5"/>
  <c r="C17" i="5" s="1"/>
  <c r="E16" i="5" l="1"/>
  <c r="C18" i="5"/>
  <c r="D18" i="5" l="1"/>
  <c r="E6" i="4" l="1"/>
  <c r="F45" i="4"/>
  <c r="F46" i="4" s="1"/>
  <c r="D45" i="4"/>
  <c r="C45" i="4"/>
  <c r="B45" i="4"/>
  <c r="B46" i="4" s="1"/>
  <c r="E45" i="4"/>
  <c r="D39" i="4"/>
  <c r="C39" i="4"/>
  <c r="B39" i="4"/>
  <c r="D30" i="4"/>
  <c r="D34" i="4" s="1"/>
  <c r="D47" i="4" s="1"/>
  <c r="D50" i="4" s="1"/>
  <c r="E25" i="4"/>
  <c r="E24" i="4"/>
  <c r="F15" i="4"/>
  <c r="D15" i="4"/>
  <c r="C15" i="4"/>
  <c r="C30" i="4" s="1"/>
  <c r="C34" i="4" s="1"/>
  <c r="C47" i="4" s="1"/>
  <c r="C50" i="4" s="1"/>
  <c r="E7" i="4"/>
  <c r="B6" i="4"/>
  <c r="F16" i="4" l="1"/>
  <c r="F31" i="4"/>
  <c r="E15" i="4"/>
  <c r="E30" i="4" s="1"/>
  <c r="E47" i="4" s="1"/>
  <c r="B15" i="4"/>
  <c r="B30" i="4" s="1"/>
  <c r="E50" i="4" l="1"/>
  <c r="E51" i="4" s="1"/>
  <c r="E35" i="4"/>
  <c r="B34" i="4"/>
  <c r="B31" i="4"/>
  <c r="F35" i="4"/>
  <c r="F47" i="4"/>
  <c r="F50" i="4" s="1"/>
  <c r="B35" i="4" l="1"/>
  <c r="B47" i="4"/>
  <c r="B51" i="4" l="1"/>
  <c r="B50" i="4"/>
  <c r="B52" i="4" s="1"/>
  <c r="C15" i="2" l="1"/>
  <c r="C25" i="2"/>
  <c r="C30" i="2"/>
  <c r="D17" i="5" s="1"/>
  <c r="D18" i="1"/>
  <c r="E18" i="1"/>
  <c r="D16" i="1"/>
  <c r="E16" i="1"/>
  <c r="D13" i="1"/>
  <c r="E13" i="1"/>
  <c r="D12" i="1"/>
  <c r="E12" i="1"/>
  <c r="D7" i="1"/>
  <c r="E7" i="1"/>
  <c r="F7" i="1"/>
  <c r="F8" i="1"/>
  <c r="F12" i="1" l="1"/>
  <c r="F13" i="1" s="1"/>
  <c r="F16" i="1" l="1"/>
  <c r="F18" i="1" s="1"/>
  <c r="F19" i="1" l="1"/>
  <c r="F29" i="2" l="1"/>
  <c r="F20" i="1" s="1"/>
  <c r="C33" i="2" l="1"/>
  <c r="C20" i="1"/>
  <c r="E15" i="2"/>
  <c r="D25" i="2" l="1"/>
  <c r="D15" i="2"/>
  <c r="D30" i="2"/>
  <c r="D31" i="2" l="1"/>
  <c r="C16" i="2"/>
  <c r="E30" i="2"/>
  <c r="E32" i="2" s="1"/>
  <c r="E25" i="2"/>
  <c r="E26" i="2" l="1"/>
  <c r="E31" i="2"/>
  <c r="C26" i="2"/>
  <c r="E16" i="2"/>
  <c r="E33" i="2"/>
  <c r="C31" i="2" l="1"/>
  <c r="C7" i="1" l="1"/>
  <c r="C8" i="1" l="1"/>
  <c r="C12" i="1" s="1"/>
  <c r="C13" i="1" l="1"/>
  <c r="C16" i="1" s="1"/>
  <c r="C18" i="1" l="1"/>
  <c r="C19" i="1"/>
  <c r="G7" i="1" l="1"/>
  <c r="G8" i="1" l="1"/>
  <c r="G12" i="1" l="1"/>
  <c r="G13" i="1" l="1"/>
  <c r="G16" i="1" s="1"/>
  <c r="G18" i="1" l="1"/>
  <c r="G19" i="1"/>
</calcChain>
</file>

<file path=xl/sharedStrings.xml><?xml version="1.0" encoding="utf-8"?>
<sst xmlns="http://schemas.openxmlformats.org/spreadsheetml/2006/main" count="172" uniqueCount="103">
  <si>
    <t>тыс. тенге</t>
  </si>
  <si>
    <t xml:space="preserve">Процентные доходы от дебиторской задолженности по финансовой аренде </t>
  </si>
  <si>
    <t>Чистый процентный доход</t>
  </si>
  <si>
    <t>Чистый убыток от операций с иностранной валютой</t>
  </si>
  <si>
    <t>Прочие доходы</t>
  </si>
  <si>
    <t xml:space="preserve">Операционный доход </t>
  </si>
  <si>
    <t>Восстановление/(убыток) от обесценения долговых финансовых активов</t>
  </si>
  <si>
    <t xml:space="preserve">Операционные и административные расходы </t>
  </si>
  <si>
    <t>Прибыль до налогообложения</t>
  </si>
  <si>
    <t>Экономия по подоходному налогу</t>
  </si>
  <si>
    <t xml:space="preserve">Прибыль и общий совокупный доход за год </t>
  </si>
  <si>
    <t>Процентные расходы по займам полученным от банков и кредитных компаний</t>
  </si>
  <si>
    <t>Чистая прибыль/(убыток) от операций с финансовыми инструментами оцениваемыми по справедливой стоимости изменения которой отражаются в составе прибыли или убытка за период</t>
  </si>
  <si>
    <t>2018 года</t>
  </si>
  <si>
    <t>АКТИВЫ</t>
  </si>
  <si>
    <t>Денежные средства и их эквиваленты</t>
  </si>
  <si>
    <t xml:space="preserve">Счета и депозиты в банках </t>
  </si>
  <si>
    <t>Дебиторская задолженность по финансовой аренде</t>
  </si>
  <si>
    <t>Активы для передачи по договорам финансовой аренды</t>
  </si>
  <si>
    <t>Основные средства и нематериальные активы</t>
  </si>
  <si>
    <t xml:space="preserve">Текущие налоговые активы </t>
  </si>
  <si>
    <t xml:space="preserve">Прочие активы </t>
  </si>
  <si>
    <t xml:space="preserve">Итого активов </t>
  </si>
  <si>
    <t>ОБЯЗАТЕЛЬСТВА</t>
  </si>
  <si>
    <t xml:space="preserve">Кредиторская и прочая задолженность </t>
  </si>
  <si>
    <t xml:space="preserve">Кредиторская задолженность по налогу на добавленную стоимость </t>
  </si>
  <si>
    <t xml:space="preserve">Прочие обязательства </t>
  </si>
  <si>
    <t>Отложенное налоговое обязательство</t>
  </si>
  <si>
    <t>Итого обязательств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</si>
  <si>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</si>
  <si>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</si>
  <si>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</si>
  <si>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</si>
  <si>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собственного капитала и обязательств</t>
  </si>
  <si>
    <t xml:space="preserve">30 июня </t>
  </si>
  <si>
    <t>2019 года</t>
  </si>
  <si>
    <t xml:space="preserve">Авансы уплаченные поставщикам оборудования по договорам финансовой аренды </t>
  </si>
  <si>
    <t>Займы полученные от банков и кредитных компаний</t>
  </si>
  <si>
    <t>Арендные платежи полученные авансом</t>
  </si>
  <si>
    <t>__________________________</t>
  </si>
  <si>
    <t>Г.Н. Каппасова</t>
  </si>
  <si>
    <t>Главный бухгалтер</t>
  </si>
  <si>
    <t>31 декабря</t>
  </si>
  <si>
    <t>Примечание</t>
  </si>
  <si>
    <t>Проверка</t>
  </si>
  <si>
    <t>Баланс</t>
  </si>
  <si>
    <t>30 сентября</t>
  </si>
  <si>
    <t>Отложенные налоговые активы</t>
  </si>
  <si>
    <t>21(б)</t>
  </si>
  <si>
    <t>Отчет о финансовом положении по состоянию на 31 декабря 2019 г. (неаудированная)</t>
  </si>
  <si>
    <t>Выпущенные долговые ценные бумаги</t>
  </si>
  <si>
    <t>И.о. директора</t>
  </si>
  <si>
    <t>С.К. Усенова</t>
  </si>
  <si>
    <t>Отчет о прибыли или убытке и прочем совокупном доходе по состоянию на 31 декабря 2019 года (неаудированная)</t>
  </si>
  <si>
    <t>30 июня 2019</t>
  </si>
  <si>
    <t>ДВИЖЕНИЕ ДЕНЕЖНЫХ СРЕДСТВ ОТ ОПЕРАЦИОННОЙ ДЕЯТЕЛЬНОСТИ</t>
  </si>
  <si>
    <t>Прибыль за год</t>
  </si>
  <si>
    <t>Корректировки:</t>
  </si>
  <si>
    <t xml:space="preserve">Процентные расходы по займам полученным от банков и кредитных компаний </t>
  </si>
  <si>
    <t>Чистая (прибыль)/убыток от операций с финансовыми инструментами оцениваемыми по справедливой стоимости изменения которой отражаются в составе прибыли или убытка за период</t>
  </si>
  <si>
    <t xml:space="preserve">(Восстановление)/убыток от обесценения долговых финансовых активов </t>
  </si>
  <si>
    <t xml:space="preserve">Расходы на износ и амортизацию </t>
  </si>
  <si>
    <t>Нереализованный расход от операций с иностранной валютой</t>
  </si>
  <si>
    <t>Использование денежных средств в операционной деятельности до изменения операционных активов и обязательств</t>
  </si>
  <si>
    <t>(Увеличение)/уменьшение операционных активов</t>
  </si>
  <si>
    <t>Счета и депозиты в банках</t>
  </si>
  <si>
    <t>Авансы уплаченные поставщикам оборудования по договорам финансовой аренды</t>
  </si>
  <si>
    <t>Прочие активы</t>
  </si>
  <si>
    <t>Увеличение/(уменьшение) операционных обязательств</t>
  </si>
  <si>
    <t xml:space="preserve">Использование денежных средств в операционной деятельности до налогообложения </t>
  </si>
  <si>
    <t>Вознаграждение полученное</t>
  </si>
  <si>
    <t>Вознаграждение уплаченное</t>
  </si>
  <si>
    <t xml:space="preserve">Использование денежных средств в операционной деятельности </t>
  </si>
  <si>
    <t>ДВИЖЕНИЕ ДЕНЕЖНЫХ СРЕДСТВ ОТ ИНВЕСТИЦИОННОЙ ДЕЯТЕЛЬНОСТИ</t>
  </si>
  <si>
    <t>Выбытие основных средств и нематериальных активов</t>
  </si>
  <si>
    <t>Приобретение основных средств и нематериальных активов</t>
  </si>
  <si>
    <t>Использование денежных средств в инвестиционной деятельности</t>
  </si>
  <si>
    <t>ДВИЖЕНИЕ ДЕНЕЖНЫХ СРЕДСТВ ОТ ФИНАНСОВОЙ ДЕЯТЕЛЬНОСТИ</t>
  </si>
  <si>
    <t>Погашение займов полученных от банков и кредитных компаний</t>
  </si>
  <si>
    <t>Поступление займов от банков и кредитных компаний</t>
  </si>
  <si>
    <t>Выплата дивидендов</t>
  </si>
  <si>
    <t>Поступление/(использование) денежных средств от/(в) финансовой деятельности</t>
  </si>
  <si>
    <t>Нетто увеличение/(уменьшение) денежных средств и их эквивалентов</t>
  </si>
  <si>
    <t>Денежные средства и эквиваленты денежных средств на начало года</t>
  </si>
  <si>
    <t>Влияние изменений валютных курсов на величину денежных средств и их эквивалентов</t>
  </si>
  <si>
    <t xml:space="preserve">Денежные средства и их эквиваленты на конец года </t>
  </si>
  <si>
    <t>Отчет о движении денежных средств по состоянию на 31 декабря 2019 года (неаудированная)</t>
  </si>
  <si>
    <t>Нераспреде-ленная</t>
  </si>
  <si>
    <t>Итого</t>
  </si>
  <si>
    <t>прибыль</t>
  </si>
  <si>
    <t>собственного капитала</t>
  </si>
  <si>
    <t>ПРОВЕРКА</t>
  </si>
  <si>
    <t>-</t>
  </si>
  <si>
    <t>Прибыль и общий совокупный доход за период</t>
  </si>
  <si>
    <r>
      <rPr>
        <sz val="11"/>
        <color rgb="FFFF0000"/>
        <rFont val="Calibri"/>
        <family val="2"/>
        <charset val="204"/>
        <scheme val="minor"/>
      </rPr>
      <t>Катя должна спросит</t>
    </r>
    <r>
      <rPr>
        <sz val="11"/>
        <color theme="1"/>
        <rFont val="Calibri"/>
        <family val="2"/>
        <charset val="204"/>
        <scheme val="minor"/>
      </rPr>
      <t>ь</t>
    </r>
  </si>
  <si>
    <t>Операции с собственниками, отраженные непосредственно в составе собственного капитала</t>
  </si>
  <si>
    <t>Дивиденды собственникам</t>
  </si>
  <si>
    <t>Остаток на 31 декабря 2018 года</t>
  </si>
  <si>
    <t>Отчет об изменении в собственном капитале по состоянию на 31 декабря 2019 года (неаудированная)</t>
  </si>
  <si>
    <t>Остаток на 31 декабря 2019 года</t>
  </si>
  <si>
    <t>Остаток на 31 декабря 2017 года</t>
  </si>
  <si>
    <t>Влияние применения МСФО (IFRS) 9 на дату первоначального применения стандарта</t>
  </si>
  <si>
    <t>Пересчитанный остаток по состоянию на 01 января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</si>
</sst>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#,##0.000000"/>
    <numFmt numFmtId="167" formatCode="_(* #,##0_);_(* \(#,##0\);_(* &quot;-&quot;??_);_(@_)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i/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4" fillId="0" borderId="0" xfId="0" applyFont="1"/>
    <xf numFmtId="164" fontId="6" fillId="0" borderId="0" xfId="0" applyNumberFormat="1" applyFont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3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0" fontId="7" fillId="0" borderId="0" xfId="0" applyFont="1"/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vertical="center" wrapText="1"/>
    </xf>
    <xf numFmtId="0" fontId="0" fillId="3" borderId="0" xfId="0" applyFill="1"/>
    <xf numFmtId="3" fontId="2" fillId="3" borderId="1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3" fontId="1" fillId="3" borderId="0" xfId="0" applyNumberFormat="1" applyFont="1" applyFill="1" applyAlignment="1">
      <alignment vertical="center" wrapText="1"/>
    </xf>
    <xf numFmtId="3" fontId="1" fillId="3" borderId="2" xfId="0" applyNumberFormat="1" applyFont="1" applyFill="1" applyBorder="1" applyAlignment="1">
      <alignment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3" fontId="8" fillId="3" borderId="0" xfId="0" applyNumberFormat="1" applyFont="1" applyFill="1" applyAlignment="1">
      <alignment vertical="center" wrapText="1"/>
    </xf>
    <xf numFmtId="0" fontId="4" fillId="3" borderId="0" xfId="0" applyFont="1" applyFill="1"/>
    <xf numFmtId="166" fontId="6" fillId="3" borderId="0" xfId="0" applyNumberFormat="1" applyFont="1" applyFill="1" applyAlignment="1">
      <alignment vertical="center" wrapText="1"/>
    </xf>
    <xf numFmtId="0" fontId="9" fillId="3" borderId="0" xfId="0" applyFont="1" applyFill="1"/>
    <xf numFmtId="164" fontId="4" fillId="3" borderId="0" xfId="0" applyNumberFormat="1" applyFont="1" applyFill="1"/>
    <xf numFmtId="3" fontId="4" fillId="3" borderId="0" xfId="0" applyNumberFormat="1" applyFont="1" applyFill="1"/>
    <xf numFmtId="0" fontId="2" fillId="3" borderId="0" xfId="0" applyFont="1" applyFill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0" fillId="0" borderId="0" xfId="0" applyNumberFormat="1"/>
    <xf numFmtId="167" fontId="12" fillId="0" borderId="0" xfId="0" applyNumberFormat="1" applyFont="1" applyFill="1" applyAlignment="1"/>
    <xf numFmtId="0" fontId="7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0" fontId="14" fillId="3" borderId="0" xfId="0" applyFont="1" applyFill="1" applyAlignment="1">
      <alignment horizontal="right"/>
    </xf>
    <xf numFmtId="3" fontId="2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_kappasova\Desktop\Documents\&#1060;&#1080;&#1085;&#1072;&#1085;&#1089;&#1086;&#1074;&#1072;&#1103;%20&#1086;&#1090;&#1095;&#1077;&#1090;&#1085;&#1086;&#1089;&#1090;&#1100;\2019\3%20&#1082;&#1074;&#1072;&#1088;&#1090;&#1072;&#1083;\&#1060;1,%20&#1060;2,%20&#1060;3,%20&#1060;4%20&#1052;&#1057;&#1060;&#1054;%20v3%20&#1089;&#1074;&#1077;&#1088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 "/>
    </sheetNames>
    <sheetDataSet>
      <sheetData sheetId="0">
        <row r="6">
          <cell r="C6">
            <v>723563</v>
          </cell>
          <cell r="E6">
            <v>1169496</v>
          </cell>
        </row>
        <row r="28">
          <cell r="C28">
            <v>3391514</v>
          </cell>
          <cell r="E28">
            <v>3015554</v>
          </cell>
        </row>
        <row r="29">
          <cell r="C29">
            <v>3391664</v>
          </cell>
        </row>
      </sheetData>
      <sheetData sheetId="1">
        <row r="18">
          <cell r="F18">
            <v>423100</v>
          </cell>
        </row>
      </sheetData>
      <sheetData sheetId="2">
        <row r="6">
          <cell r="F6">
            <v>540692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H13" sqref="H13"/>
    </sheetView>
  </sheetViews>
  <sheetFormatPr defaultRowHeight="15" x14ac:dyDescent="0.25"/>
  <cols>
    <col min="1" max="1" width="48.42578125" customWidth="1"/>
    <col min="2" max="2" width="12.7109375" hidden="1" customWidth="1"/>
    <col min="3" max="3" width="15.85546875" customWidth="1"/>
    <col min="4" max="4" width="15.85546875" hidden="1" customWidth="1"/>
    <col min="5" max="5" width="17.5703125" customWidth="1"/>
    <col min="6" max="6" width="9.140625" style="30"/>
  </cols>
  <sheetData>
    <row r="1" spans="1:6" s="9" customFormat="1" ht="15.75" x14ac:dyDescent="0.25">
      <c r="A1" s="9" t="s">
        <v>49</v>
      </c>
      <c r="F1" s="36"/>
    </row>
    <row r="2" spans="1:6" s="9" customFormat="1" ht="15.75" x14ac:dyDescent="0.25">
      <c r="F2" s="36"/>
    </row>
    <row r="3" spans="1:6" x14ac:dyDescent="0.25">
      <c r="A3" s="77" t="s">
        <v>0</v>
      </c>
      <c r="B3" s="13" t="s">
        <v>43</v>
      </c>
      <c r="C3" s="11" t="s">
        <v>42</v>
      </c>
      <c r="D3" s="17" t="s">
        <v>34</v>
      </c>
      <c r="E3" s="11" t="s">
        <v>42</v>
      </c>
    </row>
    <row r="4" spans="1:6" ht="15.75" thickBot="1" x14ac:dyDescent="0.3">
      <c r="A4" s="77"/>
      <c r="B4" s="13"/>
      <c r="C4" s="12" t="s">
        <v>35</v>
      </c>
      <c r="D4" s="18" t="s">
        <v>35</v>
      </c>
      <c r="E4" s="12" t="s">
        <v>13</v>
      </c>
    </row>
    <row r="5" spans="1:6" x14ac:dyDescent="0.25">
      <c r="A5" s="10" t="s">
        <v>14</v>
      </c>
      <c r="B5" s="13"/>
      <c r="C5" s="10"/>
      <c r="D5" s="15"/>
      <c r="E5" s="10"/>
    </row>
    <row r="6" spans="1:6" x14ac:dyDescent="0.25">
      <c r="A6" s="2" t="s">
        <v>15</v>
      </c>
      <c r="B6" s="2">
        <v>7</v>
      </c>
      <c r="C6" s="3">
        <v>244135</v>
      </c>
      <c r="D6" s="14">
        <v>1003340</v>
      </c>
      <c r="E6" s="3">
        <v>1169496</v>
      </c>
    </row>
    <row r="7" spans="1:6" x14ac:dyDescent="0.25">
      <c r="A7" s="2" t="s">
        <v>16</v>
      </c>
      <c r="B7" s="2">
        <v>8</v>
      </c>
      <c r="C7" s="3">
        <v>2982503</v>
      </c>
      <c r="D7" s="14">
        <v>740330</v>
      </c>
      <c r="E7" s="3">
        <v>989659</v>
      </c>
    </row>
    <row r="8" spans="1:6" x14ac:dyDescent="0.25">
      <c r="A8" s="2" t="s">
        <v>17</v>
      </c>
      <c r="B8" s="2">
        <v>9</v>
      </c>
      <c r="C8" s="3">
        <v>11740756</v>
      </c>
      <c r="D8" s="14">
        <v>14785486</v>
      </c>
      <c r="E8" s="3">
        <v>14071900</v>
      </c>
    </row>
    <row r="9" spans="1:6" ht="25.5" x14ac:dyDescent="0.25">
      <c r="A9" s="2" t="s">
        <v>36</v>
      </c>
      <c r="B9" s="2">
        <v>10</v>
      </c>
      <c r="C9" s="3">
        <v>83944</v>
      </c>
      <c r="D9" s="14">
        <v>73444</v>
      </c>
      <c r="E9" s="3">
        <v>240629</v>
      </c>
    </row>
    <row r="10" spans="1:6" x14ac:dyDescent="0.25">
      <c r="A10" s="2" t="s">
        <v>18</v>
      </c>
      <c r="B10" s="2"/>
      <c r="C10" s="3"/>
      <c r="D10" s="14">
        <v>174816</v>
      </c>
      <c r="E10" s="3"/>
    </row>
    <row r="11" spans="1:6" x14ac:dyDescent="0.25">
      <c r="A11" s="2" t="s">
        <v>19</v>
      </c>
      <c r="B11" s="2"/>
      <c r="C11" s="3">
        <v>31624</v>
      </c>
      <c r="D11" s="14">
        <v>21117</v>
      </c>
      <c r="E11" s="3">
        <v>23980</v>
      </c>
    </row>
    <row r="12" spans="1:6" x14ac:dyDescent="0.25">
      <c r="A12" s="2" t="s">
        <v>20</v>
      </c>
      <c r="B12" s="2"/>
      <c r="C12" s="3">
        <v>11485</v>
      </c>
      <c r="D12" s="14">
        <v>7649</v>
      </c>
      <c r="E12" s="3">
        <v>6195</v>
      </c>
    </row>
    <row r="13" spans="1:6" x14ac:dyDescent="0.25">
      <c r="A13" s="2" t="s">
        <v>47</v>
      </c>
      <c r="B13" s="2">
        <v>6</v>
      </c>
      <c r="C13" s="3">
        <v>32792</v>
      </c>
      <c r="D13" s="14"/>
      <c r="E13" s="3"/>
    </row>
    <row r="14" spans="1:6" ht="15.75" thickBot="1" x14ac:dyDescent="0.3">
      <c r="A14" s="2" t="s">
        <v>21</v>
      </c>
      <c r="B14" s="2"/>
      <c r="C14" s="3">
        <v>153968</v>
      </c>
      <c r="D14" s="14">
        <v>26731</v>
      </c>
      <c r="E14" s="3">
        <v>343398</v>
      </c>
    </row>
    <row r="15" spans="1:6" ht="15.75" thickBot="1" x14ac:dyDescent="0.3">
      <c r="A15" s="10" t="s">
        <v>22</v>
      </c>
      <c r="B15" s="13"/>
      <c r="C15" s="7">
        <f>SUM(C6:C14)</f>
        <v>15281207</v>
      </c>
      <c r="D15" s="19">
        <f>SUM(D6:D14)</f>
        <v>16832913</v>
      </c>
      <c r="E15" s="7">
        <f>SUM(E6:E14)</f>
        <v>16845257</v>
      </c>
    </row>
    <row r="16" spans="1:6" s="30" customFormat="1" ht="15.75" thickTop="1" x14ac:dyDescent="0.25">
      <c r="A16" s="26" t="s">
        <v>44</v>
      </c>
      <c r="B16" s="27"/>
      <c r="C16" s="28">
        <f>SUM(C6:C14)-C15</f>
        <v>0</v>
      </c>
      <c r="D16" s="29"/>
      <c r="E16" s="28">
        <f>SUM(E6:E14)-E15</f>
        <v>0</v>
      </c>
    </row>
    <row r="17" spans="1:6" x14ac:dyDescent="0.25">
      <c r="A17" s="10" t="s">
        <v>23</v>
      </c>
      <c r="B17" s="13"/>
      <c r="C17" s="3"/>
      <c r="D17" s="14"/>
      <c r="E17" s="3"/>
    </row>
    <row r="18" spans="1:6" x14ac:dyDescent="0.25">
      <c r="A18" s="2" t="s">
        <v>37</v>
      </c>
      <c r="B18" s="2">
        <v>12</v>
      </c>
      <c r="C18" s="74">
        <v>9320495</v>
      </c>
      <c r="D18" s="14">
        <v>12010133</v>
      </c>
      <c r="E18" s="3">
        <v>11677975</v>
      </c>
    </row>
    <row r="19" spans="1:6" x14ac:dyDescent="0.25">
      <c r="A19" s="2" t="s">
        <v>50</v>
      </c>
      <c r="B19" s="2"/>
      <c r="C19" s="74">
        <v>629026</v>
      </c>
      <c r="D19" s="14"/>
      <c r="E19" s="3"/>
    </row>
    <row r="20" spans="1:6" x14ac:dyDescent="0.25">
      <c r="A20" s="2" t="s">
        <v>38</v>
      </c>
      <c r="B20" s="2">
        <v>13</v>
      </c>
      <c r="C20" s="74">
        <v>860326</v>
      </c>
      <c r="D20" s="14">
        <v>1030483</v>
      </c>
      <c r="E20" s="3">
        <v>987734</v>
      </c>
    </row>
    <row r="21" spans="1:6" x14ac:dyDescent="0.25">
      <c r="A21" s="2" t="s">
        <v>24</v>
      </c>
      <c r="B21" s="2">
        <v>14</v>
      </c>
      <c r="C21" s="74">
        <v>660191</v>
      </c>
      <c r="D21" s="14">
        <v>326375</v>
      </c>
      <c r="E21" s="3">
        <v>919303</v>
      </c>
    </row>
    <row r="22" spans="1:6" ht="25.5" x14ac:dyDescent="0.25">
      <c r="A22" s="2" t="s">
        <v>25</v>
      </c>
      <c r="B22" s="2">
        <v>15</v>
      </c>
      <c r="C22" s="74">
        <v>255530</v>
      </c>
      <c r="D22" s="14">
        <v>245027</v>
      </c>
      <c r="E22" s="3">
        <v>224770</v>
      </c>
    </row>
    <row r="23" spans="1:6" x14ac:dyDescent="0.25">
      <c r="A23" s="2" t="s">
        <v>26</v>
      </c>
      <c r="B23" s="2"/>
      <c r="C23" s="3">
        <v>61224</v>
      </c>
      <c r="D23" s="14">
        <v>8362</v>
      </c>
      <c r="E23" s="3">
        <v>4492</v>
      </c>
    </row>
    <row r="24" spans="1:6" ht="15.75" thickBot="1" x14ac:dyDescent="0.3">
      <c r="A24" s="2" t="s">
        <v>27</v>
      </c>
      <c r="B24" s="2"/>
      <c r="C24" s="4"/>
      <c r="D24" s="16">
        <v>12185</v>
      </c>
      <c r="E24" s="4">
        <v>15279</v>
      </c>
    </row>
    <row r="25" spans="1:6" ht="15.75" thickBot="1" x14ac:dyDescent="0.3">
      <c r="A25" s="10" t="s">
        <v>28</v>
      </c>
      <c r="B25" s="13"/>
      <c r="C25" s="8">
        <f>SUM(C18:C24)</f>
        <v>11786792</v>
      </c>
      <c r="D25" s="20">
        <f>SUM(D18:D24)</f>
        <v>13632565</v>
      </c>
      <c r="E25" s="8">
        <f>SUM(E18:E24)</f>
        <v>13829553</v>
      </c>
    </row>
    <row r="26" spans="1:6" s="30" customFormat="1" x14ac:dyDescent="0.25">
      <c r="A26" s="26" t="s">
        <v>44</v>
      </c>
      <c r="B26" s="27"/>
      <c r="C26" s="31">
        <f>SUM(C18:C24)-C25</f>
        <v>0</v>
      </c>
      <c r="D26" s="32"/>
      <c r="E26" s="31">
        <f>SUM(E18:E24)-E25</f>
        <v>0</v>
      </c>
    </row>
    <row r="27" spans="1:6" x14ac:dyDescent="0.25">
      <c r="A27" s="10" t="s">
        <v>29</v>
      </c>
      <c r="B27" s="13"/>
      <c r="C27" s="3"/>
      <c r="D27" s="14"/>
      <c r="E27" s="3"/>
    </row>
    <row r="28" spans="1:6" x14ac:dyDescent="0.25">
      <c r="A28" s="2" t="s">
        <v>30</v>
      </c>
      <c r="B28" s="2">
        <v>16</v>
      </c>
      <c r="C28" s="3">
        <v>150</v>
      </c>
      <c r="D28" s="14">
        <v>150</v>
      </c>
      <c r="E28" s="3">
        <v>150</v>
      </c>
    </row>
    <row r="29" spans="1:6" ht="15.75" thickBot="1" x14ac:dyDescent="0.3">
      <c r="A29" s="2" t="s">
        <v>31</v>
      </c>
      <c r="B29" s="2"/>
      <c r="C29" s="4">
        <v>3494265</v>
      </c>
      <c r="D29" s="16">
        <v>3200198</v>
      </c>
      <c r="E29" s="4">
        <v>3015554</v>
      </c>
      <c r="F29" s="33">
        <f>C29-E29</f>
        <v>478711</v>
      </c>
    </row>
    <row r="30" spans="1:6" ht="15.75" thickBot="1" x14ac:dyDescent="0.3">
      <c r="A30" s="10" t="s">
        <v>32</v>
      </c>
      <c r="B30" s="13"/>
      <c r="C30" s="8">
        <f>SUM(C28:C29)</f>
        <v>3494415</v>
      </c>
      <c r="D30" s="20">
        <f>SUM(D28:D29)</f>
        <v>3200348</v>
      </c>
      <c r="E30" s="8">
        <f>SUM(E28:E29)</f>
        <v>3015704</v>
      </c>
      <c r="F30" s="33"/>
    </row>
    <row r="31" spans="1:6" ht="15.75" thickBot="1" x14ac:dyDescent="0.3">
      <c r="A31" s="10" t="s">
        <v>33</v>
      </c>
      <c r="B31" s="13"/>
      <c r="C31" s="5">
        <f>C25+C30</f>
        <v>15281207</v>
      </c>
      <c r="D31" s="21">
        <f>D25+D30</f>
        <v>16832913</v>
      </c>
      <c r="E31" s="5">
        <f>E25+E30</f>
        <v>16845257</v>
      </c>
    </row>
    <row r="32" spans="1:6" s="30" customFormat="1" ht="15.75" thickTop="1" x14ac:dyDescent="0.25">
      <c r="A32" s="26" t="s">
        <v>44</v>
      </c>
      <c r="C32" s="33" t="b">
        <f>C15=C31</f>
        <v>1</v>
      </c>
      <c r="E32" s="33">
        <f>SUM(E28:E29)-E30</f>
        <v>0</v>
      </c>
    </row>
    <row r="33" spans="1:6" s="30" customFormat="1" x14ac:dyDescent="0.25">
      <c r="A33" s="26" t="s">
        <v>45</v>
      </c>
      <c r="C33" s="34">
        <f>C15-SUM(C30,C25)</f>
        <v>0</v>
      </c>
      <c r="E33" s="35">
        <f>E15-SUM(E30,E25)</f>
        <v>0</v>
      </c>
    </row>
    <row r="34" spans="1:6" s="9" customFormat="1" ht="15.75" x14ac:dyDescent="0.25">
      <c r="A34" s="9" t="s">
        <v>39</v>
      </c>
      <c r="C34" s="9" t="s">
        <v>39</v>
      </c>
      <c r="F34" s="36"/>
    </row>
    <row r="35" spans="1:6" s="9" customFormat="1" ht="15.75" x14ac:dyDescent="0.25">
      <c r="A35" s="9" t="s">
        <v>51</v>
      </c>
      <c r="C35" s="9" t="s">
        <v>41</v>
      </c>
      <c r="F35" s="36"/>
    </row>
    <row r="36" spans="1:6" s="9" customFormat="1" ht="15.75" x14ac:dyDescent="0.25">
      <c r="A36" s="9" t="s">
        <v>52</v>
      </c>
      <c r="C36" s="9" t="s">
        <v>40</v>
      </c>
      <c r="F36" s="36"/>
    </row>
  </sheetData>
  <mergeCells count="1">
    <mergeCell ref="A3:A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="82" zoomScaleNormal="82" workbookViewId="0">
      <selection activeCell="A5" sqref="A5"/>
    </sheetView>
  </sheetViews>
  <sheetFormatPr defaultRowHeight="15" x14ac:dyDescent="0.25"/>
  <cols>
    <col min="1" max="1" width="60.85546875" customWidth="1"/>
    <col min="2" max="2" width="12.85546875" hidden="1" customWidth="1"/>
    <col min="3" max="5" width="12.5703125" hidden="1" customWidth="1"/>
    <col min="6" max="6" width="12.5703125" customWidth="1"/>
    <col min="7" max="7" width="11.85546875" customWidth="1"/>
  </cols>
  <sheetData>
    <row r="1" spans="1:7" s="9" customFormat="1" ht="15.75" x14ac:dyDescent="0.25">
      <c r="A1" s="9" t="s">
        <v>53</v>
      </c>
    </row>
    <row r="2" spans="1:7" s="9" customFormat="1" ht="15.75" x14ac:dyDescent="0.25"/>
    <row r="3" spans="1:7" x14ac:dyDescent="0.25">
      <c r="C3" s="24" t="s">
        <v>46</v>
      </c>
      <c r="F3" s="55" t="s">
        <v>42</v>
      </c>
      <c r="G3" s="55" t="s">
        <v>42</v>
      </c>
    </row>
    <row r="4" spans="1:7" ht="15.75" thickBot="1" x14ac:dyDescent="0.3">
      <c r="A4" s="1" t="s">
        <v>0</v>
      </c>
      <c r="B4" s="23" t="s">
        <v>43</v>
      </c>
      <c r="C4" s="25" t="s">
        <v>35</v>
      </c>
      <c r="D4" s="22">
        <v>43646</v>
      </c>
      <c r="E4" s="22"/>
      <c r="F4" s="25" t="s">
        <v>35</v>
      </c>
      <c r="G4" s="6" t="s">
        <v>13</v>
      </c>
    </row>
    <row r="5" spans="1:7" s="39" customFormat="1" ht="25.5" x14ac:dyDescent="0.25">
      <c r="A5" s="37" t="s">
        <v>1</v>
      </c>
      <c r="B5" s="37"/>
      <c r="C5" s="38">
        <v>1804651</v>
      </c>
      <c r="D5" s="38">
        <v>1149453</v>
      </c>
      <c r="E5" s="38"/>
      <c r="F5" s="38">
        <v>2407746</v>
      </c>
      <c r="G5" s="38">
        <v>2611830</v>
      </c>
    </row>
    <row r="6" spans="1:7" s="39" customFormat="1" ht="26.25" thickBot="1" x14ac:dyDescent="0.3">
      <c r="A6" s="37" t="s">
        <v>11</v>
      </c>
      <c r="B6" s="37"/>
      <c r="C6" s="40">
        <v>-1190935</v>
      </c>
      <c r="D6" s="40">
        <v>-802713</v>
      </c>
      <c r="E6" s="40"/>
      <c r="F6" s="40">
        <v>-1538629</v>
      </c>
      <c r="G6" s="40">
        <v>-1442562</v>
      </c>
    </row>
    <row r="7" spans="1:7" s="39" customFormat="1" x14ac:dyDescent="0.25">
      <c r="A7" s="41" t="s">
        <v>2</v>
      </c>
      <c r="B7" s="41"/>
      <c r="C7" s="42">
        <f>C5+C6</f>
        <v>613716</v>
      </c>
      <c r="D7" s="42">
        <f t="shared" ref="D7:F7" si="0">D5+D6</f>
        <v>346740</v>
      </c>
      <c r="E7" s="42">
        <f t="shared" si="0"/>
        <v>0</v>
      </c>
      <c r="F7" s="42">
        <f t="shared" si="0"/>
        <v>869117</v>
      </c>
      <c r="G7" s="42">
        <f>G5+G6</f>
        <v>1169268</v>
      </c>
    </row>
    <row r="8" spans="1:7" s="49" customFormat="1" x14ac:dyDescent="0.25">
      <c r="A8" s="45" t="s">
        <v>44</v>
      </c>
      <c r="B8" s="46"/>
      <c r="C8" s="47">
        <f>SUM(C5:C6)-C7</f>
        <v>0</v>
      </c>
      <c r="D8" s="47"/>
      <c r="E8" s="47"/>
      <c r="F8" s="48">
        <f t="shared" ref="F8" si="1">C8+E8</f>
        <v>0</v>
      </c>
      <c r="G8" s="47">
        <f>SUM(G5:G6)-G7</f>
        <v>0</v>
      </c>
    </row>
    <row r="9" spans="1:7" s="39" customFormat="1" ht="38.25" x14ac:dyDescent="0.25">
      <c r="A9" s="37" t="s">
        <v>12</v>
      </c>
      <c r="B9" s="54" t="s">
        <v>48</v>
      </c>
      <c r="C9" s="38">
        <v>5810</v>
      </c>
      <c r="D9" s="38">
        <v>-7127</v>
      </c>
      <c r="E9" s="38"/>
      <c r="F9" s="38">
        <v>-25603</v>
      </c>
      <c r="G9" s="38">
        <v>234263</v>
      </c>
    </row>
    <row r="10" spans="1:7" s="39" customFormat="1" x14ac:dyDescent="0.25">
      <c r="A10" s="37" t="s">
        <v>3</v>
      </c>
      <c r="B10" s="37"/>
      <c r="C10" s="38">
        <v>2467</v>
      </c>
      <c r="D10" s="38">
        <v>5911</v>
      </c>
      <c r="E10" s="38"/>
      <c r="F10" s="38">
        <v>-2877</v>
      </c>
      <c r="G10" s="38">
        <v>-165219</v>
      </c>
    </row>
    <row r="11" spans="1:7" s="39" customFormat="1" ht="15.75" thickBot="1" x14ac:dyDescent="0.3">
      <c r="A11" s="37" t="s">
        <v>4</v>
      </c>
      <c r="B11" s="37">
        <v>4</v>
      </c>
      <c r="C11" s="40">
        <v>238074</v>
      </c>
      <c r="D11" s="40">
        <v>163108</v>
      </c>
      <c r="E11" s="40">
        <v>-3</v>
      </c>
      <c r="F11" s="40">
        <v>303993</v>
      </c>
      <c r="G11" s="40">
        <v>309594</v>
      </c>
    </row>
    <row r="12" spans="1:7" s="39" customFormat="1" x14ac:dyDescent="0.25">
      <c r="A12" s="41" t="s">
        <v>5</v>
      </c>
      <c r="B12" s="41"/>
      <c r="C12" s="42">
        <f>SUM(C7:C11)</f>
        <v>860067</v>
      </c>
      <c r="D12" s="42">
        <f t="shared" ref="D12:F12" si="2">SUM(D7:D11)</f>
        <v>508632</v>
      </c>
      <c r="E12" s="42">
        <f t="shared" si="2"/>
        <v>-3</v>
      </c>
      <c r="F12" s="42">
        <f t="shared" si="2"/>
        <v>1144630</v>
      </c>
      <c r="G12" s="42">
        <f>SUM(G7:G11)</f>
        <v>1547906</v>
      </c>
    </row>
    <row r="13" spans="1:7" s="49" customFormat="1" x14ac:dyDescent="0.25">
      <c r="A13" s="45" t="s">
        <v>44</v>
      </c>
      <c r="B13" s="46"/>
      <c r="C13" s="50">
        <f>SUM(C7:C11)-C12</f>
        <v>0</v>
      </c>
      <c r="D13" s="50">
        <f t="shared" ref="D13:F13" si="3">SUM(D7:D11)-D12</f>
        <v>0</v>
      </c>
      <c r="E13" s="50">
        <f t="shared" si="3"/>
        <v>0</v>
      </c>
      <c r="F13" s="50">
        <f t="shared" si="3"/>
        <v>0</v>
      </c>
      <c r="G13" s="50">
        <f>SUM(G7:G11)-G12</f>
        <v>0</v>
      </c>
    </row>
    <row r="14" spans="1:7" s="39" customFormat="1" ht="42.75" customHeight="1" x14ac:dyDescent="0.25">
      <c r="A14" s="37" t="s">
        <v>6</v>
      </c>
      <c r="B14" s="37">
        <v>9</v>
      </c>
      <c r="C14" s="38">
        <v>17717</v>
      </c>
      <c r="D14" s="38">
        <v>9585</v>
      </c>
      <c r="E14" s="38"/>
      <c r="F14" s="38">
        <v>41939</v>
      </c>
      <c r="G14" s="38">
        <v>64001</v>
      </c>
    </row>
    <row r="15" spans="1:7" s="39" customFormat="1" ht="15.75" thickBot="1" x14ac:dyDescent="0.3">
      <c r="A15" s="37" t="s">
        <v>7</v>
      </c>
      <c r="B15" s="37">
        <v>5</v>
      </c>
      <c r="C15" s="40">
        <v>-507937</v>
      </c>
      <c r="D15" s="40">
        <v>-336667</v>
      </c>
      <c r="E15" s="40"/>
      <c r="F15" s="40">
        <v>-708789</v>
      </c>
      <c r="G15" s="40">
        <v>-762846</v>
      </c>
    </row>
    <row r="16" spans="1:7" s="39" customFormat="1" x14ac:dyDescent="0.25">
      <c r="A16" s="41" t="s">
        <v>8</v>
      </c>
      <c r="B16" s="41"/>
      <c r="C16" s="42">
        <f>SUM(C12:C15)</f>
        <v>369847</v>
      </c>
      <c r="D16" s="42">
        <f t="shared" ref="D16:F16" si="4">SUM(D12:D15)</f>
        <v>181550</v>
      </c>
      <c r="E16" s="42">
        <f t="shared" si="4"/>
        <v>-3</v>
      </c>
      <c r="F16" s="42">
        <f t="shared" si="4"/>
        <v>477780</v>
      </c>
      <c r="G16" s="42">
        <f>SUM(G12:G15)</f>
        <v>849061</v>
      </c>
    </row>
    <row r="17" spans="1:7" s="39" customFormat="1" ht="15.75" thickBot="1" x14ac:dyDescent="0.3">
      <c r="A17" s="37" t="s">
        <v>9</v>
      </c>
      <c r="B17" s="37">
        <v>6</v>
      </c>
      <c r="C17" s="40">
        <v>53256</v>
      </c>
      <c r="D17" s="40">
        <v>3094</v>
      </c>
      <c r="E17" s="40"/>
      <c r="F17" s="40">
        <v>48071</v>
      </c>
      <c r="G17" s="40">
        <v>51806</v>
      </c>
    </row>
    <row r="18" spans="1:7" s="39" customFormat="1" ht="15.75" thickBot="1" x14ac:dyDescent="0.3">
      <c r="A18" s="41" t="s">
        <v>10</v>
      </c>
      <c r="B18" s="41"/>
      <c r="C18" s="43">
        <f>SUM(C16:C17)</f>
        <v>423103</v>
      </c>
      <c r="D18" s="43">
        <f t="shared" ref="D18:F18" si="5">SUM(D16:D17)</f>
        <v>184644</v>
      </c>
      <c r="E18" s="43">
        <f t="shared" si="5"/>
        <v>-3</v>
      </c>
      <c r="F18" s="43">
        <f t="shared" si="5"/>
        <v>525851</v>
      </c>
      <c r="G18" s="43">
        <f>SUM(G16:G17)</f>
        <v>900867</v>
      </c>
    </row>
    <row r="19" spans="1:7" s="49" customFormat="1" ht="15.75" thickTop="1" x14ac:dyDescent="0.25">
      <c r="A19" s="45" t="s">
        <v>44</v>
      </c>
      <c r="B19" s="51"/>
      <c r="C19" s="52">
        <f>SUM(C12:C15)-C16</f>
        <v>0</v>
      </c>
      <c r="D19" s="52"/>
      <c r="E19" s="52"/>
      <c r="F19" s="52">
        <f>SUM(F12:F15)-F16</f>
        <v>0</v>
      </c>
      <c r="G19" s="52">
        <f>SUM(G12:G15)-G16</f>
        <v>0</v>
      </c>
    </row>
    <row r="20" spans="1:7" s="49" customFormat="1" x14ac:dyDescent="0.25">
      <c r="C20" s="53">
        <f>Ф1!C29-Ф1!E29-C18</f>
        <v>55608</v>
      </c>
      <c r="F20" s="53">
        <f>Ф1!F29-Ф1!H29-F18</f>
        <v>-47140</v>
      </c>
    </row>
    <row r="21" spans="1:7" s="44" customFormat="1" ht="15.75" x14ac:dyDescent="0.25">
      <c r="A21" s="44" t="s">
        <v>39</v>
      </c>
      <c r="D21" s="44" t="s">
        <v>39</v>
      </c>
      <c r="F21" s="44" t="s">
        <v>39</v>
      </c>
    </row>
    <row r="22" spans="1:7" s="9" customFormat="1" ht="15.75" x14ac:dyDescent="0.25">
      <c r="A22" s="9" t="s">
        <v>51</v>
      </c>
      <c r="D22" s="9" t="s">
        <v>40</v>
      </c>
      <c r="F22" s="9" t="s">
        <v>41</v>
      </c>
    </row>
    <row r="23" spans="1:7" s="9" customFormat="1" ht="15.75" x14ac:dyDescent="0.25">
      <c r="A23" s="9" t="s">
        <v>52</v>
      </c>
      <c r="D23" s="9" t="s">
        <v>41</v>
      </c>
      <c r="F23" s="9" t="s">
        <v>40</v>
      </c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opLeftCell="A13" workbookViewId="0">
      <selection activeCell="E26" sqref="E26"/>
    </sheetView>
  </sheetViews>
  <sheetFormatPr defaultRowHeight="15" x14ac:dyDescent="0.25"/>
  <cols>
    <col min="1" max="1" width="65.28515625" customWidth="1"/>
    <col min="2" max="4" width="14.42578125" hidden="1" customWidth="1"/>
    <col min="5" max="5" width="14.42578125" customWidth="1"/>
    <col min="6" max="6" width="17.28515625" customWidth="1"/>
  </cols>
  <sheetData>
    <row r="1" spans="1:6" s="9" customFormat="1" ht="15.75" x14ac:dyDescent="0.25">
      <c r="A1" s="9" t="s">
        <v>86</v>
      </c>
    </row>
    <row r="2" spans="1:6" s="9" customFormat="1" ht="15.75" x14ac:dyDescent="0.25"/>
    <row r="3" spans="1:6" x14ac:dyDescent="0.25">
      <c r="B3" s="55" t="s">
        <v>46</v>
      </c>
      <c r="E3" s="55" t="s">
        <v>42</v>
      </c>
      <c r="F3" s="55" t="s">
        <v>42</v>
      </c>
    </row>
    <row r="4" spans="1:6" ht="15.75" thickBot="1" x14ac:dyDescent="0.3">
      <c r="A4" s="56" t="s">
        <v>0</v>
      </c>
      <c r="B4" s="25" t="s">
        <v>35</v>
      </c>
      <c r="C4" s="25" t="s">
        <v>54</v>
      </c>
      <c r="D4" s="25"/>
      <c r="E4" s="25" t="s">
        <v>35</v>
      </c>
      <c r="F4" s="6" t="s">
        <v>13</v>
      </c>
    </row>
    <row r="5" spans="1:6" ht="25.5" x14ac:dyDescent="0.25">
      <c r="A5" s="56" t="s">
        <v>55</v>
      </c>
      <c r="B5" s="56"/>
      <c r="C5" s="56"/>
      <c r="D5" s="56"/>
      <c r="E5" s="56"/>
      <c r="F5" s="58"/>
    </row>
    <row r="6" spans="1:6" x14ac:dyDescent="0.25">
      <c r="A6" s="56" t="s">
        <v>56</v>
      </c>
      <c r="B6" s="59">
        <f>[1]Ф2!F18</f>
        <v>423100</v>
      </c>
      <c r="C6" s="59">
        <v>184644</v>
      </c>
      <c r="D6" s="59"/>
      <c r="E6" s="59">
        <f>Ф2!F18</f>
        <v>525851</v>
      </c>
      <c r="F6" s="59">
        <v>900867</v>
      </c>
    </row>
    <row r="7" spans="1:6" x14ac:dyDescent="0.25">
      <c r="A7" s="60" t="s">
        <v>57</v>
      </c>
      <c r="B7" s="2"/>
      <c r="C7" s="3"/>
      <c r="D7" s="3"/>
      <c r="E7" s="59">
        <f t="shared" ref="E7" si="0">B7+D7</f>
        <v>0</v>
      </c>
      <c r="F7" s="3"/>
    </row>
    <row r="8" spans="1:6" x14ac:dyDescent="0.25">
      <c r="A8" s="2" t="s">
        <v>1</v>
      </c>
      <c r="B8" s="3">
        <v>-1804651</v>
      </c>
      <c r="C8" s="3">
        <v>-1149454</v>
      </c>
      <c r="D8" s="3"/>
      <c r="E8" s="3">
        <v>-2407746</v>
      </c>
      <c r="F8" s="3">
        <v>-2611830</v>
      </c>
    </row>
    <row r="9" spans="1:6" ht="25.5" x14ac:dyDescent="0.25">
      <c r="A9" s="2" t="s">
        <v>58</v>
      </c>
      <c r="B9" s="3">
        <v>1190935</v>
      </c>
      <c r="C9" s="3">
        <v>802713</v>
      </c>
      <c r="D9" s="3"/>
      <c r="E9" s="3">
        <v>1538629</v>
      </c>
      <c r="F9" s="3">
        <v>1442562</v>
      </c>
    </row>
    <row r="10" spans="1:6" ht="38.25" x14ac:dyDescent="0.25">
      <c r="A10" s="2" t="s">
        <v>59</v>
      </c>
      <c r="B10" s="3">
        <v>-5810</v>
      </c>
      <c r="C10" s="3">
        <v>7127</v>
      </c>
      <c r="D10" s="3"/>
      <c r="E10" s="3">
        <v>25603</v>
      </c>
      <c r="F10" s="3">
        <v>-234263</v>
      </c>
    </row>
    <row r="11" spans="1:6" x14ac:dyDescent="0.25">
      <c r="A11" s="2" t="s">
        <v>60</v>
      </c>
      <c r="B11" s="3">
        <v>-17717</v>
      </c>
      <c r="C11" s="3">
        <v>-9585</v>
      </c>
      <c r="D11" s="3"/>
      <c r="E11" s="3">
        <v>-41939</v>
      </c>
      <c r="F11" s="3">
        <v>-64001</v>
      </c>
    </row>
    <row r="12" spans="1:6" x14ac:dyDescent="0.25">
      <c r="A12" s="2" t="s">
        <v>61</v>
      </c>
      <c r="B12" s="3">
        <v>5728</v>
      </c>
      <c r="C12" s="3">
        <v>3833.2618499999999</v>
      </c>
      <c r="D12" s="3"/>
      <c r="E12" s="3">
        <v>20879</v>
      </c>
      <c r="F12" s="3">
        <v>8891</v>
      </c>
    </row>
    <row r="13" spans="1:6" x14ac:dyDescent="0.25">
      <c r="A13" s="2" t="s">
        <v>62</v>
      </c>
      <c r="B13" s="3">
        <v>-25305</v>
      </c>
      <c r="C13" s="3">
        <v>-25033.610110000001</v>
      </c>
      <c r="D13" s="3"/>
      <c r="E13" s="3">
        <v>-26901.066959999996</v>
      </c>
      <c r="F13" s="3">
        <v>138052</v>
      </c>
    </row>
    <row r="14" spans="1:6" ht="15.75" thickBot="1" x14ac:dyDescent="0.3">
      <c r="A14" s="2" t="s">
        <v>9</v>
      </c>
      <c r="B14" s="3">
        <v>-53256</v>
      </c>
      <c r="C14" s="3"/>
      <c r="D14" s="3"/>
      <c r="E14" s="3">
        <v>-48071</v>
      </c>
      <c r="F14" s="3">
        <v>-51806</v>
      </c>
    </row>
    <row r="15" spans="1:6" ht="25.5" x14ac:dyDescent="0.25">
      <c r="A15" s="56" t="s">
        <v>63</v>
      </c>
      <c r="B15" s="61">
        <f>SUM(B6:B14)</f>
        <v>-286976</v>
      </c>
      <c r="C15" s="61">
        <f t="shared" ref="C15:E15" si="1">SUM(C6:C14)</f>
        <v>-185755.34826</v>
      </c>
      <c r="D15" s="61">
        <f t="shared" si="1"/>
        <v>0</v>
      </c>
      <c r="E15" s="61">
        <f t="shared" si="1"/>
        <v>-413695.06695999997</v>
      </c>
      <c r="F15" s="61">
        <f>SUM(F6:F14)</f>
        <v>-471528</v>
      </c>
    </row>
    <row r="16" spans="1:6" s="30" customFormat="1" x14ac:dyDescent="0.25">
      <c r="A16" s="26" t="s">
        <v>44</v>
      </c>
      <c r="B16" s="62"/>
      <c r="C16" s="62"/>
      <c r="D16" s="62"/>
      <c r="E16" s="62"/>
      <c r="F16" s="62">
        <f>SUM(F6:F13)-F15</f>
        <v>51806</v>
      </c>
    </row>
    <row r="17" spans="1:7" x14ac:dyDescent="0.25">
      <c r="A17" s="56" t="s">
        <v>64</v>
      </c>
      <c r="B17" s="56"/>
      <c r="C17" s="59"/>
      <c r="D17" s="59"/>
      <c r="E17" s="59"/>
      <c r="F17" s="59"/>
    </row>
    <row r="18" spans="1:7" x14ac:dyDescent="0.25">
      <c r="A18" s="56"/>
      <c r="B18" s="56"/>
      <c r="F18" s="59"/>
      <c r="G18" s="3"/>
    </row>
    <row r="19" spans="1:7" x14ac:dyDescent="0.25">
      <c r="A19" s="2" t="s">
        <v>65</v>
      </c>
      <c r="B19" s="3">
        <v>856296</v>
      </c>
      <c r="C19" s="3">
        <v>249329</v>
      </c>
      <c r="D19" s="3"/>
      <c r="E19" s="3">
        <v>-1992844</v>
      </c>
      <c r="F19" s="3">
        <v>-193205</v>
      </c>
    </row>
    <row r="20" spans="1:7" x14ac:dyDescent="0.25">
      <c r="A20" s="2" t="s">
        <v>18</v>
      </c>
      <c r="B20" s="3">
        <v>0</v>
      </c>
      <c r="C20" s="3">
        <v>-174816</v>
      </c>
      <c r="D20" s="3"/>
      <c r="E20" s="3">
        <v>0</v>
      </c>
      <c r="F20" s="3">
        <v>96318</v>
      </c>
    </row>
    <row r="21" spans="1:7" x14ac:dyDescent="0.25">
      <c r="A21" s="2" t="s">
        <v>17</v>
      </c>
      <c r="B21" s="3">
        <v>-319581.98284000007</v>
      </c>
      <c r="C21" s="3">
        <v>-72610.023309997632</v>
      </c>
      <c r="D21" s="3"/>
      <c r="E21" s="3">
        <v>2292160</v>
      </c>
      <c r="F21" s="3">
        <v>-983332</v>
      </c>
    </row>
    <row r="22" spans="1:7" ht="25.5" x14ac:dyDescent="0.25">
      <c r="A22" s="2" t="s">
        <v>66</v>
      </c>
      <c r="B22" s="3">
        <v>177621</v>
      </c>
      <c r="C22" s="3">
        <v>167185</v>
      </c>
      <c r="D22" s="3"/>
      <c r="E22" s="3">
        <v>156685</v>
      </c>
      <c r="F22" s="3">
        <v>-3583</v>
      </c>
    </row>
    <row r="23" spans="1:7" x14ac:dyDescent="0.25">
      <c r="A23" s="2" t="s">
        <v>67</v>
      </c>
      <c r="B23" s="3">
        <v>166193</v>
      </c>
      <c r="C23" s="3">
        <v>316688.56884000002</v>
      </c>
      <c r="D23" s="3"/>
      <c r="E23" s="3">
        <v>190443</v>
      </c>
      <c r="F23" s="3">
        <v>-191518</v>
      </c>
    </row>
    <row r="24" spans="1:7" x14ac:dyDescent="0.25">
      <c r="A24" s="2"/>
      <c r="B24" s="63"/>
      <c r="C24" s="3"/>
      <c r="D24" s="3"/>
      <c r="E24" s="3">
        <f t="shared" ref="E24:E25" si="2">B24+D24</f>
        <v>0</v>
      </c>
      <c r="F24" s="3"/>
    </row>
    <row r="25" spans="1:7" x14ac:dyDescent="0.25">
      <c r="A25" s="56" t="s">
        <v>68</v>
      </c>
      <c r="B25" s="64"/>
      <c r="E25" s="3">
        <f t="shared" si="2"/>
        <v>0</v>
      </c>
      <c r="F25" s="59"/>
    </row>
    <row r="26" spans="1:7" x14ac:dyDescent="0.25">
      <c r="A26" s="2" t="s">
        <v>38</v>
      </c>
      <c r="B26" s="3">
        <v>-238103</v>
      </c>
      <c r="C26" s="59">
        <v>42749</v>
      </c>
      <c r="D26" s="59"/>
      <c r="E26" s="3">
        <v>-127408</v>
      </c>
      <c r="F26" s="3">
        <v>-398366</v>
      </c>
    </row>
    <row r="27" spans="1:7" x14ac:dyDescent="0.25">
      <c r="A27" s="2" t="s">
        <v>24</v>
      </c>
      <c r="B27" s="3">
        <v>-652808</v>
      </c>
      <c r="C27" s="3">
        <v>-587534.49031000002</v>
      </c>
      <c r="D27" s="3"/>
      <c r="E27" s="3">
        <v>-251256</v>
      </c>
      <c r="F27" s="3">
        <v>402969</v>
      </c>
    </row>
    <row r="28" spans="1:7" x14ac:dyDescent="0.25">
      <c r="A28" s="2" t="s">
        <v>25</v>
      </c>
      <c r="B28" s="3">
        <v>26672</v>
      </c>
      <c r="C28" s="3">
        <v>20258</v>
      </c>
      <c r="D28" s="3"/>
      <c r="E28" s="3">
        <v>30760</v>
      </c>
      <c r="F28" s="3">
        <v>34371</v>
      </c>
    </row>
    <row r="29" spans="1:7" ht="15.75" thickBot="1" x14ac:dyDescent="0.3">
      <c r="A29" s="2" t="s">
        <v>26</v>
      </c>
      <c r="B29" s="4">
        <v>4182</v>
      </c>
      <c r="C29" s="3">
        <v>3870</v>
      </c>
      <c r="D29" s="3"/>
      <c r="E29" s="4">
        <v>56732</v>
      </c>
      <c r="F29" s="4">
        <v>-851</v>
      </c>
    </row>
    <row r="30" spans="1:7" ht="25.5" x14ac:dyDescent="0.25">
      <c r="A30" s="56" t="s">
        <v>69</v>
      </c>
      <c r="B30" s="59">
        <f>SUM(B19:B29)+B15</f>
        <v>-266504.98284000007</v>
      </c>
      <c r="C30" s="59">
        <f t="shared" ref="C30:E30" si="3">SUM(C19:C29)+C15</f>
        <v>-220636.29303999769</v>
      </c>
      <c r="D30" s="59">
        <f t="shared" si="3"/>
        <v>0</v>
      </c>
      <c r="E30" s="59">
        <f t="shared" si="3"/>
        <v>-58423.066959999967</v>
      </c>
      <c r="F30" s="59">
        <f>SUM(F19:F29)+F15</f>
        <v>-1708725</v>
      </c>
    </row>
    <row r="31" spans="1:7" s="30" customFormat="1" x14ac:dyDescent="0.25">
      <c r="A31" s="26" t="s">
        <v>44</v>
      </c>
      <c r="B31" s="62">
        <f>SUM(B15:B29)-B30</f>
        <v>0</v>
      </c>
      <c r="C31" s="62"/>
      <c r="D31" s="62"/>
      <c r="E31" s="62"/>
      <c r="F31" s="62">
        <f>SUM(F15:F29)-F30</f>
        <v>51806</v>
      </c>
    </row>
    <row r="32" spans="1:7" x14ac:dyDescent="0.25">
      <c r="A32" s="2" t="s">
        <v>70</v>
      </c>
      <c r="B32" s="3">
        <v>921308.71626000002</v>
      </c>
      <c r="C32" s="3">
        <v>630273</v>
      </c>
      <c r="D32" s="3"/>
      <c r="E32" s="3">
        <v>2488670</v>
      </c>
      <c r="F32" s="3">
        <v>2483113</v>
      </c>
    </row>
    <row r="33" spans="1:6" ht="15.75" thickBot="1" x14ac:dyDescent="0.3">
      <c r="A33" s="2" t="s">
        <v>71</v>
      </c>
      <c r="B33" s="3">
        <v>-996578</v>
      </c>
      <c r="C33" s="3">
        <v>-531535</v>
      </c>
      <c r="D33" s="3"/>
      <c r="E33" s="3">
        <v>-1567571</v>
      </c>
      <c r="F33" s="3">
        <v>-1413067</v>
      </c>
    </row>
    <row r="34" spans="1:6" ht="15.75" thickBot="1" x14ac:dyDescent="0.3">
      <c r="A34" s="56" t="s">
        <v>72</v>
      </c>
      <c r="B34" s="65">
        <f>B30+SUM(B32:B33)</f>
        <v>-341774.26658000005</v>
      </c>
      <c r="C34" s="65">
        <f t="shared" ref="C34:D34" si="4">C30+SUM(C32:C33)</f>
        <v>-121898.29303999769</v>
      </c>
      <c r="D34" s="65">
        <f t="shared" si="4"/>
        <v>0</v>
      </c>
      <c r="E34" s="65">
        <f>E30+SUM(E32:E33)</f>
        <v>862675.93304000003</v>
      </c>
      <c r="F34" s="65">
        <f>F30+SUM(F32:F33)</f>
        <v>-638679</v>
      </c>
    </row>
    <row r="35" spans="1:6" s="30" customFormat="1" x14ac:dyDescent="0.25">
      <c r="A35" s="26" t="s">
        <v>44</v>
      </c>
      <c r="B35" s="33">
        <f>SUM(B30:B33)-B34</f>
        <v>0</v>
      </c>
      <c r="C35" s="33"/>
      <c r="D35" s="33"/>
      <c r="E35" s="33">
        <f>SUM(E30:E33)-E34</f>
        <v>0</v>
      </c>
      <c r="F35" s="33">
        <f>SUM(F30:F33)-F34</f>
        <v>51806</v>
      </c>
    </row>
    <row r="36" spans="1:6" ht="25.5" x14ac:dyDescent="0.25">
      <c r="A36" s="56" t="s">
        <v>73</v>
      </c>
      <c r="B36" s="56"/>
      <c r="C36" s="59"/>
      <c r="D36" s="59"/>
      <c r="E36" s="59"/>
      <c r="F36" s="59"/>
    </row>
    <row r="37" spans="1:6" x14ac:dyDescent="0.25">
      <c r="A37" s="2" t="s">
        <v>74</v>
      </c>
      <c r="B37" s="2"/>
      <c r="C37" s="3"/>
      <c r="D37" s="3"/>
      <c r="E37" s="67">
        <v>110</v>
      </c>
      <c r="F37" s="3">
        <v>168</v>
      </c>
    </row>
    <row r="38" spans="1:6" ht="15.75" thickBot="1" x14ac:dyDescent="0.3">
      <c r="A38" s="2" t="s">
        <v>75</v>
      </c>
      <c r="B38" s="4">
        <v>-971</v>
      </c>
      <c r="C38" s="4">
        <v>970</v>
      </c>
      <c r="D38" s="4"/>
      <c r="E38" s="4">
        <v>-15616</v>
      </c>
      <c r="F38" s="4">
        <v>-3106</v>
      </c>
    </row>
    <row r="39" spans="1:6" ht="15.75" thickBot="1" x14ac:dyDescent="0.3">
      <c r="A39" s="56" t="s">
        <v>76</v>
      </c>
      <c r="B39" s="8">
        <f>SUM(B38)</f>
        <v>-971</v>
      </c>
      <c r="C39" s="8">
        <f t="shared" ref="C39:D39" si="5">SUM(C38)</f>
        <v>970</v>
      </c>
      <c r="D39" s="8">
        <f t="shared" si="5"/>
        <v>0</v>
      </c>
      <c r="E39" s="8">
        <f>SUM(E37:E38)</f>
        <v>-15506</v>
      </c>
      <c r="F39" s="8">
        <f>SUM(F37:F38)</f>
        <v>-2938</v>
      </c>
    </row>
    <row r="40" spans="1:6" x14ac:dyDescent="0.25">
      <c r="A40" s="2"/>
      <c r="B40" s="2"/>
      <c r="C40" s="3"/>
      <c r="D40" s="3"/>
      <c r="E40" s="3"/>
      <c r="F40" s="3"/>
    </row>
    <row r="41" spans="1:6" x14ac:dyDescent="0.25">
      <c r="A41" s="56" t="s">
        <v>77</v>
      </c>
      <c r="B41" s="56"/>
      <c r="C41" s="59"/>
      <c r="D41" s="59"/>
      <c r="E41" s="59"/>
      <c r="F41" s="59"/>
    </row>
    <row r="42" spans="1:6" x14ac:dyDescent="0.25">
      <c r="A42" s="2" t="s">
        <v>78</v>
      </c>
      <c r="B42" s="3">
        <v>-2755714</v>
      </c>
      <c r="C42" s="3">
        <v>-1717736</v>
      </c>
      <c r="D42" s="3">
        <v>3</v>
      </c>
      <c r="E42" s="3">
        <v>-6841381</v>
      </c>
      <c r="F42" s="3">
        <v>-4916377</v>
      </c>
    </row>
    <row r="43" spans="1:6" x14ac:dyDescent="0.25">
      <c r="A43" s="2" t="s">
        <v>79</v>
      </c>
      <c r="B43" s="3">
        <v>2702839</v>
      </c>
      <c r="C43" s="3">
        <v>1839867</v>
      </c>
      <c r="D43" s="3"/>
      <c r="E43" s="3">
        <v>5119301</v>
      </c>
      <c r="F43" s="3">
        <v>6371336</v>
      </c>
    </row>
    <row r="44" spans="1:6" ht="15.75" thickBot="1" x14ac:dyDescent="0.3">
      <c r="A44" s="2" t="s">
        <v>80</v>
      </c>
      <c r="B44" s="3">
        <v>-47140</v>
      </c>
      <c r="E44" s="3">
        <v>-47140</v>
      </c>
      <c r="F44" s="3">
        <v>-372310</v>
      </c>
    </row>
    <row r="45" spans="1:6" ht="26.25" thickBot="1" x14ac:dyDescent="0.3">
      <c r="A45" s="56" t="s">
        <v>81</v>
      </c>
      <c r="B45" s="65">
        <f>SUM(B40:B44)</f>
        <v>-100015</v>
      </c>
      <c r="C45" s="65">
        <f t="shared" ref="C45:E45" si="6">SUM(C40:C44)</f>
        <v>122131</v>
      </c>
      <c r="D45" s="65">
        <f t="shared" si="6"/>
        <v>3</v>
      </c>
      <c r="E45" s="65">
        <f t="shared" si="6"/>
        <v>-1769220</v>
      </c>
      <c r="F45" s="65">
        <f>SUM(F40:F44)</f>
        <v>1082649</v>
      </c>
    </row>
    <row r="46" spans="1:6" s="30" customFormat="1" x14ac:dyDescent="0.25">
      <c r="A46" s="27"/>
      <c r="B46" s="62">
        <f>SUM(B42:B44)-B45</f>
        <v>0</v>
      </c>
      <c r="C46" s="62"/>
      <c r="D46" s="62"/>
      <c r="E46" s="62"/>
      <c r="F46" s="62">
        <f>SUM(F42:F44)-F45</f>
        <v>0</v>
      </c>
    </row>
    <row r="47" spans="1:6" x14ac:dyDescent="0.25">
      <c r="A47" s="56" t="s">
        <v>82</v>
      </c>
      <c r="B47" s="59">
        <f>B34+B39+B45</f>
        <v>-442760.26658000005</v>
      </c>
      <c r="C47" s="59">
        <f t="shared" ref="C47:D47" si="7">C34+C39+C45</f>
        <v>1202.7069600023096</v>
      </c>
      <c r="D47" s="59">
        <f t="shared" si="7"/>
        <v>3</v>
      </c>
      <c r="E47" s="59">
        <f>E34+E39+E45</f>
        <v>-922050.06695999997</v>
      </c>
      <c r="F47" s="59">
        <f>F34+F39+F45</f>
        <v>441032</v>
      </c>
    </row>
    <row r="48" spans="1:6" x14ac:dyDescent="0.25">
      <c r="A48" s="2" t="s">
        <v>83</v>
      </c>
      <c r="B48" s="3">
        <v>1169496</v>
      </c>
      <c r="C48" s="3">
        <v>1169496</v>
      </c>
      <c r="D48" s="3"/>
      <c r="E48" s="3">
        <v>1169496</v>
      </c>
      <c r="F48" s="3">
        <v>705273</v>
      </c>
    </row>
    <row r="49" spans="1:6" ht="26.25" thickBot="1" x14ac:dyDescent="0.3">
      <c r="A49" s="2" t="s">
        <v>84</v>
      </c>
      <c r="B49" s="4">
        <v>-3176</v>
      </c>
      <c r="C49" s="4">
        <v>-2944</v>
      </c>
      <c r="D49" s="4"/>
      <c r="E49" s="4">
        <v>-3311</v>
      </c>
      <c r="F49" s="4">
        <v>23191</v>
      </c>
    </row>
    <row r="50" spans="1:6" ht="15.75" thickBot="1" x14ac:dyDescent="0.3">
      <c r="A50" s="56" t="s">
        <v>85</v>
      </c>
      <c r="B50" s="5">
        <f>SUM(B47:B49)</f>
        <v>723559.73341999995</v>
      </c>
      <c r="C50" s="5">
        <f t="shared" ref="C50:D50" si="8">SUM(C47:C49)</f>
        <v>1167754.7069600024</v>
      </c>
      <c r="D50" s="5">
        <f t="shared" si="8"/>
        <v>3</v>
      </c>
      <c r="E50" s="5">
        <f>SUM(E47:E49)</f>
        <v>244134.93304000003</v>
      </c>
      <c r="F50" s="5">
        <f>SUM(F47:F49)</f>
        <v>1169496</v>
      </c>
    </row>
    <row r="51" spans="1:6" s="30" customFormat="1" ht="15.75" thickTop="1" x14ac:dyDescent="0.25">
      <c r="B51" s="33">
        <f>SUM(B34,B39,B45)-B47</f>
        <v>0</v>
      </c>
      <c r="C51" s="33"/>
      <c r="D51" s="33"/>
      <c r="E51" s="33">
        <f>E50-[1]Ф1!C6</f>
        <v>-479428.06695999997</v>
      </c>
    </row>
    <row r="52" spans="1:6" x14ac:dyDescent="0.25">
      <c r="B52" s="66">
        <f>B47+[1]Ф1!E6+B49-B50</f>
        <v>0</v>
      </c>
      <c r="C52" s="66"/>
      <c r="D52" s="66"/>
      <c r="E52" s="66"/>
    </row>
    <row r="53" spans="1:6" x14ac:dyDescent="0.25">
      <c r="B53" s="66"/>
      <c r="C53" s="66"/>
      <c r="D53" s="66"/>
      <c r="E53" s="66"/>
    </row>
    <row r="54" spans="1:6" s="9" customFormat="1" ht="15.75" x14ac:dyDescent="0.25">
      <c r="A54" s="9" t="s">
        <v>39</v>
      </c>
      <c r="B54" s="9" t="s">
        <v>39</v>
      </c>
      <c r="C54" s="9" t="s">
        <v>39</v>
      </c>
      <c r="E54" s="44" t="s">
        <v>39</v>
      </c>
    </row>
    <row r="55" spans="1:6" s="9" customFormat="1" ht="15.75" x14ac:dyDescent="0.25">
      <c r="A55" s="9" t="s">
        <v>51</v>
      </c>
      <c r="B55" s="9" t="s">
        <v>40</v>
      </c>
      <c r="C55" s="9" t="s">
        <v>40</v>
      </c>
      <c r="E55" s="9" t="s">
        <v>41</v>
      </c>
    </row>
    <row r="56" spans="1:6" s="9" customFormat="1" ht="15.75" x14ac:dyDescent="0.25">
      <c r="A56" s="9" t="s">
        <v>52</v>
      </c>
      <c r="B56" s="9" t="s">
        <v>41</v>
      </c>
      <c r="C56" s="9" t="s">
        <v>41</v>
      </c>
      <c r="E56" s="9" t="s">
        <v>40</v>
      </c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activeCell="D19" sqref="D19"/>
    </sheetView>
  </sheetViews>
  <sheetFormatPr defaultRowHeight="15" x14ac:dyDescent="0.25"/>
  <cols>
    <col min="1" max="1" width="45.85546875" customWidth="1"/>
    <col min="2" max="2" width="12.85546875" customWidth="1"/>
    <col min="3" max="3" width="19.42578125" customWidth="1"/>
    <col min="4" max="4" width="27.28515625" customWidth="1"/>
    <col min="5" max="5" width="10.5703125" style="69" bestFit="1" customWidth="1"/>
  </cols>
  <sheetData>
    <row r="1" spans="1:6" s="9" customFormat="1" ht="15.75" x14ac:dyDescent="0.25">
      <c r="A1" s="9" t="s">
        <v>98</v>
      </c>
      <c r="E1" s="68"/>
    </row>
    <row r="3" spans="1:6" x14ac:dyDescent="0.25">
      <c r="A3" s="77" t="s">
        <v>0</v>
      </c>
      <c r="B3" s="78" t="s">
        <v>30</v>
      </c>
      <c r="C3" s="55" t="s">
        <v>87</v>
      </c>
      <c r="D3" s="55" t="s">
        <v>88</v>
      </c>
    </row>
    <row r="4" spans="1:6" ht="15.75" thickBot="1" x14ac:dyDescent="0.3">
      <c r="A4" s="77"/>
      <c r="B4" s="79"/>
      <c r="C4" s="25" t="s">
        <v>89</v>
      </c>
      <c r="D4" s="25" t="s">
        <v>90</v>
      </c>
      <c r="E4" s="69" t="s">
        <v>91</v>
      </c>
    </row>
    <row r="5" spans="1:6" x14ac:dyDescent="0.25">
      <c r="A5" s="57" t="s">
        <v>100</v>
      </c>
      <c r="B5" s="76">
        <v>150</v>
      </c>
      <c r="C5" s="61">
        <v>2514915</v>
      </c>
      <c r="D5" s="61">
        <f>B5+C5</f>
        <v>2515065</v>
      </c>
    </row>
    <row r="6" spans="1:6" ht="26.25" thickBot="1" x14ac:dyDescent="0.3">
      <c r="A6" s="2" t="s">
        <v>101</v>
      </c>
      <c r="B6" s="76" t="s">
        <v>92</v>
      </c>
      <c r="C6" s="3">
        <v>-27918</v>
      </c>
      <c r="D6" s="3">
        <v>-27918</v>
      </c>
    </row>
    <row r="7" spans="1:6" ht="33" customHeight="1" x14ac:dyDescent="0.25">
      <c r="A7" s="75" t="s">
        <v>102</v>
      </c>
      <c r="B7" s="61">
        <v>150</v>
      </c>
      <c r="C7" s="61">
        <f>C5+C6</f>
        <v>2486997</v>
      </c>
      <c r="D7" s="61">
        <f>B7+C7</f>
        <v>2487147</v>
      </c>
    </row>
    <row r="8" spans="1:6" x14ac:dyDescent="0.25">
      <c r="A8" s="2" t="s">
        <v>93</v>
      </c>
      <c r="B8" s="3"/>
      <c r="C8" s="3">
        <v>900867</v>
      </c>
      <c r="D8" s="3">
        <f>C8</f>
        <v>900867</v>
      </c>
      <c r="E8" s="70">
        <f>D8-[1]Ф3!F6</f>
        <v>360175</v>
      </c>
    </row>
    <row r="9" spans="1:6" x14ac:dyDescent="0.25">
      <c r="A9" s="2" t="s">
        <v>96</v>
      </c>
      <c r="B9" s="3"/>
      <c r="C9" s="3">
        <v>-372310</v>
      </c>
      <c r="D9" s="3">
        <f>C9</f>
        <v>-372310</v>
      </c>
      <c r="E9" s="70"/>
    </row>
    <row r="10" spans="1:6" s="72" customFormat="1" ht="15.75" hidden="1" thickTop="1" x14ac:dyDescent="0.25">
      <c r="A10" s="71" t="s">
        <v>93</v>
      </c>
      <c r="B10" s="14" t="s">
        <v>92</v>
      </c>
      <c r="C10" s="14">
        <f>900867-279256+3</f>
        <v>621614</v>
      </c>
      <c r="D10" s="14">
        <f>C10</f>
        <v>621614</v>
      </c>
      <c r="E10" s="70">
        <f>D8+D10</f>
        <v>1522481</v>
      </c>
      <c r="F10" s="72" t="s">
        <v>94</v>
      </c>
    </row>
    <row r="11" spans="1:6" s="72" customFormat="1" ht="26.25" hidden="1" thickTop="1" x14ac:dyDescent="0.25">
      <c r="A11" s="15" t="s">
        <v>95</v>
      </c>
      <c r="B11" s="14"/>
      <c r="C11" s="14"/>
      <c r="D11" s="14"/>
      <c r="E11" s="69"/>
    </row>
    <row r="12" spans="1:6" s="72" customFormat="1" ht="16.5" hidden="1" thickTop="1" thickBot="1" x14ac:dyDescent="0.3">
      <c r="A12" s="71" t="s">
        <v>96</v>
      </c>
      <c r="B12" s="16" t="s">
        <v>92</v>
      </c>
      <c r="C12" s="16">
        <v>-372310</v>
      </c>
      <c r="D12" s="16">
        <v>-372310</v>
      </c>
      <c r="E12" s="69"/>
    </row>
    <row r="13" spans="1:6" s="39" customFormat="1" ht="15.75" thickBot="1" x14ac:dyDescent="0.3">
      <c r="A13" s="41" t="s">
        <v>97</v>
      </c>
      <c r="B13" s="43">
        <v>150</v>
      </c>
      <c r="C13" s="43">
        <f>SUM(C7:C9)</f>
        <v>3015554</v>
      </c>
      <c r="D13" s="43">
        <f>B13+C13</f>
        <v>3015704</v>
      </c>
      <c r="E13" s="70">
        <f>D13-[1]Ф1!E28-B13</f>
        <v>0</v>
      </c>
    </row>
    <row r="14" spans="1:6" ht="15.75" thickTop="1" x14ac:dyDescent="0.25">
      <c r="A14" s="2" t="s">
        <v>93</v>
      </c>
      <c r="B14" s="3"/>
      <c r="C14" s="3">
        <f>Ф2!F18</f>
        <v>525851</v>
      </c>
      <c r="D14" s="3">
        <f>C14</f>
        <v>525851</v>
      </c>
      <c r="E14" s="70">
        <f>[1]Ф1!C28-[1]Ф1!E28-D14</f>
        <v>-149891</v>
      </c>
    </row>
    <row r="15" spans="1:6" x14ac:dyDescent="0.25">
      <c r="A15" s="2" t="s">
        <v>96</v>
      </c>
      <c r="B15" s="3"/>
      <c r="C15" s="3">
        <v>-47140</v>
      </c>
      <c r="D15" s="3">
        <f>C15</f>
        <v>-47140</v>
      </c>
      <c r="E15" s="70"/>
    </row>
    <row r="16" spans="1:6" ht="15.75" thickBot="1" x14ac:dyDescent="0.3">
      <c r="A16" s="41" t="s">
        <v>99</v>
      </c>
      <c r="B16" s="5">
        <v>150</v>
      </c>
      <c r="C16" s="5">
        <f>C13+C14+C15</f>
        <v>3494265</v>
      </c>
      <c r="D16" s="5">
        <f>D13+D14+D15</f>
        <v>3494415</v>
      </c>
      <c r="E16" s="70">
        <f>[1]Ф1!C29-D16</f>
        <v>-102751</v>
      </c>
    </row>
    <row r="17" spans="1:5" s="49" customFormat="1" ht="15.75" thickTop="1" x14ac:dyDescent="0.25">
      <c r="C17" s="53">
        <f>C16-[1]Ф1!C28</f>
        <v>102751</v>
      </c>
      <c r="D17" s="49" t="b">
        <f>D16=Ф1!C30</f>
        <v>1</v>
      </c>
      <c r="E17" s="69"/>
    </row>
    <row r="18" spans="1:5" s="49" customFormat="1" x14ac:dyDescent="0.25">
      <c r="B18" s="73" t="s">
        <v>44</v>
      </c>
      <c r="C18" s="53">
        <f>C13+C14-C16+C15</f>
        <v>0</v>
      </c>
      <c r="D18" s="53">
        <f>D13+D14-D16+D15</f>
        <v>0</v>
      </c>
      <c r="E18" s="69"/>
    </row>
    <row r="19" spans="1:5" s="30" customFormat="1" x14ac:dyDescent="0.25">
      <c r="E19" s="69"/>
    </row>
    <row r="20" spans="1:5" s="9" customFormat="1" ht="15.75" x14ac:dyDescent="0.25">
      <c r="A20" s="9" t="s">
        <v>39</v>
      </c>
      <c r="B20" s="9" t="s">
        <v>39</v>
      </c>
      <c r="E20" s="68"/>
    </row>
    <row r="21" spans="1:5" s="9" customFormat="1" ht="15.75" x14ac:dyDescent="0.25">
      <c r="A21" s="9" t="s">
        <v>51</v>
      </c>
      <c r="B21" s="9" t="s">
        <v>41</v>
      </c>
      <c r="E21" s="68"/>
    </row>
    <row r="22" spans="1:5" s="9" customFormat="1" ht="15.75" x14ac:dyDescent="0.25">
      <c r="A22" s="9" t="s">
        <v>52</v>
      </c>
      <c r="B22" s="9" t="s">
        <v>40</v>
      </c>
      <c r="E22" s="68"/>
    </row>
    <row r="28" spans="1:5" x14ac:dyDescent="0.25">
      <c r="A28" s="2"/>
    </row>
  </sheetData>
  <mergeCells count="2"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Ф1!_Hlk222891459</vt:lpstr>
      <vt:lpstr>Ф1!BalanceSheet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Гульдана Каппасова</dc:creator>
  <cp:lastModifiedBy>Ekaterina Li</cp:lastModifiedBy>
  <cp:lastPrinted>2020-02-14T08:26:54Z</cp:lastPrinted>
  <dcterms:created xsi:type="dcterms:W3CDTF">2019-08-06T14:59:38Z</dcterms:created>
  <dcterms:modified xsi:type="dcterms:W3CDTF">2020-02-19T12:47:22Z</dcterms:modified>
</cp:coreProperties>
</file>