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00" windowWidth="18240" windowHeight="11250" activeTab="1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0__">#REF!</definedName>
    <definedName name="__mdDATAempty_t1__">'[2]ПРИЛ2ф1-2-3-4-5'!#REF!</definedName>
    <definedName name="__mdDATAempty_t3__">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ф1!$A$1:$D$130</definedName>
    <definedName name="_xlnm.Print_Area" localSheetId="1">ф2!$A$1:$F$128</definedName>
    <definedName name="ф77">#REF!</definedName>
  </definedNames>
  <calcPr calcId="124519"/>
</workbook>
</file>

<file path=xl/calcChain.xml><?xml version="1.0" encoding="utf-8"?>
<calcChain xmlns="http://schemas.openxmlformats.org/spreadsheetml/2006/main">
  <c r="A123" i="2"/>
  <c r="A121"/>
  <c r="H115"/>
  <c r="D103"/>
  <c r="D102"/>
  <c r="F101"/>
  <c r="E101"/>
  <c r="C101"/>
  <c r="D99"/>
  <c r="D97"/>
  <c r="D101" s="1"/>
  <c r="C86"/>
  <c r="D86" s="1"/>
  <c r="D85"/>
  <c r="D84"/>
  <c r="C84"/>
  <c r="D83"/>
  <c r="D76"/>
  <c r="C76"/>
  <c r="C75"/>
  <c r="D73"/>
  <c r="D72"/>
  <c r="D71"/>
  <c r="D68"/>
  <c r="D75" s="1"/>
  <c r="D67"/>
  <c r="D62" s="1"/>
  <c r="D106" s="1"/>
  <c r="F62"/>
  <c r="F106" s="1"/>
  <c r="E62"/>
  <c r="E106" s="1"/>
  <c r="C62"/>
  <c r="C106" s="1"/>
  <c r="D58"/>
  <c r="I48"/>
  <c r="H48"/>
  <c r="C48"/>
  <c r="D48" s="1"/>
  <c r="G48" s="1"/>
  <c r="J47"/>
  <c r="I47"/>
  <c r="G47"/>
  <c r="D47"/>
  <c r="H47" s="1"/>
  <c r="J46"/>
  <c r="I46"/>
  <c r="D46"/>
  <c r="H46" s="1"/>
  <c r="C46"/>
  <c r="G46" s="1"/>
  <c r="J45"/>
  <c r="I45"/>
  <c r="G45"/>
  <c r="D45"/>
  <c r="H45" s="1"/>
  <c r="D40"/>
  <c r="D37"/>
  <c r="D31"/>
  <c r="D42" s="1"/>
  <c r="D29"/>
  <c r="D28"/>
  <c r="D26"/>
  <c r="D25"/>
  <c r="D22"/>
  <c r="D21"/>
  <c r="D18"/>
  <c r="J16"/>
  <c r="I16"/>
  <c r="H16"/>
  <c r="G16"/>
  <c r="D16"/>
  <c r="D15"/>
  <c r="J12"/>
  <c r="I12"/>
  <c r="H12"/>
  <c r="G12"/>
  <c r="F12"/>
  <c r="F60" s="1"/>
  <c r="E12"/>
  <c r="E60" s="1"/>
  <c r="E108" s="1"/>
  <c r="E112" s="1"/>
  <c r="E115" s="1"/>
  <c r="C60"/>
  <c r="A6"/>
  <c r="C110" i="1"/>
  <c r="D105"/>
  <c r="D114" s="1"/>
  <c r="C105"/>
  <c r="C114" s="1"/>
  <c r="F99"/>
  <c r="E99"/>
  <c r="D80"/>
  <c r="H73"/>
  <c r="H76" s="1"/>
  <c r="D71"/>
  <c r="C71"/>
  <c r="C96" s="1"/>
  <c r="C116" s="1"/>
  <c r="D70"/>
  <c r="D96" s="1"/>
  <c r="D116" s="1"/>
  <c r="G61"/>
  <c r="C45"/>
  <c r="H38"/>
  <c r="E38"/>
  <c r="D38"/>
  <c r="F38" s="1"/>
  <c r="F31"/>
  <c r="F25"/>
  <c r="F22"/>
  <c r="D11"/>
  <c r="C11"/>
  <c r="C61" s="1"/>
  <c r="F60" s="1"/>
  <c r="E118" l="1"/>
  <c r="C108" i="2"/>
  <c r="C112" s="1"/>
  <c r="C115" s="1"/>
  <c r="F108"/>
  <c r="F112" s="1"/>
  <c r="F115" s="1"/>
  <c r="D37" i="1"/>
  <c r="D61" s="1"/>
  <c r="D12" i="2"/>
  <c r="D60" s="1"/>
  <c r="D108" s="1"/>
  <c r="D112" s="1"/>
  <c r="D115" s="1"/>
  <c r="C42"/>
</calcChain>
</file>

<file path=xl/sharedStrings.xml><?xml version="1.0" encoding="utf-8"?>
<sst xmlns="http://schemas.openxmlformats.org/spreadsheetml/2006/main" count="368" uniqueCount="294">
  <si>
    <t>Приложение 10                                                                        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</si>
  <si>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</si>
  <si>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</si>
  <si>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"БТА Секьюритис"</t>
  </si>
  <si>
    <t>(полное наименование организации)</t>
  </si>
  <si>
    <t xml:space="preserve"> по состоянию на "01" октября  2017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</si>
  <si>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</si>
  <si>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</si>
  <si>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</si>
  <si>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</si>
  <si>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</si>
  <si>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</si>
  <si>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</si>
  <si>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</si>
  <si>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</si>
  <si>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</si>
  <si>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</si>
  <si>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</si>
  <si>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</si>
  <si>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</si>
  <si>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Пр 3 стр 4 гр 13 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</si>
  <si>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</si>
  <si>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</si>
  <si>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</si>
  <si>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</si>
  <si>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Пр 2 стр 1 гр 12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</si>
  <si>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</si>
  <si>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</si>
  <si>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Пр 1 стр 7 гр 11</t>
  </si>
  <si>
    <t>5.1</t>
  </si>
  <si>
    <t>Ценные бумаги, имеющиеся в наличии для продажи (за вычетом резервов на обесценение)</t>
  </si>
  <si>
    <t>Пр 1 стр 7 гр 9</t>
  </si>
  <si>
    <t>6.1</t>
  </si>
  <si>
    <t>Ценные бумаги, удерживаемые до погашения (за вычетом резервов на обесценение)</t>
  </si>
  <si>
    <t>7</t>
  </si>
  <si>
    <t>Пр 1 стр 7 гр 13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</si>
  <si>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</si>
  <si>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</si>
  <si>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</si>
  <si>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Пр 4 стр 4 гр 4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</si>
  <si>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</si>
  <si>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</si>
  <si>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</si>
  <si>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</si>
  <si>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</si>
  <si>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Комиссионные вознаграждения</t>
  </si>
  <si>
    <t>от консалтинговых услуг, в том числе:</t>
  </si>
  <si>
    <t>15.1</t>
  </si>
  <si>
    <t>аффилированным лицам</t>
  </si>
  <si>
    <t>15.1.1</t>
  </si>
  <si>
    <t>прочим клиентам</t>
  </si>
  <si>
    <t>15.1.2</t>
  </si>
  <si>
    <t>от услуг представителя держателей облигаций</t>
  </si>
  <si>
    <t>15.2</t>
  </si>
  <si>
    <t xml:space="preserve"> </t>
  </si>
  <si>
    <t>от услуг андеррайтера</t>
  </si>
  <si>
    <t>15.3</t>
  </si>
  <si>
    <t>от брокерских услуг</t>
  </si>
  <si>
    <t>15.4</t>
  </si>
  <si>
    <t>от управления активами</t>
  </si>
  <si>
    <t>15.5</t>
  </si>
  <si>
    <t>от услуг маркет-мейкера</t>
  </si>
  <si>
    <t>15.6</t>
  </si>
  <si>
    <t>от пенсионных активов</t>
  </si>
  <si>
    <t>15.7</t>
  </si>
  <si>
    <t>от инвестиционного дохода (убытка) по пенсионным активам</t>
  </si>
  <si>
    <t>15.8</t>
  </si>
  <si>
    <t>прочие</t>
  </si>
  <si>
    <t>15.9</t>
  </si>
  <si>
    <t>Производные инструменты</t>
  </si>
  <si>
    <t>16</t>
  </si>
  <si>
    <t>требования по сделке фьючерсы</t>
  </si>
  <si>
    <t>16.1</t>
  </si>
  <si>
    <t>требования по сделке форварды</t>
  </si>
  <si>
    <t>16.2</t>
  </si>
  <si>
    <t>требования по сделке опционы</t>
  </si>
  <si>
    <t>16.3</t>
  </si>
  <si>
    <t>требования по сделке свопы</t>
  </si>
  <si>
    <t>16.4</t>
  </si>
  <si>
    <t>Текущее налоговое требование</t>
  </si>
  <si>
    <t>Отложенное налоговое требование</t>
  </si>
  <si>
    <t>Авансы выданные и предоплата</t>
  </si>
  <si>
    <t>Прочие активы</t>
  </si>
  <si>
    <t>Итого активы</t>
  </si>
  <si>
    <t>Ф1 стр 22= Ф1 стр46</t>
  </si>
  <si>
    <t>Обязательства</t>
  </si>
  <si>
    <t>Операция «РЕПО»</t>
  </si>
  <si>
    <t>Пр 2 стр 2 гр 12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</si>
  <si>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</si>
  <si>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</si>
  <si>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</si>
  <si>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</si>
  <si>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</si>
  <si>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</si>
  <si>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</si>
  <si>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</si>
  <si>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29.1</t>
  </si>
  <si>
    <t>по клиринговым операциям</t>
  </si>
  <si>
    <t>29.2</t>
  </si>
  <si>
    <t>по кассовым операциям</t>
  </si>
  <si>
    <t>29.3</t>
  </si>
  <si>
    <t>по сейфовым операциям</t>
  </si>
  <si>
    <t>29.4</t>
  </si>
  <si>
    <t>по инкассации банкнот, монет и ценностей</t>
  </si>
  <si>
    <t>29.5</t>
  </si>
  <si>
    <t>по доверительным операциям</t>
  </si>
  <si>
    <t>29.6</t>
  </si>
  <si>
    <t>по услугам фондовой биржи</t>
  </si>
  <si>
    <t>29.7</t>
  </si>
  <si>
    <t>по кастодиальному обслуживанию</t>
  </si>
  <si>
    <t>29.8</t>
  </si>
  <si>
    <t>по брокерским услугам</t>
  </si>
  <si>
    <t>29.9</t>
  </si>
  <si>
    <t>по услугам центрального депозитария</t>
  </si>
  <si>
    <t>29.10</t>
  </si>
  <si>
    <t>по услугам единого регистратора</t>
  </si>
  <si>
    <t>29.11</t>
  </si>
  <si>
    <t>по услугам иных профессиональных участников рынка ценных бумаг</t>
  </si>
  <si>
    <t>29.12</t>
  </si>
  <si>
    <t>Производные финансовые инструменты</t>
  </si>
  <si>
    <t>обязательства по сделке фьючерсы</t>
  </si>
  <si>
    <t>30.1</t>
  </si>
  <si>
    <t>обязательства по сделке форварды</t>
  </si>
  <si>
    <t>30.2</t>
  </si>
  <si>
    <t>обязательства по сделке опционы</t>
  </si>
  <si>
    <t>30.3</t>
  </si>
  <si>
    <t>обязательства по сделке свопы</t>
  </si>
  <si>
    <t>30.4</t>
  </si>
  <si>
    <t>Текущее налоговое обязательство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</si>
  <si>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</si>
  <si>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</si>
  <si>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</si>
  <si>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</si>
  <si>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</si>
  <si>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</si>
  <si>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</si>
  <si>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</si>
  <si>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37.1</t>
  </si>
  <si>
    <t>привилегированные акции</t>
  </si>
  <si>
    <t>37.2</t>
  </si>
  <si>
    <t>Премии (дополнительный оплаченный капитал)</t>
  </si>
  <si>
    <t>Изъятый капитал</t>
  </si>
  <si>
    <t>Резервный капитал</t>
  </si>
  <si>
    <t>резервы переоценки ценных бумаг, предназначенных для продажи</t>
  </si>
  <si>
    <t>40.1</t>
  </si>
  <si>
    <t>резерв на переоценку основных средств</t>
  </si>
  <si>
    <t>40.2</t>
  </si>
  <si>
    <t>Прочие резервы</t>
  </si>
  <si>
    <t>Нераспределенная прибыль (непокрытый убыток)</t>
  </si>
  <si>
    <t>предыдущих лет</t>
  </si>
  <si>
    <t>42.1</t>
  </si>
  <si>
    <t>отчетного периода</t>
  </si>
  <si>
    <t>42.2</t>
  </si>
  <si>
    <t>должно быть равно Ф2 стр 27 гр 4</t>
  </si>
  <si>
    <t>Итого капитал</t>
  </si>
  <si>
    <t>Итого капитал и обязательства (стр. 35 + стр. 43)</t>
  </si>
  <si>
    <t>Ф1 стр 44=Ф1 стр 22=Ф1 стр35+стр43</t>
  </si>
  <si>
    <t>Статья «Доля меньшинства» заполняется при составлении консолидированной финансовой отчетности.</t>
  </si>
  <si>
    <t>Председатель Правления _________________________Каракулов М.Е.</t>
  </si>
  <si>
    <t>Главный бухгалтер  ______________________________Сатпаева Ш.К.</t>
  </si>
  <si>
    <t>Телефон</t>
  </si>
  <si>
    <t>Место для печати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</si>
  <si>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</si>
  <si>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</si>
  <si>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</si>
  <si>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</si>
  <si>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</si>
  <si>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</si>
  <si>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</si>
  <si>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</si>
  <si>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</si>
  <si>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</si>
  <si>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</si>
  <si>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</si>
  <si>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</si>
  <si>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</si>
  <si>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</si>
  <si>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 xml:space="preserve">     доходы в виде дивидендов по акциям, находящимся в портфеле ценных бумаг, имеющихся в наличии для продажи</t>
  </si>
  <si>
    <t>1.3.1.1</t>
  </si>
  <si>
    <t xml:space="preserve">     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</si>
  <si>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</si>
  <si>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</si>
  <si>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</si>
  <si>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</si>
  <si>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</si>
  <si>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</si>
  <si>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</si>
  <si>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</si>
  <si>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</si>
  <si>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 xml:space="preserve">     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</si>
  <si>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</si>
  <si>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</si>
  <si>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</si>
  <si>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</si>
  <si>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</si>
  <si>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</si>
  <si>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</si>
  <si>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</si>
  <si>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</si>
  <si>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</si>
  <si>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</si>
  <si>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</si>
  <si>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</si>
  <si>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</si>
  <si>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</si>
  <si>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</si>
  <si>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</si>
  <si>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</si>
  <si>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</si>
  <si>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</si>
  <si>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</si>
  <si>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</si>
  <si>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</si>
  <si>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</si>
  <si>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</si>
  <si>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</si>
  <si>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</si>
  <si>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</si>
  <si>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</si>
  <si>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</si>
  <si>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</si>
  <si>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</si>
  <si>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</si>
  <si>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</si>
  <si>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</si>
  <si>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</si>
  <si>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</si>
  <si>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</si>
  <si>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</si>
  <si>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</si>
  <si>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</si>
  <si>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</si>
  <si>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</si>
  <si>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</si>
  <si>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</si>
  <si>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</si>
  <si>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</si>
  <si>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</si>
  <si>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</si>
  <si>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</si>
  <si>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</si>
  <si>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за кастодиальное обслуживание</t>
  </si>
  <si>
    <t>за услуги фондовой биржи</t>
  </si>
  <si>
    <t>за услуги регистратора</t>
  </si>
  <si>
    <t>за брокерские услуги</t>
  </si>
  <si>
    <t>за прочие услуги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</si>
  <si>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</si>
  <si>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</si>
  <si>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</si>
  <si>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</si>
  <si>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</si>
  <si>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</si>
  <si>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</si>
  <si>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</si>
  <si>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</si>
  <si>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</si>
  <si>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</si>
  <si>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</si>
  <si>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</si>
  <si>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</si>
  <si>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</si>
  <si>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</si>
  <si>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</si>
  <si>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</si>
  <si>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24.5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</si>
  <si>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</si>
  <si>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</si>
  <si>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</si>
  <si>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</si>
  <si>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</si>
  <si>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26.3</t>
  </si>
  <si>
    <t>общехозяйственные  и административные расходы</t>
  </si>
  <si>
    <t>26.4</t>
  </si>
  <si>
    <t>амортизационные отчисления</t>
  </si>
  <si>
    <t>26.5</t>
  </si>
  <si>
    <t>расходы по уплате налогов и других обязательных платежей в бюджет, за исключением корпоративного подоходного налога</t>
  </si>
  <si>
    <t>26.6</t>
  </si>
  <si>
    <t>неустойка (штраф, пеня)</t>
  </si>
  <si>
    <t>26.7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</si>
  <si>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</si>
  <si>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</si>
  <si>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</si>
  <si>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</si>
  <si>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</si>
  <si>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</si>
  <si>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</si>
  <si>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</si>
  <si>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</si>
  <si>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</si>
  <si>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</si>
  <si>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</si>
  <si>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</si>
  <si>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</si>
  <si>
    <t>355-01-02 вн.206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</si>
</sst>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[$€]* #,##0.00_);_([$€]* \(#,##0.00\);_([$€]* &quot;-&quot;??_);_(@_)"/>
    <numFmt numFmtId="165" formatCode="_(* #,##0.00_);_(* \(#,##0.00\);_(* &quot;-&quot;??_);_(@_)"/>
    <numFmt numFmtId="166" formatCode="_(* #,##0.000_);_(* \(#,##0.000\);_(* &quot;-&quot;??_);_(@_)"/>
    <numFmt numFmtId="167" formatCode="_-* #,##0.00_K_Z_T_-;\-* #,##0.00_K_Z_T_-;_-* &quot;-&quot;??_K_Z_T_-;_-@_-"/>
  </numFmts>
  <fonts count="37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41">
    <xf numFmtId="0" fontId="0" fillId="0" borderId="0"/>
    <xf numFmtId="0" fontId="2" fillId="0" borderId="0"/>
    <xf numFmtId="0" fontId="2" fillId="0" borderId="0"/>
    <xf numFmtId="0" fontId="20" fillId="0" borderId="0"/>
    <xf numFmtId="0" fontId="17" fillId="0" borderId="0"/>
    <xf numFmtId="0" fontId="26" fillId="0" borderId="0"/>
    <xf numFmtId="0" fontId="17" fillId="0" borderId="0"/>
    <xf numFmtId="164" fontId="17" fillId="0" borderId="0" applyFont="0" applyFill="0" applyBorder="0" applyAlignment="0" applyProtection="0"/>
    <xf numFmtId="0" fontId="31" fillId="0" borderId="0">
      <alignment horizontal="left" vertical="top"/>
    </xf>
    <xf numFmtId="0" fontId="31" fillId="0" borderId="0">
      <alignment horizontal="left" vertical="top"/>
    </xf>
    <xf numFmtId="0" fontId="31" fillId="0" borderId="0">
      <alignment horizontal="left" vertical="top"/>
    </xf>
    <xf numFmtId="0" fontId="32" fillId="0" borderId="0">
      <alignment horizontal="center" vertical="top"/>
    </xf>
    <xf numFmtId="0" fontId="33" fillId="0" borderId="0">
      <alignment horizontal="center" vertical="top"/>
    </xf>
    <xf numFmtId="0" fontId="31" fillId="0" borderId="0">
      <alignment horizontal="left" vertical="top"/>
    </xf>
    <xf numFmtId="0" fontId="34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7" fillId="0" borderId="0" applyFont="0" applyFill="0" applyBorder="0" applyAlignment="0" applyProtection="0"/>
  </cellStyleXfs>
  <cellXfs count="144">
    <xf numFmtId="0" fontId="0" fillId="0" borderId="0" xfId="0"/>
    <xf numFmtId="0" fontId="2" fillId="2" borderId="0" xfId="1" applyFont="1" applyFill="1" applyProtection="1">
      <protection locked="0"/>
    </xf>
    <xf numFmtId="0" fontId="3" fillId="2" borderId="0" xfId="1" applyFont="1" applyFill="1" applyAlignment="1" applyProtection="1">
      <alignment horizontal="right" wrapText="1"/>
      <protection locked="0"/>
    </xf>
    <xf numFmtId="0" fontId="3" fillId="2" borderId="0" xfId="1" applyFont="1" applyFill="1" applyAlignment="1">
      <alignment horizontal="right" wrapText="1"/>
    </xf>
    <xf numFmtId="0" fontId="3" fillId="3" borderId="0" xfId="1" applyFont="1" applyFill="1" applyAlignment="1">
      <alignment horizontal="justify" shrinkToFit="1"/>
    </xf>
    <xf numFmtId="0" fontId="3" fillId="2" borderId="0" xfId="1" applyFont="1" applyFill="1" applyAlignment="1" applyProtection="1">
      <alignment horizontal="right" wrapText="1"/>
    </xf>
    <xf numFmtId="0" fontId="4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Protection="1"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8" fillId="2" borderId="0" xfId="1" applyFont="1" applyFill="1" applyProtection="1"/>
    <xf numFmtId="0" fontId="8" fillId="3" borderId="0" xfId="1" applyFont="1" applyFill="1" applyProtection="1"/>
    <xf numFmtId="0" fontId="8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/>
      <protection locked="0"/>
    </xf>
    <xf numFmtId="0" fontId="8" fillId="3" borderId="1" xfId="1" applyFont="1" applyFill="1" applyBorder="1" applyAlignment="1" applyProtection="1">
      <alignment horizontal="center"/>
      <protection locked="0"/>
    </xf>
    <xf numFmtId="0" fontId="9" fillId="2" borderId="1" xfId="1" applyFont="1" applyFill="1" applyBorder="1" applyAlignment="1" applyProtection="1">
      <alignment horizontal="left"/>
    </xf>
    <xf numFmtId="0" fontId="9" fillId="2" borderId="1" xfId="1" applyFont="1" applyFill="1" applyBorder="1" applyAlignment="1" applyProtection="1">
      <alignment horizontal="center"/>
      <protection locked="0"/>
    </xf>
    <xf numFmtId="3" fontId="2" fillId="3" borderId="1" xfId="1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0" fontId="8" fillId="2" borderId="1" xfId="1" applyFont="1" applyFill="1" applyBorder="1" applyAlignment="1" applyProtection="1">
      <alignment horizontal="left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  <protection locked="0"/>
    </xf>
    <xf numFmtId="4" fontId="10" fillId="2" borderId="0" xfId="1" applyNumberFormat="1" applyFont="1" applyFill="1" applyProtection="1">
      <protection locked="0"/>
    </xf>
    <xf numFmtId="0" fontId="11" fillId="2" borderId="1" xfId="1" applyFont="1" applyFill="1" applyBorder="1" applyAlignment="1" applyProtection="1">
      <alignment horizontal="left" wrapText="1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3" fontId="11" fillId="3" borderId="1" xfId="1" applyNumberFormat="1" applyFont="1" applyFill="1" applyBorder="1" applyAlignment="1" applyProtection="1">
      <alignment vertical="top" wrapText="1"/>
      <protection locked="0"/>
    </xf>
    <xf numFmtId="0" fontId="12" fillId="2" borderId="0" xfId="1" applyFont="1" applyFill="1" applyProtection="1">
      <protection locked="0"/>
    </xf>
    <xf numFmtId="4" fontId="13" fillId="2" borderId="0" xfId="1" applyNumberFormat="1" applyFont="1" applyFill="1" applyProtection="1">
      <protection locked="0"/>
    </xf>
    <xf numFmtId="0" fontId="11" fillId="2" borderId="1" xfId="1" quotePrefix="1" applyFont="1" applyFill="1" applyBorder="1" applyAlignment="1" applyProtection="1">
      <alignment horizontal="left" wrapText="1"/>
    </xf>
    <xf numFmtId="49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wrapText="1"/>
    </xf>
    <xf numFmtId="3" fontId="2" fillId="2" borderId="0" xfId="1" applyNumberFormat="1" applyFont="1" applyFill="1" applyProtection="1">
      <protection locked="0"/>
    </xf>
    <xf numFmtId="0" fontId="11" fillId="2" borderId="1" xfId="1" applyFont="1" applyFill="1" applyBorder="1" applyAlignment="1" applyProtection="1">
      <alignment wrapText="1"/>
    </xf>
    <xf numFmtId="3" fontId="12" fillId="2" borderId="0" xfId="1" applyNumberFormat="1" applyFont="1" applyFill="1" applyProtection="1">
      <protection locked="0"/>
    </xf>
    <xf numFmtId="49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0" xfId="1" applyNumberFormat="1" applyFont="1" applyFill="1" applyProtection="1">
      <protection locked="0"/>
    </xf>
    <xf numFmtId="0" fontId="14" fillId="2" borderId="1" xfId="1" applyFont="1" applyFill="1" applyBorder="1" applyAlignment="1" applyProtection="1">
      <protection locked="0"/>
    </xf>
    <xf numFmtId="0" fontId="14" fillId="2" borderId="0" xfId="2" applyFont="1" applyFill="1" applyProtection="1">
      <protection locked="0"/>
    </xf>
    <xf numFmtId="0" fontId="15" fillId="2" borderId="1" xfId="1" applyFont="1" applyFill="1" applyBorder="1" applyAlignment="1" applyProtection="1">
      <protection locked="0"/>
    </xf>
    <xf numFmtId="4" fontId="12" fillId="2" borderId="0" xfId="1" applyNumberFormat="1" applyFont="1" applyFill="1" applyProtection="1">
      <protection locked="0"/>
    </xf>
    <xf numFmtId="0" fontId="16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horizontal="right"/>
    </xf>
    <xf numFmtId="3" fontId="18" fillId="4" borderId="1" xfId="0" applyNumberFormat="1" applyFont="1" applyFill="1" applyBorder="1" applyAlignment="1">
      <alignment horizontal="right" vertical="center"/>
    </xf>
    <xf numFmtId="0" fontId="14" fillId="2" borderId="1" xfId="1" applyFont="1" applyFill="1" applyBorder="1" applyAlignment="1" applyProtection="1">
      <alignment wrapText="1"/>
    </xf>
    <xf numFmtId="3" fontId="9" fillId="2" borderId="1" xfId="1" applyNumberFormat="1" applyFont="1" applyFill="1" applyBorder="1" applyAlignment="1" applyProtection="1">
      <alignment horizontal="right"/>
    </xf>
    <xf numFmtId="0" fontId="16" fillId="2" borderId="1" xfId="1" applyFont="1" applyFill="1" applyBorder="1" applyAlignment="1" applyProtection="1">
      <alignment horizontal="left" wrapText="1"/>
    </xf>
    <xf numFmtId="3" fontId="2" fillId="3" borderId="1" xfId="1" applyNumberFormat="1" applyFont="1" applyFill="1" applyBorder="1" applyAlignment="1" applyProtection="1">
      <alignment vertical="top" wrapText="1"/>
      <protection locked="0"/>
    </xf>
    <xf numFmtId="3" fontId="2" fillId="2" borderId="1" xfId="1" applyNumberFormat="1" applyFont="1" applyFill="1" applyBorder="1" applyAlignment="1" applyProtection="1">
      <alignment vertical="top" wrapText="1"/>
      <protection locked="0"/>
    </xf>
    <xf numFmtId="3" fontId="16" fillId="2" borderId="1" xfId="1" applyNumberFormat="1" applyFont="1" applyFill="1" applyBorder="1" applyAlignment="1" applyProtection="1">
      <alignment vertical="top" wrapText="1"/>
    </xf>
    <xf numFmtId="0" fontId="8" fillId="2" borderId="1" xfId="1" applyFont="1" applyFill="1" applyBorder="1" applyAlignment="1" applyProtection="1">
      <alignment horizontal="justify" wrapText="1"/>
    </xf>
    <xf numFmtId="3" fontId="8" fillId="2" borderId="1" xfId="1" applyNumberFormat="1" applyFont="1" applyFill="1" applyBorder="1" applyAlignment="1" applyProtection="1">
      <alignment vertical="top" wrapText="1"/>
      <protection locked="0"/>
    </xf>
    <xf numFmtId="0" fontId="14" fillId="2" borderId="1" xfId="1" applyFont="1" applyFill="1" applyBorder="1" applyAlignment="1" applyProtection="1">
      <alignment horizontal="left" wrapText="1"/>
    </xf>
    <xf numFmtId="3" fontId="14" fillId="3" borderId="1" xfId="1" applyNumberFormat="1" applyFont="1" applyFill="1" applyBorder="1" applyAlignment="1" applyProtection="1">
      <alignment vertical="top" wrapText="1"/>
      <protection locked="0"/>
    </xf>
    <xf numFmtId="3" fontId="15" fillId="3" borderId="1" xfId="1" applyNumberFormat="1" applyFont="1" applyFill="1" applyBorder="1" applyAlignment="1" applyProtection="1">
      <alignment vertical="top" wrapText="1"/>
      <protection locked="0"/>
    </xf>
    <xf numFmtId="3" fontId="12" fillId="3" borderId="1" xfId="1" applyNumberFormat="1" applyFont="1" applyFill="1" applyBorder="1" applyAlignment="1" applyProtection="1">
      <alignment vertical="top" wrapText="1"/>
      <protection locked="0"/>
    </xf>
    <xf numFmtId="3" fontId="16" fillId="3" borderId="1" xfId="1" applyNumberFormat="1" applyFont="1" applyFill="1" applyBorder="1" applyAlignment="1" applyProtection="1">
      <alignment vertical="top" wrapText="1"/>
      <protection locked="0"/>
    </xf>
    <xf numFmtId="0" fontId="9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vertical="top" wrapText="1"/>
    </xf>
    <xf numFmtId="3" fontId="9" fillId="2" borderId="1" xfId="1" applyNumberFormat="1" applyFont="1" applyFill="1" applyBorder="1" applyAlignment="1" applyProtection="1">
      <alignment vertical="top" wrapText="1"/>
    </xf>
    <xf numFmtId="3" fontId="11" fillId="2" borderId="1" xfId="1" applyNumberFormat="1" applyFont="1" applyFill="1" applyBorder="1" applyAlignment="1" applyProtection="1">
      <alignment vertical="top" wrapText="1"/>
    </xf>
    <xf numFmtId="0" fontId="11" fillId="2" borderId="1" xfId="1" applyFont="1" applyFill="1" applyBorder="1" applyAlignment="1" applyProtection="1">
      <alignment horizontal="justify" wrapText="1"/>
    </xf>
    <xf numFmtId="3" fontId="11" fillId="2" borderId="1" xfId="1" applyNumberFormat="1" applyFont="1" applyFill="1" applyBorder="1" applyAlignment="1" applyProtection="1">
      <alignment vertical="top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</xf>
    <xf numFmtId="3" fontId="8" fillId="2" borderId="1" xfId="1" applyNumberFormat="1" applyFont="1" applyFill="1" applyBorder="1" applyAlignment="1" applyProtection="1">
      <alignment vertical="top" wrapText="1"/>
    </xf>
    <xf numFmtId="0" fontId="15" fillId="2" borderId="1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Protection="1">
      <protection locked="0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Protection="1">
      <protection locked="0"/>
    </xf>
    <xf numFmtId="3" fontId="19" fillId="2" borderId="0" xfId="1" applyNumberFormat="1" applyFont="1" applyFill="1" applyProtection="1">
      <protection locked="0"/>
    </xf>
    <xf numFmtId="0" fontId="14" fillId="2" borderId="0" xfId="1" applyFont="1" applyFill="1" applyAlignment="1">
      <alignment horizontal="left"/>
    </xf>
    <xf numFmtId="3" fontId="19" fillId="3" borderId="0" xfId="1" applyNumberFormat="1" applyFont="1" applyFill="1" applyProtection="1">
      <protection locked="0"/>
    </xf>
    <xf numFmtId="49" fontId="14" fillId="2" borderId="0" xfId="3" applyNumberFormat="1" applyFont="1" applyFill="1" applyProtection="1">
      <protection locked="0"/>
    </xf>
    <xf numFmtId="0" fontId="9" fillId="0" borderId="0" xfId="4" applyFont="1" applyFill="1" applyAlignment="1"/>
    <xf numFmtId="0" fontId="9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14" fontId="8" fillId="2" borderId="0" xfId="0" applyNumberFormat="1" applyFont="1" applyFill="1" applyProtection="1">
      <protection locked="0"/>
    </xf>
    <xf numFmtId="0" fontId="16" fillId="2" borderId="0" xfId="0" applyFont="1" applyFill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16" fontId="8" fillId="2" borderId="0" xfId="0" applyNumberFormat="1" applyFont="1" applyFill="1" applyProtection="1">
      <protection locked="0"/>
    </xf>
    <xf numFmtId="0" fontId="16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3" borderId="0" xfId="1" applyFont="1" applyFill="1" applyAlignment="1" applyProtection="1">
      <alignment horizontal="center"/>
    </xf>
    <xf numFmtId="0" fontId="2" fillId="3" borderId="0" xfId="1" applyFont="1" applyFill="1" applyProtection="1"/>
    <xf numFmtId="3" fontId="20" fillId="3" borderId="1" xfId="1" applyNumberFormat="1" applyFont="1" applyFill="1" applyBorder="1" applyAlignment="1" applyProtection="1">
      <alignment vertical="top"/>
    </xf>
    <xf numFmtId="3" fontId="20" fillId="3" borderId="1" xfId="1" applyNumberFormat="1" applyFont="1" applyFill="1" applyBorder="1" applyProtection="1">
      <protection locked="0"/>
    </xf>
    <xf numFmtId="3" fontId="24" fillId="3" borderId="1" xfId="1" applyNumberFormat="1" applyFont="1" applyFill="1" applyBorder="1" applyAlignment="1" applyProtection="1">
      <alignment vertical="top"/>
    </xf>
    <xf numFmtId="3" fontId="24" fillId="3" borderId="1" xfId="1" applyNumberFormat="1" applyFont="1" applyFill="1" applyBorder="1" applyAlignment="1" applyProtection="1">
      <alignment vertical="top"/>
      <protection locked="0"/>
    </xf>
    <xf numFmtId="3" fontId="24" fillId="3" borderId="1" xfId="1" applyNumberFormat="1" applyFont="1" applyFill="1" applyBorder="1" applyProtection="1">
      <protection locked="0"/>
    </xf>
    <xf numFmtId="0" fontId="24" fillId="3" borderId="1" xfId="1" applyFont="1" applyFill="1" applyBorder="1" applyProtection="1">
      <protection locked="0"/>
    </xf>
    <xf numFmtId="3" fontId="25" fillId="3" borderId="1" xfId="1" applyNumberFormat="1" applyFont="1" applyFill="1" applyBorder="1" applyProtection="1">
      <protection locked="0"/>
    </xf>
    <xf numFmtId="3" fontId="20" fillId="3" borderId="1" xfId="1" applyNumberFormat="1" applyFont="1" applyFill="1" applyBorder="1" applyProtection="1"/>
    <xf numFmtId="0" fontId="20" fillId="3" borderId="1" xfId="1" applyFont="1" applyFill="1" applyBorder="1" applyProtection="1">
      <protection locked="0"/>
    </xf>
    <xf numFmtId="0" fontId="29" fillId="3" borderId="0" xfId="6" applyFont="1" applyFill="1" applyProtection="1">
      <protection locked="0"/>
    </xf>
    <xf numFmtId="14" fontId="29" fillId="3" borderId="0" xfId="6" applyNumberFormat="1" applyFont="1" applyFill="1" applyProtection="1">
      <protection locked="0"/>
    </xf>
    <xf numFmtId="0" fontId="8" fillId="3" borderId="0" xfId="6" applyFont="1" applyFill="1" applyProtection="1">
      <protection locked="0"/>
    </xf>
    <xf numFmtId="0" fontId="21" fillId="3" borderId="0" xfId="1" applyFont="1" applyFill="1" applyAlignment="1" applyProtection="1">
      <alignment horizontal="right" wrapText="1"/>
      <protection locked="0"/>
    </xf>
    <xf numFmtId="0" fontId="21" fillId="3" borderId="0" xfId="1" applyFont="1" applyFill="1" applyAlignment="1">
      <alignment horizontal="right" wrapText="1"/>
    </xf>
    <xf numFmtId="0" fontId="21" fillId="3" borderId="0" xfId="1" applyFont="1" applyFill="1" applyAlignment="1" applyProtection="1">
      <alignment horizontal="right" wrapText="1"/>
    </xf>
    <xf numFmtId="0" fontId="4" fillId="3" borderId="0" xfId="1" applyFont="1" applyFill="1" applyAlignment="1" applyProtection="1">
      <alignment horizontal="center"/>
      <protection locked="0"/>
    </xf>
    <xf numFmtId="0" fontId="5" fillId="3" borderId="0" xfId="1" applyFont="1" applyFill="1" applyProtection="1">
      <protection locked="0"/>
    </xf>
    <xf numFmtId="0" fontId="6" fillId="3" borderId="0" xfId="1" applyFont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  <protection locked="0"/>
    </xf>
    <xf numFmtId="0" fontId="22" fillId="3" borderId="0" xfId="1" applyFont="1" applyFill="1" applyAlignment="1" applyProtection="1">
      <alignment horizontal="center"/>
      <protection locked="0"/>
    </xf>
    <xf numFmtId="0" fontId="14" fillId="3" borderId="0" xfId="1" applyFont="1" applyFill="1" applyAlignment="1" applyProtection="1">
      <alignment horizontal="center"/>
      <protection locked="0"/>
    </xf>
    <xf numFmtId="0" fontId="8" fillId="3" borderId="0" xfId="1" applyFont="1" applyFill="1" applyAlignment="1" applyProtection="1">
      <alignment horizontal="right"/>
    </xf>
    <xf numFmtId="0" fontId="2" fillId="3" borderId="2" xfId="1" applyFont="1" applyFill="1" applyBorder="1" applyAlignment="1" applyProtection="1">
      <alignment horizontal="center"/>
      <protection locked="0"/>
    </xf>
    <xf numFmtId="0" fontId="2" fillId="3" borderId="0" xfId="1" applyFont="1" applyFill="1" applyAlignment="1" applyProtection="1">
      <alignment horizontal="center"/>
      <protection locked="0"/>
    </xf>
    <xf numFmtId="0" fontId="20" fillId="3" borderId="3" xfId="1" applyFont="1" applyFill="1" applyBorder="1" applyAlignment="1" applyProtection="1">
      <alignment vertical="top" wrapText="1"/>
    </xf>
    <xf numFmtId="0" fontId="20" fillId="3" borderId="4" xfId="1" applyFont="1" applyFill="1" applyBorder="1" applyAlignment="1" applyProtection="1">
      <alignment horizontal="center" vertical="top" wrapText="1"/>
      <protection locked="0"/>
    </xf>
    <xf numFmtId="3" fontId="14" fillId="3" borderId="0" xfId="2" applyNumberFormat="1" applyFont="1" applyFill="1" applyProtection="1">
      <protection locked="0"/>
    </xf>
    <xf numFmtId="0" fontId="23" fillId="3" borderId="0" xfId="2" applyFont="1" applyFill="1" applyAlignment="1" applyProtection="1">
      <alignment wrapText="1" shrinkToFit="1"/>
      <protection locked="0"/>
    </xf>
    <xf numFmtId="0" fontId="14" fillId="3" borderId="0" xfId="2" applyFont="1" applyFill="1" applyProtection="1">
      <protection locked="0"/>
    </xf>
    <xf numFmtId="49" fontId="20" fillId="3" borderId="4" xfId="1" applyNumberFormat="1" applyFont="1" applyFill="1" applyBorder="1" applyAlignment="1" applyProtection="1">
      <alignment horizontal="center" vertical="top" wrapText="1"/>
      <protection locked="0"/>
    </xf>
    <xf numFmtId="0" fontId="24" fillId="3" borderId="3" xfId="1" applyFont="1" applyFill="1" applyBorder="1" applyAlignment="1" applyProtection="1">
      <alignment vertical="top" wrapText="1"/>
    </xf>
    <xf numFmtId="0" fontId="24" fillId="3" borderId="4" xfId="1" applyFont="1" applyFill="1" applyBorder="1" applyAlignment="1" applyProtection="1">
      <alignment horizontal="center" vertical="top" wrapText="1"/>
      <protection locked="0"/>
    </xf>
    <xf numFmtId="0" fontId="15" fillId="3" borderId="0" xfId="2" applyFont="1" applyFill="1" applyProtection="1">
      <protection locked="0"/>
    </xf>
    <xf numFmtId="0" fontId="12" fillId="3" borderId="0" xfId="1" applyFont="1" applyFill="1" applyProtection="1">
      <protection locked="0"/>
    </xf>
    <xf numFmtId="3" fontId="20" fillId="3" borderId="1" xfId="1" applyNumberFormat="1" applyFont="1" applyFill="1" applyBorder="1" applyAlignment="1" applyProtection="1"/>
    <xf numFmtId="4" fontId="14" fillId="3" borderId="0" xfId="2" applyNumberFormat="1" applyFont="1" applyFill="1" applyProtection="1">
      <protection locked="0"/>
    </xf>
    <xf numFmtId="4" fontId="15" fillId="3" borderId="0" xfId="2" applyNumberFormat="1" applyFont="1" applyFill="1" applyProtection="1">
      <protection locked="0"/>
    </xf>
    <xf numFmtId="49" fontId="24" fillId="3" borderId="4" xfId="1" applyNumberFormat="1" applyFont="1" applyFill="1" applyBorder="1" applyAlignment="1" applyProtection="1">
      <alignment horizontal="center" vertical="top" wrapText="1"/>
      <protection locked="0"/>
    </xf>
    <xf numFmtId="3" fontId="2" fillId="3" borderId="0" xfId="1" applyNumberFormat="1" applyFont="1" applyFill="1" applyProtection="1">
      <protection locked="0"/>
    </xf>
    <xf numFmtId="49" fontId="20" fillId="3" borderId="5" xfId="1" applyNumberFormat="1" applyFont="1" applyFill="1" applyBorder="1" applyAlignment="1" applyProtection="1">
      <alignment horizontal="center" vertical="top" wrapText="1"/>
      <protection locked="0"/>
    </xf>
    <xf numFmtId="0" fontId="25" fillId="3" borderId="3" xfId="1" applyFont="1" applyFill="1" applyBorder="1" applyAlignment="1" applyProtection="1">
      <alignment vertical="top" wrapText="1"/>
    </xf>
    <xf numFmtId="49" fontId="24" fillId="3" borderId="5" xfId="1" applyNumberFormat="1" applyFont="1" applyFill="1" applyBorder="1" applyAlignment="1" applyProtection="1">
      <alignment horizontal="center" vertical="top" wrapText="1"/>
      <protection locked="0"/>
    </xf>
    <xf numFmtId="0" fontId="20" fillId="3" borderId="1" xfId="1" applyFont="1" applyFill="1" applyBorder="1" applyAlignment="1" applyProtection="1">
      <alignment vertical="top" wrapText="1"/>
    </xf>
    <xf numFmtId="49" fontId="20" fillId="3" borderId="1" xfId="1" applyNumberFormat="1" applyFont="1" applyFill="1" applyBorder="1" applyAlignment="1" applyProtection="1">
      <alignment horizontal="center"/>
      <protection locked="0"/>
    </xf>
    <xf numFmtId="0" fontId="25" fillId="3" borderId="1" xfId="1" applyFont="1" applyFill="1" applyBorder="1" applyAlignment="1" applyProtection="1">
      <alignment vertical="top" wrapText="1"/>
    </xf>
    <xf numFmtId="4" fontId="27" fillId="3" borderId="6" xfId="5" applyNumberFormat="1" applyFont="1" applyFill="1" applyBorder="1" applyAlignment="1">
      <alignment horizontal="right" vertical="top" wrapText="1"/>
    </xf>
    <xf numFmtId="0" fontId="27" fillId="3" borderId="6" xfId="5" applyNumberFormat="1" applyFont="1" applyFill="1" applyBorder="1" applyAlignment="1">
      <alignment horizontal="right" vertical="top" wrapText="1"/>
    </xf>
    <xf numFmtId="0" fontId="14" fillId="3" borderId="0" xfId="1" applyFont="1" applyFill="1" applyAlignment="1" applyProtection="1">
      <alignment horizontal="left" wrapText="1"/>
      <protection locked="0"/>
    </xf>
    <xf numFmtId="0" fontId="14" fillId="3" borderId="0" xfId="1" applyFont="1" applyFill="1" applyAlignment="1" applyProtection="1">
      <alignment horizontal="left" wrapText="1"/>
      <protection locked="0"/>
    </xf>
    <xf numFmtId="0" fontId="25" fillId="3" borderId="0" xfId="6" applyFont="1" applyFill="1" applyAlignment="1" applyProtection="1">
      <protection locked="0"/>
    </xf>
    <xf numFmtId="0" fontId="28" fillId="3" borderId="0" xfId="6" applyFont="1" applyFill="1" applyProtection="1">
      <protection locked="0"/>
    </xf>
    <xf numFmtId="0" fontId="30" fillId="3" borderId="0" xfId="1" applyFont="1" applyFill="1" applyProtection="1">
      <protection locked="0"/>
    </xf>
    <xf numFmtId="3" fontId="30" fillId="3" borderId="0" xfId="1" applyNumberFormat="1" applyFont="1" applyFill="1" applyProtection="1">
      <protection locked="0"/>
    </xf>
    <xf numFmtId="0" fontId="16" fillId="3" borderId="0" xfId="6" applyFont="1" applyFill="1" applyAlignment="1" applyProtection="1">
      <alignment wrapText="1"/>
      <protection locked="0"/>
    </xf>
    <xf numFmtId="0" fontId="9" fillId="3" borderId="0" xfId="6" applyFont="1" applyFill="1" applyProtection="1">
      <protection locked="0"/>
    </xf>
    <xf numFmtId="0" fontId="8" fillId="3" borderId="0" xfId="6" applyFont="1" applyFill="1" applyAlignment="1" applyProtection="1">
      <alignment wrapText="1"/>
      <protection locked="0"/>
    </xf>
    <xf numFmtId="49" fontId="14" fillId="3" borderId="0" xfId="3" applyNumberFormat="1" applyFont="1" applyFill="1" applyProtection="1">
      <protection locked="0"/>
    </xf>
  </cellXfs>
  <cellStyles count="41">
    <cellStyle name="Euro" xfId="7"/>
    <cellStyle name="S0" xfId="8"/>
    <cellStyle name="S1" xfId="9"/>
    <cellStyle name="S19" xfId="10"/>
    <cellStyle name="S2" xfId="11"/>
    <cellStyle name="S3" xfId="12"/>
    <cellStyle name="S8" xfId="13"/>
    <cellStyle name="Гиперссылка 2" xfId="14"/>
    <cellStyle name="Обычный" xfId="0" builtinId="0"/>
    <cellStyle name="Обычный 2" xfId="6"/>
    <cellStyle name="Обычный 2 2" xfId="15"/>
    <cellStyle name="Обычный 2 3" xfId="16"/>
    <cellStyle name="Обычный 2 4" xfId="17"/>
    <cellStyle name="Обычный 3" xfId="4"/>
    <cellStyle name="Обычный 3 2" xfId="18"/>
    <cellStyle name="Обычный 4" xfId="19"/>
    <cellStyle name="Обычный 5" xfId="20"/>
    <cellStyle name="Обычный_I0000609Айнаш" xfId="1"/>
    <cellStyle name="Обычный_I0000709" xfId="2"/>
    <cellStyle name="Обычный_Приложения к Правилам по ИК_рус" xfId="3"/>
    <cellStyle name="Обычный_ф2" xfId="5"/>
    <cellStyle name="Процентный 2" xfId="21"/>
    <cellStyle name="Процентный 3" xfId="22"/>
    <cellStyle name="Стиль 1" xfId="23"/>
    <cellStyle name="Финансовый 2" xfId="24"/>
    <cellStyle name="Финансовый 2 2" xfId="25"/>
    <cellStyle name="Финансовый 2 3" xfId="26"/>
    <cellStyle name="Финансовый 2 4" xfId="27"/>
    <cellStyle name="Финансовый 2 5" xfId="28"/>
    <cellStyle name="Финансовый 2 6" xfId="29"/>
    <cellStyle name="Финансовый 3" xfId="30"/>
    <cellStyle name="Финансовый 3 2" xfId="31"/>
    <cellStyle name="Финансовый 3 2 2" xfId="32"/>
    <cellStyle name="Финансовый 3 2 3" xfId="33"/>
    <cellStyle name="Финансовый 4" xfId="34"/>
    <cellStyle name="Финансовый 5" xfId="35"/>
    <cellStyle name="Финансовый 6" xfId="36"/>
    <cellStyle name="Финансовый 7" xfId="37"/>
    <cellStyle name="Финансовый 8" xfId="38"/>
    <cellStyle name="Финансовый 8 2" xfId="39"/>
    <cellStyle name="Финансовый 9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86;&#1083;&#1087;&#1072;&#1085;\09%20&#1053;&#1041;&#1056;&#1050;\&#1041;&#1058;&#1040;&#1057;_K1_01.10.2017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иложение 4"/>
      <sheetName val="Приложение 5"/>
      <sheetName val="8 пр УИП БД (2)"/>
      <sheetName val="Пруд УИП БД (2)"/>
      <sheetName val="оборотка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ф1-2-3-4-5"/>
      <sheetName val="ПРИЛ3"/>
      <sheetName val="ПРИЛ4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131"/>
  <sheetViews>
    <sheetView view="pageBreakPreview" zoomScale="85" zoomScaleSheetLayoutView="85" workbookViewId="0">
      <selection activeCell="A129" sqref="A129"/>
    </sheetView>
  </sheetViews>
  <sheetFormatPr defaultRowHeight="12.75"/>
  <cols>
    <col min="1" max="1" width="77" style="1" customWidth="1"/>
    <col min="2" max="2" width="12.140625" style="1" customWidth="1"/>
    <col min="3" max="3" width="15.85546875" style="70" customWidth="1"/>
    <col min="4" max="4" width="17.7109375" style="1" customWidth="1"/>
    <col min="5" max="5" width="19" style="1" customWidth="1"/>
    <col min="6" max="6" width="15.7109375" style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>
      <c r="C1" s="2" t="s">
        <v>0</v>
      </c>
      <c r="D1" s="3"/>
    </row>
    <row r="2" spans="1:7" ht="21" customHeight="1">
      <c r="C2" s="4"/>
      <c r="D2" s="5" t="s">
        <v>1</v>
      </c>
    </row>
    <row r="3" spans="1:7" s="7" customFormat="1" ht="14.25">
      <c r="A3" s="6" t="s">
        <v>2</v>
      </c>
      <c r="B3" s="6"/>
      <c r="C3" s="6"/>
      <c r="D3" s="6"/>
    </row>
    <row r="4" spans="1:7" s="7" customFormat="1" ht="14.25">
      <c r="A4" s="8" t="s">
        <v>3</v>
      </c>
      <c r="B4" s="8"/>
      <c r="C4" s="8"/>
      <c r="D4" s="8"/>
    </row>
    <row r="5" spans="1:7" s="7" customFormat="1" ht="15">
      <c r="A5" s="9" t="s">
        <v>4</v>
      </c>
      <c r="B5" s="9"/>
      <c r="C5" s="9"/>
      <c r="D5" s="9"/>
    </row>
    <row r="6" spans="1:7" s="7" customFormat="1" ht="15">
      <c r="A6" s="9" t="s">
        <v>5</v>
      </c>
      <c r="B6" s="9"/>
      <c r="C6" s="9"/>
      <c r="D6" s="9"/>
    </row>
    <row r="7" spans="1:7" s="13" customFormat="1">
      <c r="A7" s="10"/>
      <c r="B7" s="10"/>
      <c r="C7" s="11"/>
      <c r="D7" s="12" t="s">
        <v>6</v>
      </c>
    </row>
    <row r="8" spans="1:7" ht="38.25">
      <c r="A8" s="14" t="s">
        <v>7</v>
      </c>
      <c r="B8" s="14" t="s">
        <v>8</v>
      </c>
      <c r="C8" s="15" t="s">
        <v>9</v>
      </c>
      <c r="D8" s="14" t="s">
        <v>10</v>
      </c>
    </row>
    <row r="9" spans="1:7">
      <c r="A9" s="16">
        <v>1</v>
      </c>
      <c r="B9" s="16">
        <v>2</v>
      </c>
      <c r="C9" s="17">
        <v>3</v>
      </c>
      <c r="D9" s="16">
        <v>4</v>
      </c>
    </row>
    <row r="10" spans="1:7">
      <c r="A10" s="18" t="s">
        <v>11</v>
      </c>
      <c r="B10" s="19"/>
      <c r="C10" s="20"/>
      <c r="D10" s="21"/>
    </row>
    <row r="11" spans="1:7">
      <c r="A11" s="22" t="s">
        <v>12</v>
      </c>
      <c r="B11" s="23">
        <v>1</v>
      </c>
      <c r="C11" s="24">
        <f>C13+C14</f>
        <v>903951</v>
      </c>
      <c r="D11" s="24">
        <f>D13+D14</f>
        <v>2976464</v>
      </c>
      <c r="G11" s="25">
        <v>19839.419999999998</v>
      </c>
    </row>
    <row r="12" spans="1:7" s="29" customFormat="1">
      <c r="A12" s="26" t="s">
        <v>13</v>
      </c>
      <c r="B12" s="27"/>
      <c r="C12" s="28"/>
      <c r="D12" s="28"/>
      <c r="G12" s="30">
        <v>11694178.85</v>
      </c>
    </row>
    <row r="13" spans="1:7" s="29" customFormat="1">
      <c r="A13" s="31" t="s">
        <v>14</v>
      </c>
      <c r="B13" s="32" t="s">
        <v>15</v>
      </c>
      <c r="C13" s="28">
        <v>0</v>
      </c>
      <c r="D13" s="28">
        <v>0</v>
      </c>
      <c r="G13" s="30"/>
    </row>
    <row r="14" spans="1:7" s="29" customFormat="1" ht="25.5">
      <c r="A14" s="26" t="s">
        <v>16</v>
      </c>
      <c r="B14" s="32" t="s">
        <v>17</v>
      </c>
      <c r="C14" s="28">
        <v>903951</v>
      </c>
      <c r="D14" s="28">
        <v>2976464</v>
      </c>
      <c r="G14" s="30">
        <v>14814226580.91</v>
      </c>
    </row>
    <row r="15" spans="1:7">
      <c r="A15" s="33" t="s">
        <v>18</v>
      </c>
      <c r="B15" s="23">
        <v>2</v>
      </c>
      <c r="C15" s="24"/>
      <c r="D15" s="24"/>
      <c r="G15" s="25"/>
    </row>
    <row r="16" spans="1:7">
      <c r="A16" s="33" t="s">
        <v>19</v>
      </c>
      <c r="B16" s="23">
        <v>3</v>
      </c>
      <c r="C16" s="24">
        <v>1035687</v>
      </c>
      <c r="D16" s="24"/>
      <c r="E16" s="1" t="s">
        <v>20</v>
      </c>
      <c r="F16" s="34">
        <v>541609</v>
      </c>
    </row>
    <row r="17" spans="1:8" s="29" customFormat="1">
      <c r="A17" s="35" t="s">
        <v>21</v>
      </c>
      <c r="B17" s="27"/>
      <c r="C17" s="28"/>
      <c r="D17" s="28"/>
      <c r="G17" s="30"/>
    </row>
    <row r="18" spans="1:8" s="29" customFormat="1">
      <c r="A18" s="35" t="s">
        <v>22</v>
      </c>
      <c r="B18" s="32" t="s">
        <v>23</v>
      </c>
      <c r="C18" s="28">
        <v>14474</v>
      </c>
      <c r="D18" s="28">
        <v>0</v>
      </c>
      <c r="G18" s="30"/>
    </row>
    <row r="19" spans="1:8">
      <c r="A19" s="33" t="s">
        <v>24</v>
      </c>
      <c r="B19" s="23">
        <v>4</v>
      </c>
      <c r="C19" s="24">
        <v>14004</v>
      </c>
      <c r="D19" s="24">
        <v>3188888</v>
      </c>
      <c r="E19" s="1" t="s">
        <v>25</v>
      </c>
      <c r="F19" s="34"/>
      <c r="H19" s="34"/>
    </row>
    <row r="20" spans="1:8" s="29" customFormat="1">
      <c r="A20" s="35" t="s">
        <v>21</v>
      </c>
      <c r="B20" s="32"/>
      <c r="C20" s="28"/>
      <c r="D20" s="28"/>
      <c r="G20" s="30"/>
    </row>
    <row r="21" spans="1:8" s="29" customFormat="1">
      <c r="A21" s="35" t="s">
        <v>22</v>
      </c>
      <c r="B21" s="32" t="s">
        <v>26</v>
      </c>
      <c r="C21" s="28">
        <v>4</v>
      </c>
      <c r="D21" s="28">
        <v>2887</v>
      </c>
      <c r="G21" s="30"/>
    </row>
    <row r="22" spans="1:8" ht="25.5">
      <c r="A22" s="33" t="s">
        <v>27</v>
      </c>
      <c r="B22" s="23">
        <v>5</v>
      </c>
      <c r="C22" s="24">
        <v>2528669</v>
      </c>
      <c r="D22" s="24">
        <v>6251315</v>
      </c>
      <c r="E22" s="1" t="s">
        <v>28</v>
      </c>
      <c r="F22" s="34" t="e">
        <f>C22-#REF!</f>
        <v>#REF!</v>
      </c>
      <c r="G22" s="25"/>
    </row>
    <row r="23" spans="1:8">
      <c r="A23" s="35" t="s">
        <v>21</v>
      </c>
      <c r="B23" s="23"/>
      <c r="C23" s="24"/>
      <c r="D23" s="24"/>
      <c r="F23" s="34"/>
      <c r="G23" s="25"/>
    </row>
    <row r="24" spans="1:8" s="29" customFormat="1">
      <c r="A24" s="35" t="s">
        <v>22</v>
      </c>
      <c r="B24" s="32" t="s">
        <v>29</v>
      </c>
      <c r="C24" s="28">
        <v>73039</v>
      </c>
      <c r="D24" s="28">
        <v>61153</v>
      </c>
      <c r="F24" s="36"/>
      <c r="G24" s="30"/>
    </row>
    <row r="25" spans="1:8">
      <c r="A25" s="33" t="s">
        <v>30</v>
      </c>
      <c r="B25" s="23">
        <v>6</v>
      </c>
      <c r="C25" s="24">
        <v>5807451</v>
      </c>
      <c r="D25" s="24">
        <v>561718</v>
      </c>
      <c r="E25" s="1" t="s">
        <v>31</v>
      </c>
      <c r="F25" s="34" t="e">
        <f>C25-#REF!</f>
        <v>#REF!</v>
      </c>
    </row>
    <row r="26" spans="1:8" s="29" customFormat="1">
      <c r="A26" s="35" t="s">
        <v>21</v>
      </c>
      <c r="B26" s="32"/>
      <c r="C26" s="28"/>
      <c r="D26" s="28"/>
      <c r="F26" s="36"/>
      <c r="G26" s="30"/>
    </row>
    <row r="27" spans="1:8" s="29" customFormat="1">
      <c r="A27" s="35" t="s">
        <v>22</v>
      </c>
      <c r="B27" s="32" t="s">
        <v>32</v>
      </c>
      <c r="C27" s="28">
        <v>81451</v>
      </c>
      <c r="D27" s="28">
        <v>0</v>
      </c>
      <c r="F27" s="36"/>
      <c r="G27" s="30"/>
    </row>
    <row r="28" spans="1:8">
      <c r="A28" s="33" t="s">
        <v>33</v>
      </c>
      <c r="B28" s="37" t="s">
        <v>34</v>
      </c>
      <c r="C28" s="24">
        <v>3545041</v>
      </c>
      <c r="D28" s="24"/>
      <c r="E28" s="1" t="s">
        <v>35</v>
      </c>
    </row>
    <row r="29" spans="1:8" s="29" customFormat="1">
      <c r="A29" s="35" t="s">
        <v>21</v>
      </c>
      <c r="B29" s="32"/>
      <c r="C29" s="28"/>
      <c r="D29" s="28"/>
      <c r="F29" s="36"/>
      <c r="G29" s="30"/>
    </row>
    <row r="30" spans="1:8" s="29" customFormat="1">
      <c r="A30" s="35" t="s">
        <v>22</v>
      </c>
      <c r="B30" s="32" t="s">
        <v>36</v>
      </c>
      <c r="C30" s="28">
        <v>68579</v>
      </c>
      <c r="D30" s="28"/>
      <c r="F30" s="36"/>
      <c r="G30" s="30"/>
    </row>
    <row r="31" spans="1:8">
      <c r="A31" s="33" t="s">
        <v>37</v>
      </c>
      <c r="B31" s="23">
        <v>8</v>
      </c>
      <c r="C31" s="24"/>
      <c r="D31" s="24"/>
      <c r="F31" s="34">
        <f>C22+C52+C55</f>
        <v>2528669</v>
      </c>
      <c r="H31" s="38">
        <v>33253</v>
      </c>
    </row>
    <row r="32" spans="1:8">
      <c r="A32" s="33" t="s">
        <v>38</v>
      </c>
      <c r="B32" s="23">
        <v>9</v>
      </c>
      <c r="C32" s="24">
        <v>0</v>
      </c>
      <c r="D32" s="24">
        <v>1640188</v>
      </c>
      <c r="E32" s="1" t="s">
        <v>39</v>
      </c>
      <c r="H32" s="38"/>
    </row>
    <row r="33" spans="1:8">
      <c r="A33" s="33" t="s">
        <v>40</v>
      </c>
      <c r="B33" s="23">
        <v>10</v>
      </c>
      <c r="C33" s="24">
        <v>1306</v>
      </c>
      <c r="D33" s="24">
        <v>832</v>
      </c>
      <c r="H33" s="38"/>
    </row>
    <row r="34" spans="1:8">
      <c r="A34" s="33" t="s">
        <v>41</v>
      </c>
      <c r="B34" s="23">
        <v>11</v>
      </c>
      <c r="C34" s="24"/>
      <c r="D34" s="24"/>
      <c r="H34" s="38">
        <v>5575585.3700000001</v>
      </c>
    </row>
    <row r="35" spans="1:8">
      <c r="A35" s="39" t="s">
        <v>42</v>
      </c>
      <c r="B35" s="23">
        <v>12</v>
      </c>
      <c r="C35" s="24">
        <v>4001</v>
      </c>
      <c r="D35" s="24">
        <v>3024</v>
      </c>
      <c r="H35" s="38">
        <v>8857890</v>
      </c>
    </row>
    <row r="36" spans="1:8">
      <c r="A36" s="33" t="s">
        <v>43</v>
      </c>
      <c r="B36" s="23">
        <v>13</v>
      </c>
      <c r="C36" s="24">
        <v>0</v>
      </c>
      <c r="D36" s="24">
        <v>0</v>
      </c>
      <c r="H36" s="38"/>
    </row>
    <row r="37" spans="1:8">
      <c r="A37" s="33" t="s">
        <v>44</v>
      </c>
      <c r="B37" s="23">
        <v>14</v>
      </c>
      <c r="C37" s="24">
        <v>493274</v>
      </c>
      <c r="D37" s="24">
        <f>33746-D38-D18-D21</f>
        <v>18563</v>
      </c>
      <c r="H37" s="38"/>
    </row>
    <row r="38" spans="1:8">
      <c r="A38" s="33" t="s">
        <v>45</v>
      </c>
      <c r="B38" s="23">
        <v>15</v>
      </c>
      <c r="C38" s="24">
        <v>11075</v>
      </c>
      <c r="D38" s="24">
        <f>SUM(D40,D43:D50)</f>
        <v>12296</v>
      </c>
      <c r="E38" s="40" t="b">
        <f>C38&gt;=C48+C49</f>
        <v>1</v>
      </c>
      <c r="F38" s="40" t="b">
        <f>D38&gt;=D48+D49</f>
        <v>1</v>
      </c>
      <c r="H38" s="38">
        <f>42961599.99-H39</f>
        <v>30896322.220000003</v>
      </c>
    </row>
    <row r="39" spans="1:8" s="29" customFormat="1">
      <c r="A39" s="41" t="s">
        <v>21</v>
      </c>
      <c r="B39" s="27"/>
      <c r="C39" s="28"/>
      <c r="D39" s="28"/>
      <c r="H39" s="29">
        <v>12065277.77</v>
      </c>
    </row>
    <row r="40" spans="1:8" s="29" customFormat="1">
      <c r="A40" s="41" t="s">
        <v>46</v>
      </c>
      <c r="B40" s="32" t="s">
        <v>47</v>
      </c>
      <c r="C40" s="28"/>
      <c r="D40" s="28"/>
    </row>
    <row r="41" spans="1:8" s="29" customFormat="1">
      <c r="A41" s="41" t="s">
        <v>48</v>
      </c>
      <c r="B41" s="32" t="s">
        <v>49</v>
      </c>
      <c r="C41" s="28"/>
      <c r="D41" s="28"/>
    </row>
    <row r="42" spans="1:8" s="29" customFormat="1">
      <c r="A42" s="41" t="s">
        <v>50</v>
      </c>
      <c r="B42" s="32" t="s">
        <v>51</v>
      </c>
      <c r="C42" s="28"/>
      <c r="D42" s="28"/>
    </row>
    <row r="43" spans="1:8" s="29" customFormat="1">
      <c r="A43" s="41" t="s">
        <v>52</v>
      </c>
      <c r="B43" s="32" t="s">
        <v>53</v>
      </c>
      <c r="C43" s="28">
        <v>310</v>
      </c>
      <c r="D43" s="28">
        <v>120</v>
      </c>
      <c r="F43" s="42">
        <v>22601529.109999999</v>
      </c>
      <c r="G43" s="29" t="s">
        <v>54</v>
      </c>
    </row>
    <row r="44" spans="1:8" s="29" customFormat="1">
      <c r="A44" s="41" t="s">
        <v>55</v>
      </c>
      <c r="B44" s="32" t="s">
        <v>56</v>
      </c>
      <c r="C44" s="28"/>
      <c r="D44" s="28"/>
      <c r="F44" s="42"/>
      <c r="G44" s="29" t="s">
        <v>54</v>
      </c>
    </row>
    <row r="45" spans="1:8" s="29" customFormat="1">
      <c r="A45" s="41" t="s">
        <v>57</v>
      </c>
      <c r="B45" s="32" t="s">
        <v>58</v>
      </c>
      <c r="C45" s="28">
        <f>C38-C43-C46</f>
        <v>10346</v>
      </c>
      <c r="D45" s="28">
        <v>11757</v>
      </c>
      <c r="F45" s="42">
        <v>33253</v>
      </c>
      <c r="G45" s="29" t="s">
        <v>54</v>
      </c>
    </row>
    <row r="46" spans="1:8" s="29" customFormat="1">
      <c r="A46" s="41" t="s">
        <v>59</v>
      </c>
      <c r="B46" s="32" t="s">
        <v>60</v>
      </c>
      <c r="C46" s="28">
        <v>419</v>
      </c>
      <c r="D46" s="28">
        <v>419</v>
      </c>
      <c r="F46" s="42"/>
      <c r="G46" s="29" t="s">
        <v>54</v>
      </c>
    </row>
    <row r="47" spans="1:8" s="29" customFormat="1">
      <c r="A47" s="41" t="s">
        <v>61</v>
      </c>
      <c r="B47" s="32" t="s">
        <v>62</v>
      </c>
      <c r="C47" s="28"/>
      <c r="D47" s="28"/>
      <c r="F47" s="42"/>
      <c r="G47" s="29" t="s">
        <v>54</v>
      </c>
    </row>
    <row r="48" spans="1:8" s="29" customFormat="1">
      <c r="A48" s="41" t="s">
        <v>63</v>
      </c>
      <c r="B48" s="32" t="s">
        <v>64</v>
      </c>
      <c r="C48" s="28"/>
      <c r="D48" s="28"/>
      <c r="F48" s="42">
        <v>5575585.3700000001</v>
      </c>
      <c r="G48" s="29" t="s">
        <v>54</v>
      </c>
    </row>
    <row r="49" spans="1:8" s="29" customFormat="1">
      <c r="A49" s="35" t="s">
        <v>65</v>
      </c>
      <c r="B49" s="32" t="s">
        <v>66</v>
      </c>
      <c r="C49" s="28"/>
      <c r="D49" s="28"/>
      <c r="F49" s="42">
        <v>8857890</v>
      </c>
      <c r="G49" s="29" t="s">
        <v>54</v>
      </c>
    </row>
    <row r="50" spans="1:8" s="29" customFormat="1">
      <c r="A50" s="35" t="s">
        <v>67</v>
      </c>
      <c r="B50" s="32" t="s">
        <v>68</v>
      </c>
      <c r="C50" s="28"/>
      <c r="D50" s="28"/>
      <c r="F50" s="42"/>
      <c r="G50" s="29" t="s">
        <v>54</v>
      </c>
    </row>
    <row r="51" spans="1:8">
      <c r="A51" s="33" t="s">
        <v>69</v>
      </c>
      <c r="B51" s="37" t="s">
        <v>70</v>
      </c>
      <c r="C51" s="24"/>
      <c r="D51" s="24"/>
      <c r="F51" s="38">
        <v>182342.73</v>
      </c>
      <c r="G51" s="1" t="s">
        <v>54</v>
      </c>
    </row>
    <row r="52" spans="1:8" s="29" customFormat="1">
      <c r="A52" s="35" t="s">
        <v>21</v>
      </c>
      <c r="B52" s="32"/>
      <c r="C52" s="28"/>
      <c r="D52" s="28"/>
      <c r="F52" s="36">
        <v>42961599.990000002</v>
      </c>
      <c r="G52" s="29" t="s">
        <v>54</v>
      </c>
    </row>
    <row r="53" spans="1:8" s="29" customFormat="1">
      <c r="A53" s="35" t="s">
        <v>71</v>
      </c>
      <c r="B53" s="32" t="s">
        <v>72</v>
      </c>
      <c r="C53" s="28"/>
      <c r="D53" s="28"/>
      <c r="F53" s="36" t="s">
        <v>54</v>
      </c>
      <c r="G53" s="42"/>
    </row>
    <row r="54" spans="1:8" s="29" customFormat="1">
      <c r="A54" s="35" t="s">
        <v>73</v>
      </c>
      <c r="B54" s="32" t="s">
        <v>74</v>
      </c>
      <c r="C54" s="28"/>
      <c r="D54" s="28"/>
      <c r="F54" s="29" t="s">
        <v>54</v>
      </c>
      <c r="G54" s="42">
        <v>-24443710.52</v>
      </c>
    </row>
    <row r="55" spans="1:8" s="29" customFormat="1">
      <c r="A55" s="35" t="s">
        <v>75</v>
      </c>
      <c r="B55" s="32" t="s">
        <v>76</v>
      </c>
      <c r="C55" s="28"/>
      <c r="D55" s="28"/>
    </row>
    <row r="56" spans="1:8" s="29" customFormat="1">
      <c r="A56" s="35" t="s">
        <v>77</v>
      </c>
      <c r="B56" s="32" t="s">
        <v>78</v>
      </c>
      <c r="C56" s="28"/>
      <c r="D56" s="28"/>
      <c r="F56" s="36"/>
    </row>
    <row r="57" spans="1:8">
      <c r="A57" s="33" t="s">
        <v>79</v>
      </c>
      <c r="B57" s="23">
        <v>17</v>
      </c>
      <c r="C57" s="24">
        <v>12738</v>
      </c>
      <c r="D57" s="24">
        <v>6355</v>
      </c>
      <c r="H57" s="38"/>
    </row>
    <row r="58" spans="1:8">
      <c r="A58" s="33" t="s">
        <v>80</v>
      </c>
      <c r="B58" s="23">
        <v>18</v>
      </c>
      <c r="C58" s="24">
        <v>6095</v>
      </c>
      <c r="D58" s="24">
        <v>6095</v>
      </c>
      <c r="H58" s="38"/>
    </row>
    <row r="59" spans="1:8">
      <c r="A59" s="33" t="s">
        <v>81</v>
      </c>
      <c r="B59" s="23">
        <v>19</v>
      </c>
      <c r="C59" s="24">
        <v>20687</v>
      </c>
      <c r="D59" s="24">
        <v>20684</v>
      </c>
      <c r="H59" s="38"/>
    </row>
    <row r="60" spans="1:8">
      <c r="A60" s="33" t="s">
        <v>82</v>
      </c>
      <c r="B60" s="23">
        <v>20</v>
      </c>
      <c r="C60" s="24"/>
      <c r="D60" s="24"/>
      <c r="F60" s="34">
        <f>C61-F61</f>
        <v>14383979</v>
      </c>
      <c r="H60" s="38"/>
    </row>
    <row r="61" spans="1:8">
      <c r="A61" s="43" t="s">
        <v>83</v>
      </c>
      <c r="B61" s="23">
        <v>21</v>
      </c>
      <c r="C61" s="44">
        <f>C11+C15+C16+C19+C22+C25+C28+C31+C32+C33+C34+C35+C36+C37+C38+C51+C57+C58+C59+C60</f>
        <v>14383979</v>
      </c>
      <c r="D61" s="44">
        <f>D11+D15+D16+D19+D22+D25+D28+D31+D32+D33+D34+D35+D36+D37+D38+D51+D57+D58+D59+D60</f>
        <v>14686422</v>
      </c>
      <c r="E61" s="34" t="s">
        <v>84</v>
      </c>
      <c r="F61" s="45"/>
      <c r="G61" s="1">
        <f>SUM(H57:H60)/1000</f>
        <v>0</v>
      </c>
    </row>
    <row r="62" spans="1:8">
      <c r="A62" s="46"/>
      <c r="B62" s="23"/>
      <c r="C62" s="44"/>
      <c r="D62" s="47"/>
      <c r="E62" s="34"/>
    </row>
    <row r="63" spans="1:8">
      <c r="A63" s="48" t="s">
        <v>85</v>
      </c>
      <c r="B63" s="23"/>
      <c r="C63" s="49"/>
      <c r="D63" s="50"/>
    </row>
    <row r="64" spans="1:8">
      <c r="A64" s="33" t="s">
        <v>86</v>
      </c>
      <c r="B64" s="23">
        <v>22</v>
      </c>
      <c r="C64" s="24"/>
      <c r="D64" s="51">
        <v>0</v>
      </c>
      <c r="E64" s="1" t="s">
        <v>87</v>
      </c>
    </row>
    <row r="65" spans="1:8">
      <c r="A65" s="52" t="s">
        <v>88</v>
      </c>
      <c r="B65" s="23">
        <v>23</v>
      </c>
      <c r="C65" s="24"/>
      <c r="D65" s="53"/>
    </row>
    <row r="66" spans="1:8">
      <c r="A66" s="54" t="s">
        <v>89</v>
      </c>
      <c r="B66" s="23">
        <v>24</v>
      </c>
      <c r="C66" s="49"/>
      <c r="D66" s="50"/>
    </row>
    <row r="67" spans="1:8">
      <c r="A67" s="22" t="s">
        <v>90</v>
      </c>
      <c r="B67" s="23">
        <v>25</v>
      </c>
      <c r="C67" s="49"/>
      <c r="D67" s="50"/>
    </row>
    <row r="68" spans="1:8">
      <c r="A68" s="22" t="s">
        <v>91</v>
      </c>
      <c r="B68" s="23">
        <v>26</v>
      </c>
      <c r="C68" s="49"/>
      <c r="D68" s="50"/>
    </row>
    <row r="69" spans="1:8">
      <c r="A69" s="54" t="s">
        <v>92</v>
      </c>
      <c r="B69" s="23">
        <v>27</v>
      </c>
      <c r="C69" s="49"/>
      <c r="D69" s="50"/>
    </row>
    <row r="70" spans="1:8">
      <c r="A70" s="22" t="s">
        <v>93</v>
      </c>
      <c r="B70" s="23">
        <v>28</v>
      </c>
      <c r="C70" s="24">
        <v>4831</v>
      </c>
      <c r="D70" s="24">
        <f>15838-D71-D94</f>
        <v>8544</v>
      </c>
      <c r="E70" s="1">
        <v>10558</v>
      </c>
      <c r="H70" s="38">
        <v>220691203.97</v>
      </c>
    </row>
    <row r="71" spans="1:8">
      <c r="A71" s="22" t="s">
        <v>94</v>
      </c>
      <c r="B71" s="23">
        <v>29</v>
      </c>
      <c r="C71" s="55">
        <f>SUM(C73:C84)</f>
        <v>919</v>
      </c>
      <c r="D71" s="55">
        <f>SUM(D73:D84)</f>
        <v>1399</v>
      </c>
      <c r="H71" s="38">
        <v>78842953.329999998</v>
      </c>
    </row>
    <row r="72" spans="1:8" s="29" customFormat="1">
      <c r="A72" s="26" t="s">
        <v>21</v>
      </c>
      <c r="B72" s="27"/>
      <c r="C72" s="56"/>
      <c r="D72" s="56"/>
      <c r="H72" s="42">
        <v>39065571.210000001</v>
      </c>
    </row>
    <row r="73" spans="1:8" s="29" customFormat="1">
      <c r="A73" s="26" t="s">
        <v>95</v>
      </c>
      <c r="B73" s="32" t="s">
        <v>96</v>
      </c>
      <c r="C73" s="56"/>
      <c r="D73" s="56"/>
      <c r="F73" s="42">
        <v>562508.19999999995</v>
      </c>
      <c r="H73" s="42">
        <f>SUM(H70:H72)</f>
        <v>338599728.50999999</v>
      </c>
    </row>
    <row r="74" spans="1:8" s="29" customFormat="1">
      <c r="A74" s="26" t="s">
        <v>97</v>
      </c>
      <c r="B74" s="32" t="s">
        <v>98</v>
      </c>
      <c r="C74" s="56"/>
      <c r="D74" s="56"/>
      <c r="F74" s="42">
        <v>113946.45</v>
      </c>
    </row>
    <row r="75" spans="1:8" s="29" customFormat="1">
      <c r="A75" s="26" t="s">
        <v>99</v>
      </c>
      <c r="B75" s="32" t="s">
        <v>100</v>
      </c>
      <c r="C75" s="56"/>
      <c r="D75" s="56"/>
      <c r="F75" s="42">
        <v>483557.15</v>
      </c>
    </row>
    <row r="76" spans="1:8" s="29" customFormat="1">
      <c r="A76" s="26" t="s">
        <v>101</v>
      </c>
      <c r="B76" s="32" t="s">
        <v>102</v>
      </c>
      <c r="C76" s="56"/>
      <c r="D76" s="56"/>
      <c r="F76" s="42">
        <v>209657.5</v>
      </c>
      <c r="H76" s="29">
        <f>351622-H73/1000</f>
        <v>13022.271490000014</v>
      </c>
    </row>
    <row r="77" spans="1:8" s="29" customFormat="1">
      <c r="A77" s="26" t="s">
        <v>103</v>
      </c>
      <c r="B77" s="32" t="s">
        <v>104</v>
      </c>
      <c r="C77" s="56"/>
      <c r="D77" s="56"/>
      <c r="F77" s="42">
        <v>723584</v>
      </c>
      <c r="G77" s="42"/>
    </row>
    <row r="78" spans="1:8" s="29" customFormat="1">
      <c r="A78" s="26" t="s">
        <v>105</v>
      </c>
      <c r="B78" s="32" t="s">
        <v>106</v>
      </c>
      <c r="C78" s="56"/>
      <c r="D78" s="56"/>
      <c r="F78" s="42">
        <v>55428.95</v>
      </c>
      <c r="G78" s="42"/>
      <c r="H78" s="42"/>
    </row>
    <row r="79" spans="1:8" s="29" customFormat="1">
      <c r="A79" s="26" t="s">
        <v>107</v>
      </c>
      <c r="B79" s="32" t="s">
        <v>108</v>
      </c>
      <c r="C79" s="56">
        <v>101</v>
      </c>
      <c r="D79" s="56">
        <v>55</v>
      </c>
      <c r="F79" s="42"/>
      <c r="G79" s="42"/>
      <c r="H79" s="42"/>
    </row>
    <row r="80" spans="1:8" s="29" customFormat="1">
      <c r="A80" s="26" t="s">
        <v>109</v>
      </c>
      <c r="B80" s="32" t="s">
        <v>110</v>
      </c>
      <c r="C80" s="56"/>
      <c r="D80" s="56">
        <f>418</f>
        <v>418</v>
      </c>
      <c r="F80" s="42">
        <v>5674883.3499999996</v>
      </c>
      <c r="G80" s="42"/>
      <c r="H80" s="42"/>
    </row>
    <row r="81" spans="1:8" s="29" customFormat="1">
      <c r="A81" s="26" t="s">
        <v>111</v>
      </c>
      <c r="B81" s="32" t="s">
        <v>112</v>
      </c>
      <c r="C81" s="56"/>
      <c r="D81" s="56"/>
      <c r="F81" s="42"/>
      <c r="G81" s="42"/>
      <c r="H81" s="42"/>
    </row>
    <row r="82" spans="1:8" s="29" customFormat="1">
      <c r="A82" s="26" t="s">
        <v>113</v>
      </c>
      <c r="B82" s="32" t="s">
        <v>114</v>
      </c>
      <c r="C82" s="56">
        <v>788</v>
      </c>
      <c r="D82" s="56">
        <v>896</v>
      </c>
      <c r="F82" s="42"/>
      <c r="G82" s="42"/>
      <c r="H82" s="38"/>
    </row>
    <row r="83" spans="1:8" s="29" customFormat="1">
      <c r="A83" s="26" t="s">
        <v>115</v>
      </c>
      <c r="B83" s="32" t="s">
        <v>116</v>
      </c>
      <c r="C83" s="56">
        <v>30</v>
      </c>
      <c r="D83" s="56">
        <v>30</v>
      </c>
      <c r="F83" s="42"/>
      <c r="G83" s="42"/>
      <c r="H83" s="38"/>
    </row>
    <row r="84" spans="1:8" s="29" customFormat="1">
      <c r="A84" s="26" t="s">
        <v>117</v>
      </c>
      <c r="B84" s="32" t="s">
        <v>118</v>
      </c>
      <c r="C84" s="56"/>
      <c r="D84" s="56"/>
      <c r="F84" s="29" t="s">
        <v>54</v>
      </c>
      <c r="G84" s="42"/>
      <c r="H84" s="38"/>
    </row>
    <row r="85" spans="1:8">
      <c r="A85" s="22" t="s">
        <v>119</v>
      </c>
      <c r="B85" s="23">
        <v>30</v>
      </c>
      <c r="C85" s="49"/>
      <c r="D85" s="49"/>
      <c r="F85" s="38">
        <v>1029192</v>
      </c>
      <c r="G85" s="38"/>
      <c r="H85" s="38"/>
    </row>
    <row r="86" spans="1:8" s="29" customFormat="1">
      <c r="A86" s="26" t="s">
        <v>21</v>
      </c>
      <c r="B86" s="27"/>
      <c r="C86" s="57"/>
      <c r="D86" s="57"/>
      <c r="F86" s="42"/>
      <c r="G86" s="42"/>
      <c r="H86" s="38"/>
    </row>
    <row r="87" spans="1:8" s="29" customFormat="1">
      <c r="A87" s="26" t="s">
        <v>120</v>
      </c>
      <c r="B87" s="32" t="s">
        <v>121</v>
      </c>
      <c r="C87" s="57"/>
      <c r="D87" s="57"/>
      <c r="F87" s="42">
        <v>87377</v>
      </c>
      <c r="H87" s="38"/>
    </row>
    <row r="88" spans="1:8" s="29" customFormat="1">
      <c r="A88" s="26" t="s">
        <v>122</v>
      </c>
      <c r="B88" s="32" t="s">
        <v>123</v>
      </c>
      <c r="C88" s="57"/>
      <c r="D88" s="57"/>
      <c r="F88" s="29" t="s">
        <v>54</v>
      </c>
      <c r="H88" s="38"/>
    </row>
    <row r="89" spans="1:8" s="29" customFormat="1">
      <c r="A89" s="26" t="s">
        <v>124</v>
      </c>
      <c r="B89" s="32" t="s">
        <v>125</v>
      </c>
      <c r="C89" s="57"/>
      <c r="D89" s="57"/>
      <c r="F89" s="42">
        <v>2704103</v>
      </c>
      <c r="H89" s="38"/>
    </row>
    <row r="90" spans="1:8" s="29" customFormat="1">
      <c r="A90" s="26" t="s">
        <v>126</v>
      </c>
      <c r="B90" s="32" t="s">
        <v>127</v>
      </c>
      <c r="C90" s="57"/>
      <c r="D90" s="57"/>
      <c r="H90" s="38"/>
    </row>
    <row r="91" spans="1:8">
      <c r="A91" s="33" t="s">
        <v>128</v>
      </c>
      <c r="B91" s="23">
        <v>31</v>
      </c>
      <c r="C91" s="24">
        <v>6219</v>
      </c>
      <c r="D91" s="24">
        <v>2423</v>
      </c>
      <c r="H91" s="38"/>
    </row>
    <row r="92" spans="1:8">
      <c r="A92" s="33" t="s">
        <v>129</v>
      </c>
      <c r="B92" s="23">
        <v>32</v>
      </c>
      <c r="C92" s="24"/>
      <c r="D92" s="24"/>
      <c r="H92" s="38"/>
    </row>
    <row r="93" spans="1:8">
      <c r="A93" s="33" t="s">
        <v>130</v>
      </c>
      <c r="B93" s="23">
        <v>33</v>
      </c>
      <c r="C93" s="24"/>
      <c r="D93" s="24"/>
      <c r="H93" s="38"/>
    </row>
    <row r="94" spans="1:8">
      <c r="A94" s="33" t="s">
        <v>131</v>
      </c>
      <c r="B94" s="23">
        <v>34</v>
      </c>
      <c r="C94" s="24">
        <v>5944</v>
      </c>
      <c r="D94" s="24">
        <v>5895</v>
      </c>
      <c r="H94" s="38"/>
    </row>
    <row r="95" spans="1:8">
      <c r="A95" s="33" t="s">
        <v>132</v>
      </c>
      <c r="B95" s="23">
        <v>35</v>
      </c>
      <c r="C95" s="24"/>
      <c r="D95" s="24"/>
      <c r="E95" s="34"/>
      <c r="H95" s="38"/>
    </row>
    <row r="96" spans="1:8">
      <c r="A96" s="43" t="s">
        <v>133</v>
      </c>
      <c r="B96" s="23">
        <v>36</v>
      </c>
      <c r="C96" s="58">
        <f>C64+C65+C66+C67+C68+C69+C70+C71+C85+C91+C92+C93+C94+C95</f>
        <v>17913</v>
      </c>
      <c r="D96" s="58">
        <f>D64+D65+D66+D67+D68+D69+D70+D71+D85+D91+D92+D93+D94+D95</f>
        <v>18261</v>
      </c>
      <c r="H96" s="38"/>
    </row>
    <row r="97" spans="1:8">
      <c r="A97" s="43"/>
      <c r="B97" s="23"/>
      <c r="C97" s="24"/>
      <c r="D97" s="53"/>
      <c r="H97" s="38"/>
    </row>
    <row r="98" spans="1:8">
      <c r="A98" s="59" t="s">
        <v>134</v>
      </c>
      <c r="B98" s="23"/>
      <c r="C98" s="60"/>
      <c r="D98" s="61"/>
      <c r="H98" s="38"/>
    </row>
    <row r="99" spans="1:8">
      <c r="A99" s="33" t="s">
        <v>135</v>
      </c>
      <c r="B99" s="23">
        <v>37</v>
      </c>
      <c r="C99" s="24">
        <v>50559902</v>
      </c>
      <c r="D99" s="53">
        <v>50559902</v>
      </c>
      <c r="E99" s="40" t="b">
        <f>C99&gt;=C101+C102</f>
        <v>1</v>
      </c>
      <c r="F99" s="40" t="b">
        <f>D99&gt;=D101+D102</f>
        <v>1</v>
      </c>
      <c r="H99" s="38"/>
    </row>
    <row r="100" spans="1:8" s="29" customFormat="1">
      <c r="A100" s="35" t="s">
        <v>13</v>
      </c>
      <c r="B100" s="27"/>
      <c r="C100" s="28"/>
      <c r="D100" s="62"/>
      <c r="H100" s="38"/>
    </row>
    <row r="101" spans="1:8" s="29" customFormat="1">
      <c r="A101" s="63" t="s">
        <v>136</v>
      </c>
      <c r="B101" s="27" t="s">
        <v>137</v>
      </c>
      <c r="C101" s="28">
        <v>50559902</v>
      </c>
      <c r="D101" s="64">
        <v>50559902</v>
      </c>
      <c r="H101" s="38"/>
    </row>
    <row r="102" spans="1:8" s="29" customFormat="1">
      <c r="A102" s="35" t="s">
        <v>138</v>
      </c>
      <c r="B102" s="27" t="s">
        <v>139</v>
      </c>
      <c r="C102" s="28"/>
      <c r="D102" s="64"/>
      <c r="H102" s="38"/>
    </row>
    <row r="103" spans="1:8">
      <c r="A103" s="33" t="s">
        <v>140</v>
      </c>
      <c r="B103" s="23">
        <v>38</v>
      </c>
      <c r="C103" s="24"/>
      <c r="D103" s="53"/>
      <c r="H103" s="38"/>
    </row>
    <row r="104" spans="1:8">
      <c r="A104" s="33" t="s">
        <v>141</v>
      </c>
      <c r="B104" s="23">
        <v>39</v>
      </c>
      <c r="C104" s="24"/>
      <c r="D104" s="53"/>
      <c r="H104" s="38"/>
    </row>
    <row r="105" spans="1:8">
      <c r="A105" s="33" t="s">
        <v>142</v>
      </c>
      <c r="B105" s="23">
        <v>40</v>
      </c>
      <c r="C105" s="24">
        <f>SUM(C107:C108)</f>
        <v>518304</v>
      </c>
      <c r="D105" s="24">
        <f>SUM(D107:D108)</f>
        <v>-421911</v>
      </c>
      <c r="E105" s="38"/>
      <c r="H105" s="38"/>
    </row>
    <row r="106" spans="1:8" s="29" customFormat="1">
      <c r="A106" s="35" t="s">
        <v>21</v>
      </c>
      <c r="B106" s="27"/>
      <c r="C106" s="28"/>
      <c r="D106" s="62"/>
      <c r="E106" s="42"/>
      <c r="H106" s="38"/>
    </row>
    <row r="107" spans="1:8" s="29" customFormat="1">
      <c r="A107" s="35" t="s">
        <v>143</v>
      </c>
      <c r="B107" s="27" t="s">
        <v>144</v>
      </c>
      <c r="C107" s="28">
        <v>518304</v>
      </c>
      <c r="D107" s="28">
        <v>-421911</v>
      </c>
      <c r="E107" s="42"/>
      <c r="H107" s="38"/>
    </row>
    <row r="108" spans="1:8" s="29" customFormat="1">
      <c r="A108" s="35" t="s">
        <v>145</v>
      </c>
      <c r="B108" s="27" t="s">
        <v>146</v>
      </c>
      <c r="C108" s="28"/>
      <c r="D108" s="62"/>
      <c r="E108" s="42"/>
      <c r="H108" s="38">
        <v>50559901500</v>
      </c>
    </row>
    <row r="109" spans="1:8">
      <c r="A109" s="33" t="s">
        <v>147</v>
      </c>
      <c r="B109" s="23">
        <v>41</v>
      </c>
      <c r="C109" s="24"/>
      <c r="D109" s="24"/>
      <c r="E109" s="38"/>
      <c r="H109" s="38">
        <v>2439161.83</v>
      </c>
    </row>
    <row r="110" spans="1:8">
      <c r="A110" s="33" t="s">
        <v>148</v>
      </c>
      <c r="B110" s="23">
        <v>42</v>
      </c>
      <c r="C110" s="65">
        <f>C112+C113</f>
        <v>-36712140</v>
      </c>
      <c r="D110" s="66">
        <v>-35469830</v>
      </c>
      <c r="H110" s="38">
        <v>-38081152430.550003</v>
      </c>
    </row>
    <row r="111" spans="1:8" s="29" customFormat="1">
      <c r="A111" s="35" t="s">
        <v>21</v>
      </c>
      <c r="B111" s="67"/>
      <c r="C111" s="28"/>
      <c r="D111" s="62"/>
      <c r="H111" s="38">
        <v>405945386.10000002</v>
      </c>
    </row>
    <row r="112" spans="1:8" s="29" customFormat="1">
      <c r="A112" s="68" t="s">
        <v>149</v>
      </c>
      <c r="B112" s="27" t="s">
        <v>150</v>
      </c>
      <c r="C112" s="28">
        <v>-38081152</v>
      </c>
      <c r="D112" s="28">
        <v>-25525033</v>
      </c>
      <c r="H112" s="38"/>
    </row>
    <row r="113" spans="1:8" s="29" customFormat="1">
      <c r="A113" s="35" t="s">
        <v>151</v>
      </c>
      <c r="B113" s="27" t="s">
        <v>152</v>
      </c>
      <c r="C113" s="24">
        <v>1369012</v>
      </c>
      <c r="D113" s="28">
        <v>-9944797</v>
      </c>
      <c r="E113" s="36" t="s">
        <v>153</v>
      </c>
      <c r="H113" s="38"/>
    </row>
    <row r="114" spans="1:8">
      <c r="A114" s="59" t="s">
        <v>154</v>
      </c>
      <c r="B114" s="69">
        <v>43</v>
      </c>
      <c r="C114" s="60">
        <f>C99+C103+C104+C105+C109+C110</f>
        <v>14366066</v>
      </c>
      <c r="D114" s="60">
        <f>D99+D103+D104+D105+D109+D110</f>
        <v>14668161</v>
      </c>
      <c r="E114" s="34"/>
      <c r="H114" s="38">
        <v>331543.2</v>
      </c>
    </row>
    <row r="115" spans="1:8">
      <c r="A115" s="59"/>
      <c r="B115" s="69"/>
      <c r="C115" s="60"/>
      <c r="D115" s="61"/>
      <c r="E115" s="34"/>
      <c r="H115" s="38">
        <v>113946.45</v>
      </c>
    </row>
    <row r="116" spans="1:8">
      <c r="A116" s="59" t="s">
        <v>155</v>
      </c>
      <c r="B116" s="69">
        <v>44</v>
      </c>
      <c r="C116" s="60">
        <f>C96+C114</f>
        <v>14383979</v>
      </c>
      <c r="D116" s="60">
        <f>D96+D114</f>
        <v>14686422</v>
      </c>
      <c r="E116" s="34" t="s">
        <v>156</v>
      </c>
      <c r="H116" s="38">
        <v>366686.15</v>
      </c>
    </row>
    <row r="117" spans="1:8">
      <c r="D117" s="71"/>
      <c r="H117" s="38">
        <v>185181</v>
      </c>
    </row>
    <row r="118" spans="1:8">
      <c r="A118" s="72" t="s">
        <v>157</v>
      </c>
      <c r="B118" s="72"/>
      <c r="C118" s="72"/>
      <c r="D118" s="72"/>
      <c r="E118" s="73">
        <f>C116-C61</f>
        <v>0</v>
      </c>
      <c r="H118" s="38">
        <v>580807</v>
      </c>
    </row>
    <row r="119" spans="1:8">
      <c r="A119" s="74"/>
      <c r="H119" s="38"/>
    </row>
    <row r="120" spans="1:8">
      <c r="A120" s="74"/>
      <c r="H120" s="38">
        <v>4395915.95</v>
      </c>
    </row>
    <row r="121" spans="1:8">
      <c r="A121" s="74"/>
      <c r="H121" s="38">
        <v>4092091</v>
      </c>
    </row>
    <row r="122" spans="1:8">
      <c r="A122" s="75" t="s">
        <v>158</v>
      </c>
      <c r="B122" s="76"/>
      <c r="C122" s="77"/>
      <c r="D122" s="78"/>
      <c r="H122" s="38"/>
    </row>
    <row r="123" spans="1:8">
      <c r="A123" s="79"/>
      <c r="B123" s="80"/>
      <c r="C123" s="77"/>
      <c r="D123" s="81"/>
      <c r="H123" s="38"/>
    </row>
    <row r="124" spans="1:8">
      <c r="A124" s="82" t="s">
        <v>159</v>
      </c>
      <c r="B124" s="80"/>
      <c r="C124" s="77"/>
      <c r="D124" s="78"/>
    </row>
    <row r="125" spans="1:8">
      <c r="A125" s="79"/>
      <c r="B125" s="76"/>
      <c r="C125" s="77"/>
      <c r="D125" s="80"/>
    </row>
    <row r="126" spans="1:8">
      <c r="H126" s="38"/>
    </row>
    <row r="127" spans="1:8">
      <c r="A127" s="79"/>
      <c r="B127" s="80"/>
      <c r="C127" s="77"/>
      <c r="D127" s="80"/>
    </row>
    <row r="128" spans="1:8">
      <c r="A128" s="83" t="s">
        <v>160</v>
      </c>
      <c r="B128" s="76"/>
      <c r="C128" s="77"/>
      <c r="D128" s="80"/>
    </row>
    <row r="129" spans="1:4">
      <c r="A129" s="84" t="s">
        <v>293</v>
      </c>
      <c r="B129" s="76"/>
      <c r="C129" s="77"/>
      <c r="D129" s="80"/>
    </row>
    <row r="130" spans="1:4">
      <c r="A130" s="83" t="s">
        <v>161</v>
      </c>
      <c r="B130" s="80"/>
      <c r="C130" s="77"/>
      <c r="D130" s="80"/>
    </row>
    <row r="131" spans="1:4">
      <c r="A131" s="74"/>
    </row>
  </sheetData>
  <mergeCells count="6">
    <mergeCell ref="C1:D1"/>
    <mergeCell ref="A3:D3"/>
    <mergeCell ref="A4:D4"/>
    <mergeCell ref="A5:D5"/>
    <mergeCell ref="A6:D6"/>
    <mergeCell ref="A118:D118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L131"/>
  <sheetViews>
    <sheetView tabSelected="1" view="pageBreakPreview" zoomScale="70" zoomScaleSheetLayoutView="70" workbookViewId="0">
      <selection activeCell="A107" sqref="A107"/>
    </sheetView>
  </sheetViews>
  <sheetFormatPr defaultRowHeight="12.75"/>
  <cols>
    <col min="1" max="1" width="102.28515625" style="70" customWidth="1"/>
    <col min="2" max="2" width="10.85546875" style="70" customWidth="1"/>
    <col min="3" max="3" width="16.5703125" style="70" customWidth="1"/>
    <col min="4" max="4" width="16.42578125" style="70" customWidth="1"/>
    <col min="5" max="5" width="17.5703125" style="70" customWidth="1"/>
    <col min="6" max="6" width="21.42578125" style="70" customWidth="1"/>
    <col min="7" max="7" width="11.42578125" style="70" customWidth="1"/>
    <col min="8" max="8" width="12.5703125" style="70" customWidth="1"/>
    <col min="9" max="9" width="13.5703125" style="70" customWidth="1"/>
    <col min="10" max="10" width="15.28515625" style="70" customWidth="1"/>
    <col min="11" max="16384" width="9.140625" style="70"/>
  </cols>
  <sheetData>
    <row r="1" spans="1:10" ht="45.75" customHeight="1">
      <c r="E1" s="99" t="s">
        <v>162</v>
      </c>
      <c r="F1" s="100"/>
    </row>
    <row r="2" spans="1:10">
      <c r="E2" s="4"/>
      <c r="F2" s="101" t="s">
        <v>163</v>
      </c>
    </row>
    <row r="3" spans="1:10" s="103" customFormat="1" ht="14.25">
      <c r="A3" s="102" t="s">
        <v>164</v>
      </c>
      <c r="B3" s="102"/>
      <c r="C3" s="102"/>
      <c r="D3" s="102"/>
      <c r="E3" s="102"/>
      <c r="F3" s="102"/>
    </row>
    <row r="4" spans="1:10" s="103" customFormat="1" ht="14.25">
      <c r="A4" s="104" t="s">
        <v>3</v>
      </c>
      <c r="B4" s="104"/>
      <c r="C4" s="104"/>
      <c r="D4" s="104"/>
      <c r="E4" s="104"/>
      <c r="F4" s="104"/>
    </row>
    <row r="5" spans="1:10" s="103" customFormat="1" ht="15">
      <c r="A5" s="105" t="s">
        <v>4</v>
      </c>
      <c r="B5" s="105"/>
      <c r="C5" s="105"/>
      <c r="D5" s="105"/>
      <c r="E5" s="105"/>
      <c r="F5" s="105"/>
    </row>
    <row r="6" spans="1:10" s="103" customFormat="1" ht="15">
      <c r="A6" s="106" t="str">
        <f>ф1!A6</f>
        <v xml:space="preserve"> по состоянию на "01" октября  2017 года</v>
      </c>
      <c r="B6" s="106"/>
      <c r="C6" s="106"/>
      <c r="D6" s="106"/>
      <c r="E6" s="106"/>
      <c r="F6" s="106"/>
    </row>
    <row r="7" spans="1:10">
      <c r="A7" s="107"/>
      <c r="B7" s="107"/>
      <c r="C7" s="107"/>
      <c r="D7" s="107"/>
      <c r="E7" s="107"/>
      <c r="F7" s="107"/>
    </row>
    <row r="8" spans="1:10" s="86" customFormat="1">
      <c r="A8" s="85"/>
      <c r="B8" s="85"/>
      <c r="C8" s="85"/>
      <c r="D8" s="85"/>
      <c r="E8" s="85"/>
      <c r="F8" s="85"/>
    </row>
    <row r="9" spans="1:10" s="86" customFormat="1">
      <c r="A9" s="11"/>
      <c r="B9" s="11"/>
      <c r="C9" s="11"/>
      <c r="F9" s="108" t="s">
        <v>165</v>
      </c>
    </row>
    <row r="10" spans="1:10" ht="63.75">
      <c r="A10" s="15" t="s">
        <v>7</v>
      </c>
      <c r="B10" s="15" t="s">
        <v>8</v>
      </c>
      <c r="C10" s="15" t="s">
        <v>166</v>
      </c>
      <c r="D10" s="15" t="s">
        <v>167</v>
      </c>
      <c r="E10" s="15" t="s">
        <v>168</v>
      </c>
      <c r="F10" s="15" t="s">
        <v>169</v>
      </c>
      <c r="G10" s="109"/>
      <c r="H10" s="110"/>
    </row>
    <row r="11" spans="1:10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</row>
    <row r="12" spans="1:10" ht="15.75">
      <c r="A12" s="111" t="s">
        <v>170</v>
      </c>
      <c r="B12" s="112">
        <v>1</v>
      </c>
      <c r="C12" s="88">
        <v>98139</v>
      </c>
      <c r="D12" s="88">
        <f>760462+C12</f>
        <v>858601</v>
      </c>
      <c r="E12" s="87">
        <f>SUM(E14:E16,E29,E30)</f>
        <v>75601</v>
      </c>
      <c r="F12" s="87">
        <f>SUM(F14:F16,F29,F30)</f>
        <v>558634</v>
      </c>
      <c r="G12" s="113">
        <f>C16+C29+C15</f>
        <v>98139</v>
      </c>
      <c r="H12" s="113">
        <f>D16+D29+D15</f>
        <v>858601</v>
      </c>
      <c r="I12" s="113">
        <f t="shared" ref="I12:J12" si="0">E16+E29+E15</f>
        <v>75601</v>
      </c>
      <c r="J12" s="113">
        <f t="shared" si="0"/>
        <v>558634</v>
      </c>
    </row>
    <row r="13" spans="1:10" ht="15.75">
      <c r="A13" s="111" t="s">
        <v>21</v>
      </c>
      <c r="B13" s="112"/>
      <c r="C13" s="87"/>
      <c r="D13" s="87"/>
      <c r="E13" s="87"/>
      <c r="F13" s="87"/>
      <c r="G13" s="114"/>
      <c r="H13" s="113"/>
      <c r="I13" s="115"/>
      <c r="J13" s="115"/>
    </row>
    <row r="14" spans="1:10" ht="15.75">
      <c r="A14" s="111" t="s">
        <v>171</v>
      </c>
      <c r="B14" s="116" t="s">
        <v>15</v>
      </c>
      <c r="C14" s="88"/>
      <c r="D14" s="88"/>
      <c r="E14" s="88"/>
      <c r="F14" s="88"/>
      <c r="G14" s="115"/>
      <c r="H14" s="115"/>
      <c r="I14" s="115"/>
      <c r="J14" s="115"/>
    </row>
    <row r="15" spans="1:10" ht="15.75">
      <c r="A15" s="111" t="s">
        <v>172</v>
      </c>
      <c r="B15" s="116" t="s">
        <v>17</v>
      </c>
      <c r="C15" s="88">
        <v>2373</v>
      </c>
      <c r="D15" s="88">
        <f>11531+C15</f>
        <v>13904</v>
      </c>
      <c r="E15" s="88">
        <v>0</v>
      </c>
      <c r="F15" s="88">
        <v>34319</v>
      </c>
      <c r="G15" s="115"/>
      <c r="H15" s="115"/>
      <c r="I15" s="115"/>
      <c r="J15" s="115"/>
    </row>
    <row r="16" spans="1:10" ht="15.75">
      <c r="A16" s="111" t="s">
        <v>173</v>
      </c>
      <c r="B16" s="116" t="s">
        <v>174</v>
      </c>
      <c r="C16" s="88">
        <v>94717</v>
      </c>
      <c r="D16" s="88">
        <f>564343+C16</f>
        <v>659060</v>
      </c>
      <c r="E16" s="88">
        <v>67651</v>
      </c>
      <c r="F16" s="88">
        <v>422334</v>
      </c>
      <c r="G16" s="113">
        <f>C18+C22+C26</f>
        <v>94717</v>
      </c>
      <c r="H16" s="113">
        <f>D18+D22+D26</f>
        <v>659060</v>
      </c>
      <c r="I16" s="113">
        <f t="shared" ref="I16:J16" si="1">E18+E22+E26</f>
        <v>67651</v>
      </c>
      <c r="J16" s="113">
        <f t="shared" si="1"/>
        <v>422334</v>
      </c>
    </row>
    <row r="17" spans="1:11" ht="15.75">
      <c r="A17" s="111" t="s">
        <v>21</v>
      </c>
      <c r="B17" s="112"/>
      <c r="C17" s="87"/>
      <c r="D17" s="87"/>
      <c r="E17" s="87"/>
      <c r="F17" s="87"/>
      <c r="G17" s="115"/>
      <c r="H17" s="115"/>
      <c r="I17" s="115"/>
      <c r="J17" s="115"/>
    </row>
    <row r="18" spans="1:11" ht="15.75">
      <c r="A18" s="111" t="s">
        <v>175</v>
      </c>
      <c r="B18" s="116" t="s">
        <v>176</v>
      </c>
      <c r="C18" s="87">
        <v>34972</v>
      </c>
      <c r="D18" s="87">
        <f>155494+C18</f>
        <v>190466</v>
      </c>
      <c r="E18" s="87"/>
      <c r="F18" s="87"/>
      <c r="G18" s="114"/>
      <c r="H18" s="113"/>
      <c r="I18" s="115"/>
      <c r="J18" s="115"/>
    </row>
    <row r="19" spans="1:11" ht="15.75">
      <c r="A19" s="117" t="s">
        <v>21</v>
      </c>
      <c r="B19" s="116"/>
      <c r="C19" s="87"/>
      <c r="D19" s="87"/>
      <c r="E19" s="87"/>
      <c r="F19" s="87"/>
      <c r="G19" s="114"/>
      <c r="H19" s="113"/>
      <c r="I19" s="115"/>
      <c r="J19" s="115"/>
    </row>
    <row r="20" spans="1:11" s="120" customFormat="1" ht="31.5">
      <c r="A20" s="117" t="s">
        <v>177</v>
      </c>
      <c r="B20" s="118" t="s">
        <v>178</v>
      </c>
      <c r="C20" s="89"/>
      <c r="D20" s="89"/>
      <c r="E20" s="89"/>
      <c r="F20" s="89"/>
      <c r="G20" s="119"/>
      <c r="H20" s="119"/>
      <c r="I20" s="119"/>
      <c r="J20" s="119"/>
    </row>
    <row r="21" spans="1:11" s="120" customFormat="1" ht="31.5">
      <c r="A21" s="117" t="s">
        <v>179</v>
      </c>
      <c r="B21" s="118" t="s">
        <v>180</v>
      </c>
      <c r="C21" s="89">
        <v>764</v>
      </c>
      <c r="D21" s="89">
        <f>3687+C21</f>
        <v>4451</v>
      </c>
      <c r="E21" s="89"/>
      <c r="F21" s="89"/>
      <c r="G21" s="119"/>
      <c r="H21" s="119"/>
      <c r="I21" s="119"/>
      <c r="J21" s="119"/>
    </row>
    <row r="22" spans="1:11" ht="31.5">
      <c r="A22" s="111" t="s">
        <v>181</v>
      </c>
      <c r="B22" s="116" t="s">
        <v>182</v>
      </c>
      <c r="C22" s="88">
        <v>33643</v>
      </c>
      <c r="D22" s="88">
        <f>364178+C22</f>
        <v>397821</v>
      </c>
      <c r="E22" s="121">
        <v>67651</v>
      </c>
      <c r="F22" s="121">
        <v>422334</v>
      </c>
      <c r="G22" s="115"/>
      <c r="H22" s="115"/>
      <c r="I22" s="115"/>
      <c r="J22" s="122"/>
    </row>
    <row r="23" spans="1:11" ht="15.75">
      <c r="A23" s="117" t="s">
        <v>21</v>
      </c>
      <c r="B23" s="116"/>
      <c r="C23" s="87"/>
      <c r="D23" s="87"/>
      <c r="E23" s="87"/>
      <c r="F23" s="87"/>
      <c r="G23" s="114"/>
      <c r="H23" s="113"/>
      <c r="I23" s="115"/>
      <c r="J23" s="115"/>
    </row>
    <row r="24" spans="1:11" s="120" customFormat="1" ht="31.5">
      <c r="A24" s="117" t="s">
        <v>183</v>
      </c>
      <c r="B24" s="118" t="s">
        <v>184</v>
      </c>
      <c r="C24" s="90"/>
      <c r="D24" s="90"/>
      <c r="E24" s="90"/>
      <c r="F24" s="90">
        <v>1792</v>
      </c>
      <c r="G24" s="119"/>
      <c r="H24" s="119"/>
      <c r="I24" s="119"/>
      <c r="J24" s="123"/>
    </row>
    <row r="25" spans="1:11" s="120" customFormat="1" ht="31.5">
      <c r="A25" s="117" t="s">
        <v>185</v>
      </c>
      <c r="B25" s="118" t="s">
        <v>186</v>
      </c>
      <c r="C25" s="89">
        <v>9848</v>
      </c>
      <c r="D25" s="89">
        <f>80974+C25</f>
        <v>90822</v>
      </c>
      <c r="E25" s="89">
        <v>10696</v>
      </c>
      <c r="F25" s="89">
        <v>33660</v>
      </c>
      <c r="G25" s="119"/>
      <c r="H25" s="119"/>
      <c r="I25" s="119"/>
      <c r="J25" s="123"/>
    </row>
    <row r="26" spans="1:11" ht="15.75">
      <c r="A26" s="111" t="s">
        <v>187</v>
      </c>
      <c r="B26" s="116" t="s">
        <v>188</v>
      </c>
      <c r="C26" s="88">
        <v>26102</v>
      </c>
      <c r="D26" s="88">
        <f>44671+C26</f>
        <v>70773</v>
      </c>
      <c r="E26" s="88"/>
      <c r="F26" s="88"/>
      <c r="G26" s="115"/>
      <c r="H26" s="115"/>
      <c r="I26" s="115"/>
      <c r="J26" s="122"/>
    </row>
    <row r="27" spans="1:11" ht="15.75">
      <c r="A27" s="117" t="s">
        <v>21</v>
      </c>
      <c r="B27" s="116"/>
      <c r="C27" s="87"/>
      <c r="D27" s="87"/>
      <c r="E27" s="87"/>
      <c r="F27" s="87"/>
      <c r="G27" s="114"/>
      <c r="H27" s="113"/>
      <c r="I27" s="115"/>
      <c r="J27" s="115"/>
    </row>
    <row r="28" spans="1:11" s="120" customFormat="1" ht="15.75" customHeight="1">
      <c r="A28" s="117" t="s">
        <v>189</v>
      </c>
      <c r="B28" s="118" t="s">
        <v>190</v>
      </c>
      <c r="C28" s="89">
        <v>11888</v>
      </c>
      <c r="D28" s="91">
        <f>38892+C28</f>
        <v>50780</v>
      </c>
      <c r="E28" s="89"/>
      <c r="F28" s="89"/>
      <c r="G28" s="119"/>
      <c r="H28" s="119"/>
      <c r="I28" s="119"/>
      <c r="J28" s="123"/>
    </row>
    <row r="29" spans="1:11" ht="15.75">
      <c r="A29" s="111" t="s">
        <v>191</v>
      </c>
      <c r="B29" s="116" t="s">
        <v>192</v>
      </c>
      <c r="C29" s="87">
        <v>1049</v>
      </c>
      <c r="D29" s="87">
        <f>184588+C29</f>
        <v>185637</v>
      </c>
      <c r="E29" s="87">
        <v>7950</v>
      </c>
      <c r="F29" s="88">
        <v>101981</v>
      </c>
      <c r="G29" s="115"/>
      <c r="H29" s="115"/>
      <c r="I29" s="115"/>
      <c r="J29" s="122"/>
    </row>
    <row r="30" spans="1:11" ht="15.75">
      <c r="A30" s="111" t="s">
        <v>193</v>
      </c>
      <c r="B30" s="116" t="s">
        <v>194</v>
      </c>
      <c r="C30" s="88"/>
      <c r="D30" s="88"/>
      <c r="E30" s="88"/>
      <c r="F30" s="88"/>
      <c r="G30" s="115"/>
      <c r="H30" s="115"/>
      <c r="I30" s="115"/>
      <c r="J30" s="122"/>
      <c r="K30" s="122"/>
    </row>
    <row r="31" spans="1:11" ht="15.75">
      <c r="A31" s="111" t="s">
        <v>45</v>
      </c>
      <c r="B31" s="116">
        <v>2</v>
      </c>
      <c r="C31" s="88">
        <v>1711</v>
      </c>
      <c r="D31" s="88">
        <f>13265+C31</f>
        <v>14976</v>
      </c>
      <c r="E31" s="88">
        <v>1878</v>
      </c>
      <c r="F31" s="88">
        <v>14769</v>
      </c>
      <c r="G31" s="115"/>
      <c r="H31" s="115"/>
      <c r="I31" s="115"/>
      <c r="J31" s="122"/>
    </row>
    <row r="32" spans="1:11" s="120" customFormat="1" ht="15.75">
      <c r="A32" s="117" t="s">
        <v>195</v>
      </c>
      <c r="B32" s="124"/>
      <c r="C32" s="92"/>
      <c r="D32" s="92"/>
      <c r="E32" s="92"/>
      <c r="F32" s="92"/>
      <c r="G32" s="119"/>
      <c r="H32" s="119"/>
      <c r="I32" s="119"/>
      <c r="J32" s="119"/>
    </row>
    <row r="33" spans="1:10" s="120" customFormat="1" ht="15.75">
      <c r="A33" s="117" t="s">
        <v>196</v>
      </c>
      <c r="B33" s="124" t="s">
        <v>197</v>
      </c>
      <c r="C33" s="91"/>
      <c r="D33" s="91"/>
      <c r="E33" s="89"/>
      <c r="F33" s="91"/>
      <c r="G33" s="119"/>
      <c r="H33" s="119"/>
      <c r="I33" s="119"/>
      <c r="J33" s="123"/>
    </row>
    <row r="34" spans="1:10" s="120" customFormat="1" ht="15.75">
      <c r="A34" s="117" t="s">
        <v>21</v>
      </c>
      <c r="B34" s="124"/>
      <c r="C34" s="91"/>
      <c r="D34" s="91"/>
      <c r="E34" s="91"/>
      <c r="F34" s="91"/>
      <c r="G34" s="119"/>
      <c r="H34" s="119"/>
      <c r="I34" s="119"/>
      <c r="J34" s="119"/>
    </row>
    <row r="35" spans="1:10" s="120" customFormat="1" ht="15.75">
      <c r="A35" s="117" t="s">
        <v>48</v>
      </c>
      <c r="B35" s="124" t="s">
        <v>198</v>
      </c>
      <c r="C35" s="91"/>
      <c r="D35" s="91"/>
      <c r="E35" s="91"/>
      <c r="F35" s="91"/>
      <c r="G35" s="119"/>
      <c r="H35" s="119"/>
      <c r="I35" s="119"/>
      <c r="J35" s="119"/>
    </row>
    <row r="36" spans="1:10" s="120" customFormat="1" ht="15.75">
      <c r="A36" s="117" t="s">
        <v>50</v>
      </c>
      <c r="B36" s="124" t="s">
        <v>199</v>
      </c>
      <c r="C36" s="89"/>
      <c r="D36" s="89"/>
      <c r="E36" s="89"/>
      <c r="F36" s="89"/>
      <c r="G36" s="119"/>
      <c r="H36" s="119"/>
      <c r="I36" s="119"/>
      <c r="J36" s="119"/>
    </row>
    <row r="37" spans="1:10" s="120" customFormat="1" ht="15.75">
      <c r="A37" s="117" t="s">
        <v>52</v>
      </c>
      <c r="B37" s="124" t="s">
        <v>200</v>
      </c>
      <c r="C37" s="89">
        <v>215</v>
      </c>
      <c r="D37" s="89">
        <f>1720+C37</f>
        <v>1935</v>
      </c>
      <c r="E37" s="89">
        <v>215</v>
      </c>
      <c r="F37" s="89">
        <v>2370</v>
      </c>
    </row>
    <row r="38" spans="1:10" s="120" customFormat="1" ht="15.75">
      <c r="A38" s="117" t="s">
        <v>55</v>
      </c>
      <c r="B38" s="124" t="s">
        <v>201</v>
      </c>
      <c r="C38" s="89"/>
      <c r="D38" s="89"/>
      <c r="E38" s="89"/>
      <c r="F38" s="89"/>
    </row>
    <row r="39" spans="1:10" s="120" customFormat="1" ht="15.75">
      <c r="A39" s="117" t="s">
        <v>59</v>
      </c>
      <c r="B39" s="124" t="s">
        <v>202</v>
      </c>
      <c r="C39" s="89"/>
      <c r="D39" s="89"/>
      <c r="E39" s="89"/>
      <c r="F39" s="89"/>
    </row>
    <row r="40" spans="1:10" s="120" customFormat="1" ht="15.75">
      <c r="A40" s="117" t="s">
        <v>57</v>
      </c>
      <c r="B40" s="124" t="s">
        <v>203</v>
      </c>
      <c r="C40" s="89">
        <v>1496</v>
      </c>
      <c r="D40" s="89">
        <f>11071+C40</f>
        <v>12567</v>
      </c>
      <c r="E40" s="89">
        <v>1663</v>
      </c>
      <c r="F40" s="89">
        <v>12291</v>
      </c>
    </row>
    <row r="41" spans="1:10" s="120" customFormat="1" ht="15.75">
      <c r="A41" s="117" t="s">
        <v>61</v>
      </c>
      <c r="B41" s="124" t="s">
        <v>204</v>
      </c>
      <c r="C41" s="89"/>
      <c r="D41" s="89"/>
      <c r="E41" s="89"/>
      <c r="F41" s="89"/>
    </row>
    <row r="42" spans="1:10" s="120" customFormat="1" ht="15.75">
      <c r="A42" s="117" t="s">
        <v>205</v>
      </c>
      <c r="B42" s="124" t="s">
        <v>206</v>
      </c>
      <c r="C42" s="89">
        <f>C31-SUM(C37:C41,C33)</f>
        <v>0</v>
      </c>
      <c r="D42" s="89">
        <f>D31-SUM(D37:D41,D33)</f>
        <v>474</v>
      </c>
      <c r="E42" s="89">
        <v>0</v>
      </c>
      <c r="F42" s="89">
        <v>108</v>
      </c>
    </row>
    <row r="43" spans="1:10" s="120" customFormat="1" ht="15.75">
      <c r="A43" s="117" t="s">
        <v>63</v>
      </c>
      <c r="B43" s="124" t="s">
        <v>207</v>
      </c>
      <c r="C43" s="89"/>
      <c r="D43" s="89"/>
      <c r="E43" s="89"/>
      <c r="F43" s="89"/>
    </row>
    <row r="44" spans="1:10" s="120" customFormat="1" ht="15.75">
      <c r="A44" s="117" t="s">
        <v>65</v>
      </c>
      <c r="B44" s="124" t="s">
        <v>208</v>
      </c>
      <c r="C44" s="89"/>
      <c r="D44" s="89"/>
      <c r="E44" s="89"/>
      <c r="F44" s="89"/>
    </row>
    <row r="45" spans="1:10" ht="15.75">
      <c r="A45" s="111" t="s">
        <v>209</v>
      </c>
      <c r="B45" s="116">
        <v>3</v>
      </c>
      <c r="C45" s="87">
        <v>782</v>
      </c>
      <c r="D45" s="87">
        <f>137+C45</f>
        <v>919</v>
      </c>
      <c r="E45" s="87">
        <v>0</v>
      </c>
      <c r="F45" s="87">
        <v>181968</v>
      </c>
      <c r="G45" s="125">
        <f>C45-C83</f>
        <v>-330</v>
      </c>
      <c r="H45" s="125">
        <f>D45-D83</f>
        <v>-193</v>
      </c>
      <c r="I45" s="125">
        <f t="shared" ref="G45:J46" si="2">E45-E83</f>
        <v>-20</v>
      </c>
      <c r="J45" s="125">
        <f t="shared" si="2"/>
        <v>-8552883</v>
      </c>
    </row>
    <row r="46" spans="1:10" ht="31.5">
      <c r="A46" s="111" t="s">
        <v>210</v>
      </c>
      <c r="B46" s="116">
        <v>4</v>
      </c>
      <c r="C46" s="87">
        <f>2333+1102589-1</f>
        <v>1104921</v>
      </c>
      <c r="D46" s="87">
        <f>6188994+C46</f>
        <v>7293915</v>
      </c>
      <c r="E46" s="87">
        <v>410189</v>
      </c>
      <c r="F46" s="87">
        <v>4387235</v>
      </c>
      <c r="G46" s="125">
        <f t="shared" si="2"/>
        <v>83426</v>
      </c>
      <c r="H46" s="125">
        <f t="shared" si="2"/>
        <v>646769</v>
      </c>
      <c r="I46" s="125">
        <f t="shared" si="2"/>
        <v>-25485</v>
      </c>
      <c r="J46" s="125">
        <f t="shared" si="2"/>
        <v>-1104855</v>
      </c>
    </row>
    <row r="47" spans="1:10" ht="15.75">
      <c r="A47" s="111" t="s">
        <v>211</v>
      </c>
      <c r="B47" s="116">
        <v>5</v>
      </c>
      <c r="C47" s="87">
        <v>1343</v>
      </c>
      <c r="D47" s="87">
        <f>4+C47</f>
        <v>1347</v>
      </c>
      <c r="E47" s="87">
        <v>0</v>
      </c>
      <c r="F47" s="87">
        <v>331</v>
      </c>
      <c r="G47" s="125">
        <f>C47+C48-C85-C86</f>
        <v>21073</v>
      </c>
      <c r="H47" s="125">
        <f>D47+D48-D85-D86</f>
        <v>31390</v>
      </c>
      <c r="I47" s="125">
        <f>E47+E48-E85-E86</f>
        <v>-216017</v>
      </c>
      <c r="J47" s="125">
        <f>F47+F48-F85-F86</f>
        <v>-275073</v>
      </c>
    </row>
    <row r="48" spans="1:10" ht="15.75">
      <c r="A48" s="111" t="s">
        <v>212</v>
      </c>
      <c r="B48" s="116">
        <v>6</v>
      </c>
      <c r="C48" s="87">
        <f>1178249-1102589</f>
        <v>75660</v>
      </c>
      <c r="D48" s="87">
        <f>1066235+C48</f>
        <v>1141895</v>
      </c>
      <c r="E48" s="87">
        <v>244946</v>
      </c>
      <c r="F48" s="87">
        <v>5937784</v>
      </c>
      <c r="G48" s="125">
        <f>D48-D86</f>
        <v>32061</v>
      </c>
      <c r="H48" s="125">
        <f>E48-E86</f>
        <v>-177608</v>
      </c>
      <c r="I48" s="125">
        <f>F48-F86</f>
        <v>-135664</v>
      </c>
    </row>
    <row r="49" spans="1:10" ht="15.75">
      <c r="A49" s="111" t="s">
        <v>213</v>
      </c>
      <c r="B49" s="116">
        <v>7</v>
      </c>
      <c r="C49" s="87"/>
      <c r="D49" s="87"/>
      <c r="E49" s="87"/>
      <c r="F49" s="87"/>
    </row>
    <row r="50" spans="1:10" ht="15.75">
      <c r="A50" s="111" t="s">
        <v>214</v>
      </c>
      <c r="B50" s="116">
        <v>8</v>
      </c>
      <c r="C50" s="87"/>
      <c r="D50" s="87"/>
      <c r="E50" s="87"/>
      <c r="F50" s="87"/>
    </row>
    <row r="51" spans="1:10" ht="15.75">
      <c r="A51" s="111" t="s">
        <v>215</v>
      </c>
      <c r="B51" s="116">
        <v>9</v>
      </c>
      <c r="C51" s="87"/>
      <c r="D51" s="87"/>
      <c r="E51" s="87"/>
      <c r="F51" s="87"/>
    </row>
    <row r="52" spans="1:10" ht="15.75">
      <c r="A52" s="111" t="s">
        <v>216</v>
      </c>
      <c r="B52" s="116">
        <v>10</v>
      </c>
      <c r="C52" s="87"/>
      <c r="D52" s="87"/>
      <c r="E52" s="87"/>
      <c r="F52" s="87"/>
    </row>
    <row r="53" spans="1:10" ht="15.75">
      <c r="A53" s="111" t="s">
        <v>21</v>
      </c>
      <c r="B53" s="116"/>
      <c r="C53" s="87"/>
      <c r="D53" s="87"/>
      <c r="E53" s="87"/>
      <c r="F53" s="87"/>
    </row>
    <row r="54" spans="1:10" ht="15.75">
      <c r="A54" s="111" t="s">
        <v>217</v>
      </c>
      <c r="B54" s="116" t="s">
        <v>218</v>
      </c>
      <c r="C54" s="87"/>
      <c r="D54" s="87"/>
      <c r="E54" s="87"/>
      <c r="F54" s="87"/>
    </row>
    <row r="55" spans="1:10" ht="15.75">
      <c r="A55" s="111" t="s">
        <v>219</v>
      </c>
      <c r="B55" s="116" t="s">
        <v>220</v>
      </c>
      <c r="C55" s="87"/>
      <c r="D55" s="87"/>
      <c r="E55" s="87"/>
      <c r="F55" s="87"/>
    </row>
    <row r="56" spans="1:10" ht="15.75">
      <c r="A56" s="111" t="s">
        <v>221</v>
      </c>
      <c r="B56" s="116" t="s">
        <v>222</v>
      </c>
      <c r="C56" s="87"/>
      <c r="D56" s="87"/>
      <c r="E56" s="87"/>
      <c r="F56" s="87"/>
    </row>
    <row r="57" spans="1:10" ht="15.75">
      <c r="A57" s="111" t="s">
        <v>223</v>
      </c>
      <c r="B57" s="116" t="s">
        <v>224</v>
      </c>
      <c r="C57" s="87"/>
      <c r="D57" s="87"/>
      <c r="E57" s="87"/>
      <c r="F57" s="87"/>
    </row>
    <row r="58" spans="1:10" ht="31.5">
      <c r="A58" s="111" t="s">
        <v>225</v>
      </c>
      <c r="B58" s="116">
        <v>11</v>
      </c>
      <c r="C58" s="87">
        <v>0</v>
      </c>
      <c r="D58" s="87">
        <f>2264+C58</f>
        <v>2264</v>
      </c>
      <c r="E58" s="87">
        <v>0</v>
      </c>
      <c r="F58" s="87">
        <v>5149</v>
      </c>
    </row>
    <row r="59" spans="1:10" ht="15.75">
      <c r="A59" s="111" t="s">
        <v>226</v>
      </c>
      <c r="B59" s="126" t="s">
        <v>227</v>
      </c>
      <c r="C59" s="87"/>
      <c r="D59" s="87"/>
      <c r="E59" s="87"/>
      <c r="F59" s="87"/>
    </row>
    <row r="60" spans="1:10" ht="15.75">
      <c r="A60" s="127" t="s">
        <v>228</v>
      </c>
      <c r="B60" s="126" t="s">
        <v>229</v>
      </c>
      <c r="C60" s="93">
        <f>C12+C31+C45+C46+C47+C48+C49+C50+C51+C52+C58+C59</f>
        <v>1282556</v>
      </c>
      <c r="D60" s="93">
        <f t="shared" ref="D60:F60" si="3">D12+D31+D45+D46+D47+D48+D49+D50+D51+D52+D58+D59</f>
        <v>9313917</v>
      </c>
      <c r="E60" s="93">
        <f t="shared" si="3"/>
        <v>732614</v>
      </c>
      <c r="F60" s="93">
        <f t="shared" si="3"/>
        <v>11085870</v>
      </c>
    </row>
    <row r="61" spans="1:10" ht="15.75">
      <c r="A61" s="127"/>
      <c r="B61" s="126"/>
      <c r="C61" s="87"/>
      <c r="D61" s="87"/>
      <c r="E61" s="87"/>
      <c r="F61" s="87"/>
    </row>
    <row r="62" spans="1:10" ht="15.75">
      <c r="A62" s="111" t="s">
        <v>230</v>
      </c>
      <c r="B62" s="126">
        <v>14</v>
      </c>
      <c r="C62" s="88">
        <f>SUM(C64:C67)</f>
        <v>529</v>
      </c>
      <c r="D62" s="88">
        <f t="shared" ref="D62:F62" si="4">SUM(D64:D67)</f>
        <v>780</v>
      </c>
      <c r="E62" s="88">
        <f t="shared" si="4"/>
        <v>0</v>
      </c>
      <c r="F62" s="88">
        <f t="shared" si="4"/>
        <v>0</v>
      </c>
      <c r="G62" s="115"/>
      <c r="H62" s="115"/>
      <c r="I62" s="115"/>
      <c r="J62" s="115"/>
    </row>
    <row r="63" spans="1:10" ht="15.75">
      <c r="A63" s="111" t="s">
        <v>21</v>
      </c>
      <c r="B63" s="126"/>
      <c r="C63" s="88"/>
      <c r="D63" s="88"/>
      <c r="E63" s="88"/>
      <c r="F63" s="88"/>
    </row>
    <row r="64" spans="1:10" ht="15.75">
      <c r="A64" s="111" t="s">
        <v>231</v>
      </c>
      <c r="B64" s="126" t="s">
        <v>232</v>
      </c>
      <c r="C64" s="94"/>
      <c r="D64" s="94"/>
      <c r="E64" s="94"/>
      <c r="F64" s="94"/>
    </row>
    <row r="65" spans="1:10" ht="15.75">
      <c r="A65" s="111" t="s">
        <v>233</v>
      </c>
      <c r="B65" s="126" t="s">
        <v>234</v>
      </c>
      <c r="C65" s="88"/>
      <c r="D65" s="88"/>
      <c r="E65" s="88"/>
      <c r="F65" s="88"/>
    </row>
    <row r="66" spans="1:10" ht="15.75">
      <c r="A66" s="111" t="s">
        <v>235</v>
      </c>
      <c r="B66" s="126" t="s">
        <v>236</v>
      </c>
      <c r="C66" s="88"/>
      <c r="D66" s="88"/>
      <c r="E66" s="88"/>
      <c r="F66" s="88"/>
    </row>
    <row r="67" spans="1:10" ht="15.75">
      <c r="A67" s="111" t="s">
        <v>237</v>
      </c>
      <c r="B67" s="126" t="s">
        <v>238</v>
      </c>
      <c r="C67" s="88">
        <v>529</v>
      </c>
      <c r="D67" s="88">
        <f>251+C67</f>
        <v>780</v>
      </c>
      <c r="E67" s="88"/>
      <c r="F67" s="88"/>
    </row>
    <row r="68" spans="1:10" ht="15.75">
      <c r="A68" s="111" t="s">
        <v>239</v>
      </c>
      <c r="B68" s="126">
        <v>15</v>
      </c>
      <c r="C68" s="88">
        <v>2257</v>
      </c>
      <c r="D68" s="88">
        <f>19839+C68</f>
        <v>22096</v>
      </c>
      <c r="E68" s="88">
        <v>2244</v>
      </c>
      <c r="F68" s="88">
        <v>24736</v>
      </c>
    </row>
    <row r="69" spans="1:10" s="120" customFormat="1" ht="15.75">
      <c r="A69" s="117" t="s">
        <v>21</v>
      </c>
      <c r="B69" s="128"/>
      <c r="C69" s="91"/>
      <c r="D69" s="91"/>
      <c r="E69" s="91"/>
      <c r="F69" s="91"/>
    </row>
    <row r="70" spans="1:10" s="120" customFormat="1" ht="15.75">
      <c r="A70" s="117" t="s">
        <v>240</v>
      </c>
      <c r="B70" s="128" t="s">
        <v>47</v>
      </c>
      <c r="C70" s="91"/>
      <c r="D70" s="91"/>
      <c r="E70" s="91"/>
      <c r="F70" s="91"/>
      <c r="G70" s="119"/>
      <c r="H70" s="119"/>
      <c r="I70" s="119"/>
      <c r="J70" s="119"/>
    </row>
    <row r="71" spans="1:10" s="120" customFormat="1" ht="15.75">
      <c r="A71" s="117" t="s">
        <v>241</v>
      </c>
      <c r="B71" s="128" t="s">
        <v>53</v>
      </c>
      <c r="C71" s="91">
        <v>1127</v>
      </c>
      <c r="D71" s="91">
        <f>9749+C71</f>
        <v>10876</v>
      </c>
      <c r="E71" s="91">
        <v>1095</v>
      </c>
      <c r="F71" s="91">
        <v>12109</v>
      </c>
    </row>
    <row r="72" spans="1:10" s="120" customFormat="1" ht="15.75">
      <c r="A72" s="117" t="s">
        <v>242</v>
      </c>
      <c r="B72" s="128" t="s">
        <v>56</v>
      </c>
      <c r="C72" s="91">
        <v>312</v>
      </c>
      <c r="D72" s="91">
        <f>1589+C72</f>
        <v>1901</v>
      </c>
      <c r="E72" s="91">
        <v>111</v>
      </c>
      <c r="F72" s="91">
        <v>1219</v>
      </c>
    </row>
    <row r="73" spans="1:10" s="120" customFormat="1" ht="15.75">
      <c r="A73" s="117" t="s">
        <v>243</v>
      </c>
      <c r="B73" s="128" t="s">
        <v>58</v>
      </c>
      <c r="C73" s="91">
        <v>32</v>
      </c>
      <c r="D73" s="91">
        <f>85+C73</f>
        <v>117</v>
      </c>
      <c r="E73" s="91">
        <v>31</v>
      </c>
      <c r="F73" s="91">
        <v>137</v>
      </c>
    </row>
    <row r="74" spans="1:10" s="120" customFormat="1" ht="15.75">
      <c r="A74" s="117" t="s">
        <v>244</v>
      </c>
      <c r="B74" s="128" t="s">
        <v>60</v>
      </c>
      <c r="C74" s="91"/>
      <c r="D74" s="91"/>
      <c r="E74" s="91"/>
      <c r="F74" s="91"/>
      <c r="G74" s="119"/>
      <c r="H74" s="119"/>
      <c r="I74" s="119"/>
      <c r="J74" s="119"/>
    </row>
    <row r="75" spans="1:10" s="120" customFormat="1" ht="15.75">
      <c r="A75" s="117" t="s">
        <v>245</v>
      </c>
      <c r="B75" s="128" t="s">
        <v>62</v>
      </c>
      <c r="C75" s="91">
        <f>C68-SUM(C70:C74)</f>
        <v>786</v>
      </c>
      <c r="D75" s="91">
        <f>D68-SUM(D70:D74)</f>
        <v>9202</v>
      </c>
      <c r="E75" s="91">
        <v>1007</v>
      </c>
      <c r="F75" s="91">
        <v>11271</v>
      </c>
    </row>
    <row r="76" spans="1:10" ht="15.75">
      <c r="A76" s="111" t="s">
        <v>246</v>
      </c>
      <c r="B76" s="126">
        <v>16</v>
      </c>
      <c r="C76" s="88">
        <f>SUM(C78:C82)</f>
        <v>0</v>
      </c>
      <c r="D76" s="88">
        <f t="shared" ref="D76" si="5">SUM(D78:D82)</f>
        <v>0</v>
      </c>
      <c r="E76" s="88">
        <v>0</v>
      </c>
      <c r="F76" s="88">
        <v>0</v>
      </c>
    </row>
    <row r="77" spans="1:10" ht="15.75">
      <c r="A77" s="111" t="s">
        <v>21</v>
      </c>
      <c r="B77" s="126"/>
      <c r="C77" s="88"/>
      <c r="D77" s="88"/>
      <c r="E77" s="88"/>
      <c r="F77" s="88"/>
    </row>
    <row r="78" spans="1:10" ht="15.75">
      <c r="A78" s="111" t="s">
        <v>247</v>
      </c>
      <c r="B78" s="126" t="s">
        <v>72</v>
      </c>
      <c r="C78" s="88"/>
      <c r="D78" s="88"/>
      <c r="E78" s="88"/>
      <c r="F78" s="88"/>
    </row>
    <row r="79" spans="1:10" ht="15.75">
      <c r="A79" s="111" t="s">
        <v>248</v>
      </c>
      <c r="B79" s="126" t="s">
        <v>74</v>
      </c>
      <c r="C79" s="88"/>
      <c r="D79" s="88"/>
      <c r="E79" s="88"/>
      <c r="F79" s="88"/>
    </row>
    <row r="80" spans="1:10" ht="15.75">
      <c r="A80" s="111" t="s">
        <v>249</v>
      </c>
      <c r="B80" s="126" t="s">
        <v>76</v>
      </c>
      <c r="C80" s="88"/>
      <c r="D80" s="88"/>
      <c r="E80" s="88"/>
      <c r="F80" s="88"/>
    </row>
    <row r="81" spans="1:10" ht="15.75">
      <c r="A81" s="111" t="s">
        <v>250</v>
      </c>
      <c r="B81" s="126" t="s">
        <v>78</v>
      </c>
      <c r="C81" s="88"/>
      <c r="D81" s="88"/>
      <c r="E81" s="88"/>
      <c r="F81" s="88"/>
      <c r="G81" s="115"/>
      <c r="H81" s="115"/>
      <c r="I81" s="115"/>
      <c r="J81" s="115"/>
    </row>
    <row r="82" spans="1:10" ht="15.75">
      <c r="A82" s="111" t="s">
        <v>251</v>
      </c>
      <c r="B82" s="126" t="s">
        <v>252</v>
      </c>
      <c r="C82" s="88"/>
      <c r="D82" s="88"/>
      <c r="E82" s="88"/>
      <c r="F82" s="88"/>
    </row>
    <row r="83" spans="1:10" ht="15.75">
      <c r="A83" s="111" t="s">
        <v>253</v>
      </c>
      <c r="B83" s="126">
        <v>17</v>
      </c>
      <c r="C83" s="88">
        <v>1112</v>
      </c>
      <c r="D83" s="88">
        <f>C83</f>
        <v>1112</v>
      </c>
      <c r="E83" s="88">
        <v>20</v>
      </c>
      <c r="F83" s="88">
        <v>8734851</v>
      </c>
    </row>
    <row r="84" spans="1:10" ht="31.5">
      <c r="A84" s="111" t="s">
        <v>254</v>
      </c>
      <c r="B84" s="126">
        <v>18</v>
      </c>
      <c r="C84" s="88">
        <f>9642+1011853</f>
        <v>1021495</v>
      </c>
      <c r="D84" s="88">
        <f>5625651+C84</f>
        <v>6647146</v>
      </c>
      <c r="E84" s="88">
        <v>435674</v>
      </c>
      <c r="F84" s="88">
        <v>5492090</v>
      </c>
    </row>
    <row r="85" spans="1:10" ht="15.75">
      <c r="A85" s="111" t="s">
        <v>255</v>
      </c>
      <c r="B85" s="126">
        <v>19</v>
      </c>
      <c r="C85" s="88"/>
      <c r="D85" s="88">
        <f>2018+C85</f>
        <v>2018</v>
      </c>
      <c r="E85" s="88">
        <v>38409</v>
      </c>
      <c r="F85" s="88">
        <v>139740</v>
      </c>
    </row>
    <row r="86" spans="1:10" ht="15.75">
      <c r="A86" s="111" t="s">
        <v>256</v>
      </c>
      <c r="B86" s="126">
        <v>20</v>
      </c>
      <c r="C86" s="88">
        <f>1067783-1011853</f>
        <v>55930</v>
      </c>
      <c r="D86" s="88">
        <f>1053904+C86</f>
        <v>1109834</v>
      </c>
      <c r="E86" s="88">
        <v>422554</v>
      </c>
      <c r="F86" s="88">
        <v>6073448</v>
      </c>
    </row>
    <row r="87" spans="1:10" ht="15.75">
      <c r="A87" s="111" t="s">
        <v>257</v>
      </c>
      <c r="B87" s="126">
        <v>21</v>
      </c>
      <c r="C87" s="88"/>
      <c r="D87" s="88"/>
      <c r="E87" s="88"/>
      <c r="F87" s="88"/>
    </row>
    <row r="88" spans="1:10" ht="15.75">
      <c r="A88" s="111" t="s">
        <v>258</v>
      </c>
      <c r="B88" s="126">
        <v>22</v>
      </c>
      <c r="C88" s="88"/>
      <c r="D88" s="88"/>
      <c r="E88" s="88"/>
      <c r="F88" s="88"/>
    </row>
    <row r="89" spans="1:10" ht="15.75">
      <c r="A89" s="111" t="s">
        <v>259</v>
      </c>
      <c r="B89" s="126">
        <v>23</v>
      </c>
      <c r="C89" s="88"/>
      <c r="D89" s="88"/>
      <c r="E89" s="88"/>
      <c r="F89" s="88"/>
    </row>
    <row r="90" spans="1:10" ht="15.75">
      <c r="A90" s="111" t="s">
        <v>260</v>
      </c>
      <c r="B90" s="126">
        <v>24</v>
      </c>
      <c r="C90" s="88"/>
      <c r="D90" s="88"/>
      <c r="E90" s="88"/>
      <c r="F90" s="88"/>
    </row>
    <row r="91" spans="1:10" ht="15.75">
      <c r="A91" s="111" t="s">
        <v>21</v>
      </c>
      <c r="B91" s="126"/>
      <c r="C91" s="88"/>
      <c r="D91" s="88"/>
      <c r="E91" s="88"/>
      <c r="F91" s="88"/>
    </row>
    <row r="92" spans="1:10" ht="15.75">
      <c r="A92" s="111" t="s">
        <v>217</v>
      </c>
      <c r="B92" s="126" t="s">
        <v>261</v>
      </c>
      <c r="C92" s="88"/>
      <c r="D92" s="88"/>
      <c r="E92" s="88"/>
      <c r="F92" s="88"/>
    </row>
    <row r="93" spans="1:10" ht="15.75">
      <c r="A93" s="111" t="s">
        <v>219</v>
      </c>
      <c r="B93" s="126" t="s">
        <v>262</v>
      </c>
      <c r="C93" s="88"/>
      <c r="D93" s="88"/>
      <c r="E93" s="88"/>
      <c r="F93" s="88"/>
    </row>
    <row r="94" spans="1:10" ht="15.75">
      <c r="A94" s="111" t="s">
        <v>221</v>
      </c>
      <c r="B94" s="126" t="s">
        <v>263</v>
      </c>
      <c r="C94" s="88"/>
      <c r="D94" s="88"/>
      <c r="E94" s="88"/>
      <c r="F94" s="88"/>
    </row>
    <row r="95" spans="1:10" ht="15.75">
      <c r="A95" s="111" t="s">
        <v>223</v>
      </c>
      <c r="B95" s="126" t="s">
        <v>264</v>
      </c>
      <c r="C95" s="88"/>
      <c r="D95" s="88"/>
      <c r="E95" s="88"/>
      <c r="F95" s="88"/>
    </row>
    <row r="96" spans="1:10" ht="31.5">
      <c r="A96" s="111" t="s">
        <v>265</v>
      </c>
      <c r="B96" s="126">
        <v>25</v>
      </c>
      <c r="C96" s="88">
        <v>0</v>
      </c>
      <c r="D96" s="88">
        <v>0</v>
      </c>
      <c r="E96" s="88"/>
      <c r="F96" s="88"/>
    </row>
    <row r="97" spans="1:12" ht="15.75">
      <c r="A97" s="111" t="s">
        <v>266</v>
      </c>
      <c r="B97" s="126">
        <v>26</v>
      </c>
      <c r="C97" s="88">
        <v>37791</v>
      </c>
      <c r="D97" s="88">
        <f>124128+C97</f>
        <v>161919</v>
      </c>
      <c r="E97" s="88">
        <v>73847</v>
      </c>
      <c r="F97" s="88">
        <v>584925</v>
      </c>
    </row>
    <row r="98" spans="1:12" s="120" customFormat="1" ht="15.75">
      <c r="A98" s="117" t="s">
        <v>21</v>
      </c>
      <c r="B98" s="128"/>
      <c r="C98" s="91"/>
      <c r="D98" s="91"/>
      <c r="E98" s="91"/>
      <c r="F98" s="91"/>
    </row>
    <row r="99" spans="1:12" s="120" customFormat="1" ht="15.75">
      <c r="A99" s="117" t="s">
        <v>267</v>
      </c>
      <c r="B99" s="128" t="s">
        <v>268</v>
      </c>
      <c r="C99" s="91">
        <v>27601</v>
      </c>
      <c r="D99" s="91">
        <f>66960+C99</f>
        <v>94561</v>
      </c>
      <c r="E99" s="91">
        <v>8843</v>
      </c>
      <c r="F99" s="91">
        <v>210552</v>
      </c>
    </row>
    <row r="100" spans="1:12" s="120" customFormat="1" ht="15.75">
      <c r="A100" s="117" t="s">
        <v>269</v>
      </c>
      <c r="B100" s="128" t="s">
        <v>270</v>
      </c>
      <c r="C100" s="91"/>
      <c r="D100" s="91"/>
      <c r="E100" s="91"/>
      <c r="F100" s="91"/>
    </row>
    <row r="101" spans="1:12" s="120" customFormat="1" ht="15.75">
      <c r="A101" s="117" t="s">
        <v>271</v>
      </c>
      <c r="B101" s="128" t="s">
        <v>272</v>
      </c>
      <c r="C101" s="91">
        <f>C97-C99-C102-C103-C104</f>
        <v>7652</v>
      </c>
      <c r="D101" s="91">
        <f>D97-D99-D102-D103-D104</f>
        <v>53862</v>
      </c>
      <c r="E101" s="91">
        <f>E97-E99-E102-E103-E104</f>
        <v>64129</v>
      </c>
      <c r="F101" s="91">
        <f>F97-F99-F102-F103-F104</f>
        <v>346981</v>
      </c>
    </row>
    <row r="102" spans="1:12" s="120" customFormat="1" ht="15.75">
      <c r="A102" s="117" t="s">
        <v>273</v>
      </c>
      <c r="B102" s="128" t="s">
        <v>274</v>
      </c>
      <c r="C102" s="91">
        <v>44</v>
      </c>
      <c r="D102" s="91">
        <f>346+C102</f>
        <v>390</v>
      </c>
      <c r="E102" s="91">
        <v>25</v>
      </c>
      <c r="F102" s="91">
        <v>577</v>
      </c>
    </row>
    <row r="103" spans="1:12" s="120" customFormat="1" ht="31.5">
      <c r="A103" s="117" t="s">
        <v>275</v>
      </c>
      <c r="B103" s="128" t="s">
        <v>276</v>
      </c>
      <c r="C103" s="91">
        <v>2494</v>
      </c>
      <c r="D103" s="91">
        <f>10612+C103</f>
        <v>13106</v>
      </c>
      <c r="E103" s="91">
        <v>850</v>
      </c>
      <c r="F103" s="91">
        <v>25305</v>
      </c>
    </row>
    <row r="104" spans="1:12" s="120" customFormat="1" ht="15.75">
      <c r="A104" s="117" t="s">
        <v>277</v>
      </c>
      <c r="B104" s="128" t="s">
        <v>278</v>
      </c>
      <c r="C104" s="91"/>
      <c r="D104" s="91"/>
      <c r="E104" s="91">
        <v>0</v>
      </c>
      <c r="F104" s="91">
        <v>1510</v>
      </c>
    </row>
    <row r="105" spans="1:12" ht="15.75">
      <c r="A105" s="129" t="s">
        <v>279</v>
      </c>
      <c r="B105" s="130" t="s">
        <v>280</v>
      </c>
      <c r="C105" s="88"/>
      <c r="D105" s="88"/>
      <c r="E105" s="88"/>
      <c r="F105" s="88"/>
    </row>
    <row r="106" spans="1:12" ht="15.75">
      <c r="A106" s="131" t="s">
        <v>281</v>
      </c>
      <c r="B106" s="130" t="s">
        <v>282</v>
      </c>
      <c r="C106" s="93">
        <f>C62+C68+C76+C83+C84+C85+C86+C87+C88+C89+C90+C96+C97+C105</f>
        <v>1119114</v>
      </c>
      <c r="D106" s="93">
        <f>D62+D68+D76+D83+D84+D85+D86+D87+D88+D89+D90+D96+D97+D105</f>
        <v>7944905</v>
      </c>
      <c r="E106" s="93">
        <f>E62+E68+E76+E83+E84+E85+E86+E87+E88+E89+E90+E96+E97+E105</f>
        <v>972748</v>
      </c>
      <c r="F106" s="93">
        <f>F62+F68+F76+F83+F84+F85+F86+F87+F88+F89+F90+F96+F97+F105</f>
        <v>21049790</v>
      </c>
    </row>
    <row r="107" spans="1:12" ht="15.75">
      <c r="A107" s="129"/>
      <c r="B107" s="130"/>
      <c r="C107" s="95"/>
      <c r="D107" s="95"/>
      <c r="E107" s="95"/>
      <c r="F107" s="95"/>
    </row>
    <row r="108" spans="1:12" ht="15.75">
      <c r="A108" s="131" t="s">
        <v>283</v>
      </c>
      <c r="B108" s="130" t="s">
        <v>284</v>
      </c>
      <c r="C108" s="93">
        <f>C60-C106</f>
        <v>163442</v>
      </c>
      <c r="D108" s="93">
        <f>D60-D106</f>
        <v>1369012</v>
      </c>
      <c r="E108" s="93">
        <f>E60-E106</f>
        <v>-240134</v>
      </c>
      <c r="F108" s="93">
        <f>F60-F106</f>
        <v>-9963920</v>
      </c>
    </row>
    <row r="109" spans="1:12" ht="15.75">
      <c r="A109" s="129"/>
      <c r="B109" s="130"/>
      <c r="C109" s="95"/>
      <c r="D109" s="95"/>
      <c r="E109" s="95"/>
      <c r="F109" s="95"/>
    </row>
    <row r="110" spans="1:12" ht="15.75">
      <c r="A110" s="129" t="s">
        <v>285</v>
      </c>
      <c r="B110" s="130" t="s">
        <v>286</v>
      </c>
      <c r="C110" s="88"/>
      <c r="D110" s="88"/>
      <c r="E110" s="88"/>
      <c r="F110" s="88"/>
    </row>
    <row r="111" spans="1:12" ht="15.75">
      <c r="A111" s="129"/>
      <c r="B111" s="130"/>
      <c r="C111" s="95"/>
      <c r="D111" s="95"/>
      <c r="E111" s="95"/>
      <c r="F111" s="95"/>
    </row>
    <row r="112" spans="1:12" ht="15.75">
      <c r="A112" s="131" t="s">
        <v>287</v>
      </c>
      <c r="B112" s="130" t="s">
        <v>288</v>
      </c>
      <c r="C112" s="93">
        <f>C108-C110</f>
        <v>163442</v>
      </c>
      <c r="D112" s="93">
        <f>D108-D110</f>
        <v>1369012</v>
      </c>
      <c r="E112" s="93">
        <f>E108-E110</f>
        <v>-240134</v>
      </c>
      <c r="F112" s="93">
        <f>F108-F110</f>
        <v>-9963920</v>
      </c>
      <c r="H112" s="132">
        <v>921707512.79999995</v>
      </c>
      <c r="I112" s="132">
        <v>946412741.92999995</v>
      </c>
      <c r="J112" s="132">
        <v>1230274919.9100001</v>
      </c>
      <c r="K112" s="133"/>
      <c r="L112" s="132">
        <v>1205569690.78</v>
      </c>
    </row>
    <row r="113" spans="1:8" ht="15.75">
      <c r="A113" s="129" t="s">
        <v>289</v>
      </c>
      <c r="B113" s="130" t="s">
        <v>290</v>
      </c>
      <c r="C113" s="95"/>
      <c r="D113" s="95"/>
      <c r="E113" s="95"/>
      <c r="F113" s="95"/>
    </row>
    <row r="114" spans="1:8" ht="15.75">
      <c r="A114" s="129"/>
      <c r="B114" s="130"/>
      <c r="C114" s="95"/>
      <c r="D114" s="95"/>
      <c r="E114" s="95"/>
      <c r="F114" s="95"/>
    </row>
    <row r="115" spans="1:8" ht="15.75">
      <c r="A115" s="131" t="s">
        <v>291</v>
      </c>
      <c r="B115" s="130" t="s">
        <v>292</v>
      </c>
      <c r="C115" s="93">
        <f>C112+C113</f>
        <v>163442</v>
      </c>
      <c r="D115" s="93">
        <f t="shared" ref="D115:F115" si="6">D112+D113</f>
        <v>1369012</v>
      </c>
      <c r="E115" s="93">
        <f t="shared" si="6"/>
        <v>-240134</v>
      </c>
      <c r="F115" s="93">
        <f t="shared" si="6"/>
        <v>-9963920</v>
      </c>
      <c r="H115" s="125">
        <f>L112-H112</f>
        <v>283862177.98000002</v>
      </c>
    </row>
    <row r="117" spans="1:8">
      <c r="A117" s="134" t="s">
        <v>157</v>
      </c>
      <c r="B117" s="134"/>
      <c r="C117" s="134"/>
      <c r="D117" s="134"/>
      <c r="E117" s="134"/>
      <c r="F117" s="134"/>
      <c r="H117" s="125"/>
    </row>
    <row r="118" spans="1:8">
      <c r="A118" s="135"/>
      <c r="B118" s="135"/>
      <c r="C118" s="135"/>
      <c r="D118" s="135"/>
      <c r="E118" s="135"/>
      <c r="F118" s="135"/>
      <c r="H118" s="125"/>
    </row>
    <row r="120" spans="1:8">
      <c r="H120" s="125"/>
    </row>
    <row r="121" spans="1:8" s="138" customFormat="1" ht="15.75">
      <c r="A121" s="136" t="str">
        <f>ф1!A122</f>
        <v>Председатель Правления _________________________Каракулов М.Е.</v>
      </c>
      <c r="B121" s="137"/>
      <c r="C121" s="96"/>
      <c r="D121" s="97"/>
      <c r="F121" s="139"/>
    </row>
    <row r="122" spans="1:8" s="138" customFormat="1" ht="15.75">
      <c r="A122" s="136"/>
      <c r="B122" s="137"/>
      <c r="C122" s="96"/>
      <c r="D122" s="97"/>
    </row>
    <row r="123" spans="1:8" s="138" customFormat="1" ht="15.75">
      <c r="A123" s="136" t="str">
        <f>ф1!A124</f>
        <v>Главный бухгалтер  ______________________________Сатпаева Ш.К.</v>
      </c>
      <c r="B123" s="137"/>
      <c r="C123" s="96"/>
      <c r="D123" s="97"/>
    </row>
    <row r="124" spans="1:8">
      <c r="A124" s="140"/>
      <c r="B124" s="141"/>
      <c r="C124" s="98"/>
      <c r="D124" s="98"/>
    </row>
    <row r="125" spans="1:8">
      <c r="A125" s="140"/>
      <c r="B125" s="98"/>
      <c r="C125" s="98"/>
      <c r="D125" s="98"/>
    </row>
    <row r="126" spans="1:8">
      <c r="A126" s="142" t="s">
        <v>160</v>
      </c>
      <c r="B126" s="141"/>
      <c r="C126" s="98"/>
      <c r="D126" s="98"/>
    </row>
    <row r="127" spans="1:8">
      <c r="A127" s="84" t="s">
        <v>293</v>
      </c>
      <c r="B127" s="141"/>
      <c r="C127" s="98"/>
      <c r="D127" s="98"/>
    </row>
    <row r="128" spans="1:8">
      <c r="A128" s="142" t="s">
        <v>161</v>
      </c>
      <c r="B128" s="98"/>
      <c r="C128" s="98"/>
      <c r="D128" s="98"/>
    </row>
    <row r="129" spans="1:1">
      <c r="A129" s="143"/>
    </row>
    <row r="130" spans="1:1">
      <c r="A130" s="143"/>
    </row>
    <row r="131" spans="1:1">
      <c r="A131" s="143"/>
    </row>
  </sheetData>
  <mergeCells count="6">
    <mergeCell ref="E1:F1"/>
    <mergeCell ref="A3:F3"/>
    <mergeCell ref="A4:F4"/>
    <mergeCell ref="A5:F5"/>
    <mergeCell ref="A6:F6"/>
    <mergeCell ref="A117:F117"/>
  </mergeCells>
  <pageMargins left="0.74803149606299213" right="0.31496062992125984" top="0.55118110236220474" bottom="0.65" header="0.51181102362204722" footer="0.26"/>
  <pageSetup paperSize="9" scale="50" fitToHeight="2" orientation="portrait" r:id="rId1"/>
  <headerFooter alignWithMargins="0">
    <oddFooter>&amp;R&amp;P</oddFooter>
  </headerFooter>
  <rowBreaks count="1" manualBreakCount="1">
    <brk id="8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s_satpayeva</cp:lastModifiedBy>
  <cp:lastPrinted>2017-10-09T05:55:21Z</cp:lastPrinted>
  <dcterms:created xsi:type="dcterms:W3CDTF">2017-10-06T07:38:05Z</dcterms:created>
  <dcterms:modified xsi:type="dcterms:W3CDTF">2017-10-09T05:56:21Z</dcterms:modified>
</cp:coreProperties>
</file>