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720" windowHeight="11130"/>
  </bookViews>
  <sheets>
    <sheet name="ф1" sheetId="1" r:id="rId1"/>
    <sheet name="ф2" sheetId="2" r:id="rId2"/>
  </sheets>
  <externalReferences>
    <externalReference r:id="rId3"/>
    <externalReference r:id="rId4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'[1]ПРИЛ2ф1-2-3-4-5'!#REF!</definedName>
    <definedName name="__mdDATAempty_t3__">#REF!</definedName>
    <definedName name="__mdDATAmain__">#REF!</definedName>
    <definedName name="__mdDATAshow_1_1__">'[1]ПРИЛ2ф1-2-3-4-5'!#REF!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'[1]ПРИЛ2ф1-2-3-4-5'!#REF!</definedName>
    <definedName name="__mdDATASQL1_2__">'[1]ПРИЛ2ф1-2-3-4-5'!#REF!</definedName>
    <definedName name="__mdDATASQL1_2g__">'[1]ПРИЛ2ф1-2-3-4-5'!#REF!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[2]прил4!#REF!</definedName>
    <definedName name="kbcnb">[2]прил3!#REF!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ф1!$A$1:$D$129</definedName>
    <definedName name="_xlnm.Print_Area" localSheetId="1">ф2!$A$1:$F$126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121" i="2"/>
  <c r="A119"/>
  <c r="D102"/>
  <c r="F99"/>
  <c r="E99"/>
  <c r="D99"/>
  <c r="C99"/>
  <c r="F93"/>
  <c r="F83"/>
  <c r="F82"/>
  <c r="F81"/>
  <c r="E81"/>
  <c r="F80"/>
  <c r="F73"/>
  <c r="E73"/>
  <c r="D73"/>
  <c r="C73"/>
  <c r="E70"/>
  <c r="E72" s="1"/>
  <c r="D70"/>
  <c r="E69"/>
  <c r="F69" s="1"/>
  <c r="D69"/>
  <c r="F68"/>
  <c r="D68"/>
  <c r="F65"/>
  <c r="D72"/>
  <c r="C72"/>
  <c r="F62"/>
  <c r="F59"/>
  <c r="F104" s="1"/>
  <c r="E59"/>
  <c r="E104" s="1"/>
  <c r="D59"/>
  <c r="D104" s="1"/>
  <c r="C59"/>
  <c r="E57"/>
  <c r="E106" s="1"/>
  <c r="E110" s="1"/>
  <c r="E113" s="1"/>
  <c r="F55"/>
  <c r="F46"/>
  <c r="I45"/>
  <c r="H45"/>
  <c r="F45"/>
  <c r="G45"/>
  <c r="I44"/>
  <c r="G44"/>
  <c r="F44"/>
  <c r="J44" s="1"/>
  <c r="H44"/>
  <c r="J43"/>
  <c r="F43"/>
  <c r="E43"/>
  <c r="I43" s="1"/>
  <c r="H43"/>
  <c r="G43"/>
  <c r="I42"/>
  <c r="G42"/>
  <c r="F42"/>
  <c r="J42" s="1"/>
  <c r="H42"/>
  <c r="E39"/>
  <c r="F37"/>
  <c r="F39" s="1"/>
  <c r="D37"/>
  <c r="F34"/>
  <c r="E34"/>
  <c r="D34"/>
  <c r="D39"/>
  <c r="D26"/>
  <c r="F25"/>
  <c r="F24"/>
  <c r="F23"/>
  <c r="D23"/>
  <c r="D22"/>
  <c r="F21"/>
  <c r="D21"/>
  <c r="D16" s="1"/>
  <c r="C21"/>
  <c r="F20"/>
  <c r="F18"/>
  <c r="F16"/>
  <c r="C16"/>
  <c r="D15"/>
  <c r="F12"/>
  <c r="F57" s="1"/>
  <c r="F106" s="1"/>
  <c r="F110" s="1"/>
  <c r="F113" s="1"/>
  <c r="E12"/>
  <c r="D12"/>
  <c r="A6"/>
  <c r="D113" i="1"/>
  <c r="C111"/>
  <c r="C109" s="1"/>
  <c r="D104"/>
  <c r="C104"/>
  <c r="C113" s="1"/>
  <c r="F98"/>
  <c r="E98"/>
  <c r="C79"/>
  <c r="D70"/>
  <c r="D69" s="1"/>
  <c r="D95" s="1"/>
  <c r="D115" s="1"/>
  <c r="C70"/>
  <c r="C69" s="1"/>
  <c r="C95" s="1"/>
  <c r="G60"/>
  <c r="E37"/>
  <c r="D37"/>
  <c r="F37" s="1"/>
  <c r="C37"/>
  <c r="F30"/>
  <c r="F24"/>
  <c r="F22"/>
  <c r="C36"/>
  <c r="C11"/>
  <c r="C60" s="1"/>
  <c r="F59" s="1"/>
  <c r="D57" i="2" l="1"/>
  <c r="D106" s="1"/>
  <c r="D110" s="1"/>
  <c r="D113" s="1"/>
  <c r="C104"/>
  <c r="C57"/>
  <c r="C115" i="1"/>
  <c r="E117" s="1"/>
  <c r="C106" i="2"/>
  <c r="C110" s="1"/>
  <c r="C113" s="1"/>
  <c r="C39"/>
  <c r="D36" i="1"/>
  <c r="D60" s="1"/>
  <c r="F70" i="2"/>
  <c r="F72" s="1"/>
</calcChain>
</file>

<file path=xl/sharedStrings.xml><?xml version="1.0" encoding="utf-8"?>
<sst xmlns="http://schemas.openxmlformats.org/spreadsheetml/2006/main" count="350" uniqueCount="294">
  <si>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</si>
  <si>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</si>
  <si>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</si>
  <si>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</si>
  <si>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</si>
  <si>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января 2017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</si>
  <si>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</si>
  <si>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</si>
  <si>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</si>
  <si>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</si>
  <si>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</si>
  <si>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</si>
  <si>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</si>
  <si>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</si>
  <si>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</si>
  <si>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</si>
  <si>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</si>
  <si>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</si>
  <si>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</si>
  <si>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</si>
  <si>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Пр 3 стр 4 гр 13 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</si>
  <si>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</si>
  <si>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</si>
  <si>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</si>
  <si>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</si>
  <si>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Пр 2 стр 1 гр 12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</si>
  <si>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</si>
  <si>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</si>
  <si>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Пр 1 стр 7 гр 11</t>
  </si>
  <si>
    <t>5.1</t>
  </si>
  <si>
    <t>Ценные бумаги, имеющиеся в наличии для продажи (за вычетом резервов на обесценение)</t>
  </si>
  <si>
    <t>Пр 1 стр 7 гр 9</t>
  </si>
  <si>
    <t>6.1</t>
  </si>
  <si>
    <t>Ценные бумаги, удерживаемые до погашения (за вычетом резервов на обесценение)</t>
  </si>
  <si>
    <t>7</t>
  </si>
  <si>
    <t>Пр 1 стр 7 гр 13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</si>
  <si>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</si>
  <si>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</si>
  <si>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</si>
  <si>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</si>
  <si>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</si>
  <si>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</si>
  <si>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</si>
  <si>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</si>
  <si>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</si>
  <si>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</si>
  <si>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</si>
  <si>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</si>
  <si>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</si>
  <si>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</si>
  <si>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</si>
  <si>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</si>
  <si>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</si>
  <si>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</si>
  <si>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</si>
  <si>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</si>
  <si>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</si>
  <si>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</si>
  <si>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</si>
  <si>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</si>
  <si>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</si>
  <si>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</si>
  <si>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</si>
  <si>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</si>
  <si>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</si>
  <si>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</si>
  <si>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</si>
  <si>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</si>
  <si>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</si>
  <si>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</si>
  <si>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</si>
  <si>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</si>
  <si>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</si>
  <si>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</si>
  <si>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</si>
  <si>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</si>
  <si>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</si>
  <si>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</si>
  <si>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</si>
  <si>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</si>
  <si>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</si>
  <si>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</si>
  <si>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</si>
  <si>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Ф1 стр 22= Ф1 стр46</t>
  </si>
  <si>
    <t>Обязательства</t>
  </si>
  <si>
    <t>Операция «РЕПО»</t>
  </si>
  <si>
    <t>Пр 2 стр 2 гр 12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</si>
  <si>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</si>
  <si>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</si>
  <si>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</si>
  <si>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</si>
  <si>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</si>
  <si>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</si>
  <si>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</si>
  <si>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</si>
  <si>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</si>
  <si>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</si>
  <si>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</si>
  <si>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</si>
  <si>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</si>
  <si>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</si>
  <si>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</si>
  <si>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</si>
  <si>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</si>
  <si>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</si>
  <si>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</si>
  <si>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</si>
  <si>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</si>
  <si>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</si>
  <si>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</si>
  <si>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</si>
  <si>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</si>
  <si>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</si>
  <si>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</si>
  <si>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</si>
  <si>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</si>
  <si>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</si>
  <si>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</si>
  <si>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</si>
  <si>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</si>
  <si>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</si>
  <si>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</si>
  <si>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</si>
  <si>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</si>
  <si>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</si>
  <si>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</si>
  <si>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</si>
  <si>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</si>
  <si>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</si>
  <si>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</si>
  <si>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</si>
  <si>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</si>
  <si>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</si>
  <si>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</si>
  <si>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</si>
  <si>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</si>
  <si>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</si>
  <si>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</si>
  <si>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</si>
  <si>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</si>
  <si>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</si>
  <si>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</si>
  <si>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>резервы переоценки ценных бумаг, предназначенных для продажи</t>
  </si>
  <si>
    <t>40.1</t>
  </si>
  <si>
    <t>резерв на переоценку основных средств</t>
  </si>
  <si>
    <t>40.2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</si>
  <si>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</si>
  <si>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</si>
  <si>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</si>
  <si>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</si>
  <si>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</si>
  <si>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</si>
  <si>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должно быть равно Ф2 стр 27 гр 4</t>
  </si>
  <si>
    <t>Итого капитал</t>
  </si>
  <si>
    <t>Итого капитал и обязательства (стр. 35 + стр. 43)</t>
  </si>
  <si>
    <t>Ф1 стр 44=Ф1 стр 22=Ф1 стр35+стр43</t>
  </si>
  <si>
    <t>Статья «Доля меньшинства» заполняется при составлении консолидированной финансовой отчетности.</t>
  </si>
  <si>
    <t>Первый руководитель (на период его отсутствия - лицо его замещающее) ____________________Сейлханов Б.А.</t>
  </si>
  <si>
    <t>Главный бухгалтер  ______________________________Сатпаева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</si>
  <si>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</si>
  <si>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</si>
  <si>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</si>
  <si>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</si>
  <si>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</si>
  <si>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</si>
  <si>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</si>
  <si>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</si>
  <si>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</si>
  <si>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</si>
  <si>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</si>
  <si>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</si>
  <si>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</si>
  <si>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</si>
  <si>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</si>
  <si>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</si>
  <si>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</si>
  <si>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 xml:space="preserve">     доходы в виде дивидендов по акциям, находящимся в портфеле ценных бумаг, имеющихся в наличии для продажи</t>
  </si>
  <si>
    <t>1.3.1.1</t>
  </si>
  <si>
    <t xml:space="preserve">     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</si>
  <si>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</si>
  <si>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</si>
  <si>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</si>
  <si>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</si>
  <si>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</si>
  <si>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</si>
  <si>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</si>
  <si>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</si>
  <si>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</si>
  <si>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 xml:space="preserve">     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</si>
  <si>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</si>
  <si>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</si>
  <si>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</si>
  <si>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</si>
  <si>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</si>
  <si>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</si>
  <si>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</si>
  <si>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</si>
  <si>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</si>
  <si>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</si>
  <si>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</si>
  <si>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</si>
  <si>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</si>
  <si>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</si>
  <si>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</si>
  <si>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</si>
  <si>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</si>
  <si>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</si>
  <si>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</si>
  <si>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</si>
  <si>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</si>
  <si>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</si>
  <si>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</si>
  <si>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</si>
  <si>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</si>
  <si>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</si>
  <si>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</si>
  <si>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</si>
  <si>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</si>
  <si>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</si>
  <si>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</si>
  <si>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</si>
  <si>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</si>
  <si>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</si>
  <si>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</si>
  <si>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</si>
  <si>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</si>
  <si>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</si>
  <si>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</si>
  <si>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</si>
  <si>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</si>
  <si>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</si>
  <si>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</si>
  <si>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</si>
  <si>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</si>
  <si>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</si>
  <si>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</si>
  <si>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</si>
  <si>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</si>
  <si>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</si>
  <si>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</si>
  <si>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</si>
  <si>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</si>
  <si>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</si>
  <si>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</si>
  <si>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</si>
  <si>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</si>
  <si>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</si>
  <si>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</si>
  <si>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</si>
  <si>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</si>
  <si>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</si>
  <si>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</si>
  <si>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</si>
  <si>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</si>
  <si>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</si>
  <si>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</si>
  <si>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</si>
  <si>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</si>
  <si>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</si>
  <si>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</si>
  <si>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</si>
  <si>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</si>
  <si>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</si>
  <si>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24.5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</si>
  <si>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</si>
  <si>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</si>
  <si>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</si>
  <si>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</si>
  <si>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общехозяйственные расходы</t>
  </si>
  <si>
    <t>26.2</t>
  </si>
  <si>
    <t>транспортные расходы</t>
  </si>
  <si>
    <t>26.3</t>
  </si>
  <si>
    <t>административные расходы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</si>
  <si>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</si>
  <si>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</si>
  <si>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</si>
  <si>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</si>
  <si>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26.6</t>
  </si>
  <si>
    <t>неустойка (штраф, пеня)</t>
  </si>
  <si>
    <t>26.7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</si>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</sst>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4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color rgb="FFFF000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0" fontId="2" fillId="0" borderId="0"/>
    <xf numFmtId="0" fontId="20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35" fillId="0" borderId="0">
      <alignment horizontal="left" vertical="top"/>
    </xf>
    <xf numFmtId="0" fontId="35" fillId="0" borderId="0">
      <alignment horizontal="left" vertical="top"/>
    </xf>
    <xf numFmtId="0" fontId="35" fillId="0" borderId="0">
      <alignment horizontal="left" vertical="top"/>
    </xf>
    <xf numFmtId="0" fontId="36" fillId="0" borderId="0">
      <alignment horizontal="center" vertical="top"/>
    </xf>
    <xf numFmtId="0" fontId="37" fillId="0" borderId="0">
      <alignment horizontal="center" vertical="top"/>
    </xf>
    <xf numFmtId="0" fontId="35" fillId="0" borderId="0">
      <alignment horizontal="left" vertical="top"/>
    </xf>
    <xf numFmtId="0" fontId="3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1" applyFont="1" applyFill="1" applyProtection="1">
      <protection locked="0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5" fillId="2" borderId="0" xfId="1" applyFont="1" applyFill="1" applyProtection="1">
      <protection locked="0"/>
    </xf>
    <xf numFmtId="0" fontId="8" fillId="2" borderId="0" xfId="1" applyFont="1" applyFill="1" applyProtection="1"/>
    <xf numFmtId="0" fontId="8" fillId="3" borderId="0" xfId="1" applyFont="1" applyFill="1" applyProtection="1"/>
    <xf numFmtId="0" fontId="8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1" xfId="1" applyFont="1" applyFill="1" applyBorder="1" applyAlignment="1" applyProtection="1">
      <alignment horizontal="left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4" fontId="10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horizontal="left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0" fontId="12" fillId="2" borderId="0" xfId="1" applyFont="1" applyFill="1" applyProtection="1">
      <protection locked="0"/>
    </xf>
    <xf numFmtId="4" fontId="13" fillId="2" borderId="0" xfId="1" applyNumberFormat="1" applyFont="1" applyFill="1" applyProtection="1">
      <protection locked="0"/>
    </xf>
    <xf numFmtId="0" fontId="11" fillId="2" borderId="1" xfId="1" quotePrefix="1" applyFont="1" applyFill="1" applyBorder="1" applyAlignment="1" applyProtection="1">
      <alignment horizontal="left" wrapText="1"/>
    </xf>
    <xf numFmtId="49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wrapText="1"/>
    </xf>
    <xf numFmtId="3" fontId="12" fillId="2" borderId="0" xfId="1" applyNumberFormat="1" applyFont="1" applyFill="1" applyProtection="1">
      <protection locked="0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1" applyNumberFormat="1" applyFont="1" applyFill="1" applyProtection="1">
      <protection locked="0"/>
    </xf>
    <xf numFmtId="0" fontId="14" fillId="2" borderId="1" xfId="1" applyFont="1" applyFill="1" applyBorder="1" applyAlignment="1" applyProtection="1">
      <protection locked="0"/>
    </xf>
    <xf numFmtId="0" fontId="14" fillId="2" borderId="0" xfId="2" applyFont="1" applyFill="1" applyProtection="1">
      <protection locked="0"/>
    </xf>
    <xf numFmtId="0" fontId="15" fillId="2" borderId="1" xfId="1" applyFont="1" applyFill="1" applyBorder="1" applyAlignment="1" applyProtection="1">
      <protection locked="0"/>
    </xf>
    <xf numFmtId="4" fontId="12" fillId="2" borderId="0" xfId="1" applyNumberFormat="1" applyFont="1" applyFill="1" applyProtection="1">
      <protection locked="0"/>
    </xf>
    <xf numFmtId="0" fontId="16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horizontal="right"/>
    </xf>
    <xf numFmtId="3" fontId="18" fillId="4" borderId="1" xfId="0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 applyProtection="1">
      <alignment wrapText="1"/>
    </xf>
    <xf numFmtId="3" fontId="9" fillId="2" borderId="1" xfId="1" applyNumberFormat="1" applyFont="1" applyFill="1" applyBorder="1" applyAlignment="1" applyProtection="1">
      <alignment horizontal="right"/>
    </xf>
    <xf numFmtId="0" fontId="16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16" fillId="2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justify"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left" wrapText="1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3" fontId="12" fillId="2" borderId="1" xfId="1" applyNumberFormat="1" applyFont="1" applyFill="1" applyBorder="1" applyAlignment="1" applyProtection="1">
      <alignment vertical="top" wrapText="1"/>
      <protection locked="0"/>
    </xf>
    <xf numFmtId="3" fontId="16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3" fontId="11" fillId="2" borderId="1" xfId="1" applyNumberFormat="1" applyFont="1" applyFill="1" applyBorder="1" applyAlignment="1" applyProtection="1">
      <alignment vertical="top" wrapText="1"/>
    </xf>
    <xf numFmtId="0" fontId="11" fillId="2" borderId="1" xfId="1" applyFont="1" applyFill="1" applyBorder="1" applyAlignment="1" applyProtection="1">
      <alignment horizontal="justify" wrapText="1"/>
    </xf>
    <xf numFmtId="3" fontId="11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Protection="1"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3" fontId="19" fillId="2" borderId="0" xfId="1" applyNumberFormat="1" applyFont="1" applyFill="1" applyProtection="1">
      <protection locked="0"/>
    </xf>
    <xf numFmtId="3" fontId="19" fillId="3" borderId="0" xfId="1" applyNumberFormat="1" applyFont="1" applyFill="1" applyProtection="1">
      <protection locked="0"/>
    </xf>
    <xf numFmtId="49" fontId="14" fillId="2" borderId="0" xfId="3" applyNumberFormat="1" applyFont="1" applyFill="1" applyProtection="1">
      <protection locked="0"/>
    </xf>
    <xf numFmtId="0" fontId="9" fillId="0" borderId="0" xfId="4" applyFont="1" applyFill="1" applyAlignment="1"/>
    <xf numFmtId="0" fontId="9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6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21" fillId="3" borderId="0" xfId="1" applyFont="1" applyFill="1" applyProtection="1">
      <protection locked="0"/>
    </xf>
    <xf numFmtId="0" fontId="3" fillId="2" borderId="0" xfId="1" applyFont="1" applyFill="1" applyAlignment="1">
      <alignment horizontal="justify" shrinkToFit="1"/>
    </xf>
    <xf numFmtId="0" fontId="22" fillId="2" borderId="0" xfId="1" applyFont="1" applyFill="1" applyAlignment="1" applyProtection="1">
      <alignment horizontal="right" wrapText="1"/>
    </xf>
    <xf numFmtId="0" fontId="14" fillId="2" borderId="0" xfId="1" applyFont="1" applyFill="1" applyAlignment="1" applyProtection="1">
      <alignment horizontal="center"/>
      <protection locked="0"/>
    </xf>
    <xf numFmtId="0" fontId="24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/>
    </xf>
    <xf numFmtId="0" fontId="25" fillId="3" borderId="0" xfId="1" applyFont="1" applyFill="1" applyAlignment="1" applyProtection="1">
      <alignment horizontal="center"/>
    </xf>
    <xf numFmtId="0" fontId="25" fillId="3" borderId="0" xfId="1" applyFont="1" applyFill="1" applyProtection="1"/>
    <xf numFmtId="0" fontId="21" fillId="3" borderId="0" xfId="1" applyFont="1" applyFill="1" applyProtection="1"/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20" fillId="2" borderId="3" xfId="1" applyFont="1" applyFill="1" applyBorder="1" applyAlignment="1" applyProtection="1">
      <alignment vertical="top" wrapText="1"/>
    </xf>
    <xf numFmtId="0" fontId="20" fillId="2" borderId="4" xfId="1" applyFont="1" applyFill="1" applyBorder="1" applyAlignment="1" applyProtection="1">
      <alignment horizontal="center" vertical="top" wrapText="1"/>
      <protection locked="0"/>
    </xf>
    <xf numFmtId="3" fontId="20" fillId="3" borderId="1" xfId="1" applyNumberFormat="1" applyFont="1" applyFill="1" applyBorder="1" applyAlignment="1" applyProtection="1">
      <alignment vertical="top"/>
    </xf>
    <xf numFmtId="3" fontId="26" fillId="3" borderId="1" xfId="1" applyNumberFormat="1" applyFont="1" applyFill="1" applyBorder="1" applyAlignment="1" applyProtection="1">
      <alignment vertical="top"/>
    </xf>
    <xf numFmtId="0" fontId="27" fillId="2" borderId="0" xfId="2" applyFont="1" applyFill="1" applyAlignment="1" applyProtection="1">
      <alignment wrapText="1" shrinkToFit="1"/>
      <protection locked="0"/>
    </xf>
    <xf numFmtId="3" fontId="14" fillId="2" borderId="0" xfId="2" applyNumberFormat="1" applyFont="1" applyFill="1" applyProtection="1">
      <protection locked="0"/>
    </xf>
    <xf numFmtId="49" fontId="20" fillId="2" borderId="4" xfId="1" applyNumberFormat="1" applyFont="1" applyFill="1" applyBorder="1" applyAlignment="1" applyProtection="1">
      <alignment horizontal="center" vertical="top" wrapText="1"/>
      <protection locked="0"/>
    </xf>
    <xf numFmtId="3" fontId="26" fillId="3" borderId="1" xfId="1" applyNumberFormat="1" applyFont="1" applyFill="1" applyBorder="1" applyProtection="1">
      <protection locked="0"/>
    </xf>
    <xf numFmtId="3" fontId="20" fillId="3" borderId="1" xfId="1" applyNumberFormat="1" applyFont="1" applyFill="1" applyBorder="1" applyProtection="1">
      <protection locked="0"/>
    </xf>
    <xf numFmtId="0" fontId="28" fillId="2" borderId="3" xfId="1" applyFont="1" applyFill="1" applyBorder="1" applyAlignment="1" applyProtection="1">
      <alignment vertical="top" wrapText="1"/>
    </xf>
    <xf numFmtId="0" fontId="28" fillId="2" borderId="4" xfId="1" applyFont="1" applyFill="1" applyBorder="1" applyAlignment="1" applyProtection="1">
      <alignment horizontal="center" vertical="top" wrapText="1"/>
      <protection locked="0"/>
    </xf>
    <xf numFmtId="3" fontId="29" fillId="3" borderId="1" xfId="1" applyNumberFormat="1" applyFont="1" applyFill="1" applyBorder="1" applyAlignment="1" applyProtection="1">
      <alignment vertical="top"/>
    </xf>
    <xf numFmtId="3" fontId="28" fillId="3" borderId="1" xfId="1" applyNumberFormat="1" applyFont="1" applyFill="1" applyBorder="1" applyAlignment="1" applyProtection="1">
      <alignment vertical="top"/>
    </xf>
    <xf numFmtId="0" fontId="15" fillId="2" borderId="0" xfId="2" applyFont="1" applyFill="1" applyProtection="1">
      <protection locked="0"/>
    </xf>
    <xf numFmtId="4" fontId="14" fillId="2" borderId="0" xfId="2" applyNumberFormat="1" applyFont="1" applyFill="1" applyProtection="1">
      <protection locked="0"/>
    </xf>
    <xf numFmtId="3" fontId="29" fillId="3" borderId="1" xfId="1" applyNumberFormat="1" applyFont="1" applyFill="1" applyBorder="1" applyAlignment="1" applyProtection="1">
      <alignment vertical="top"/>
      <protection locked="0"/>
    </xf>
    <xf numFmtId="3" fontId="28" fillId="3" borderId="1" xfId="1" applyNumberFormat="1" applyFont="1" applyFill="1" applyBorder="1" applyAlignment="1" applyProtection="1">
      <alignment vertical="top"/>
      <protection locked="0"/>
    </xf>
    <xf numFmtId="4" fontId="15" fillId="2" borderId="0" xfId="2" applyNumberFormat="1" applyFont="1" applyFill="1" applyProtection="1">
      <protection locked="0"/>
    </xf>
    <xf numFmtId="3" fontId="30" fillId="3" borderId="1" xfId="1" applyNumberFormat="1" applyFont="1" applyFill="1" applyBorder="1" applyProtection="1">
      <protection locked="0"/>
    </xf>
    <xf numFmtId="49" fontId="28" fillId="2" borderId="4" xfId="1" applyNumberFormat="1" applyFont="1" applyFill="1" applyBorder="1" applyAlignment="1" applyProtection="1">
      <alignment horizontal="center" vertical="top" wrapText="1"/>
      <protection locked="0"/>
    </xf>
    <xf numFmtId="0" fontId="28" fillId="3" borderId="1" xfId="1" applyFont="1" applyFill="1" applyBorder="1" applyProtection="1">
      <protection locked="0"/>
    </xf>
    <xf numFmtId="3" fontId="28" fillId="3" borderId="1" xfId="1" applyNumberFormat="1" applyFont="1" applyFill="1" applyBorder="1" applyProtection="1">
      <protection locked="0"/>
    </xf>
    <xf numFmtId="3" fontId="30" fillId="3" borderId="1" xfId="1" applyNumberFormat="1" applyFont="1" applyFill="1" applyBorder="1" applyAlignment="1" applyProtection="1">
      <alignment vertical="top"/>
    </xf>
    <xf numFmtId="49" fontId="20" fillId="2" borderId="5" xfId="1" applyNumberFormat="1" applyFont="1" applyFill="1" applyBorder="1" applyAlignment="1" applyProtection="1">
      <alignment horizontal="center" vertical="top" wrapText="1"/>
      <protection locked="0"/>
    </xf>
    <xf numFmtId="0" fontId="31" fillId="2" borderId="3" xfId="1" applyFont="1" applyFill="1" applyBorder="1" applyAlignment="1" applyProtection="1">
      <alignment vertical="top" wrapText="1"/>
    </xf>
    <xf numFmtId="3" fontId="31" fillId="3" borderId="1" xfId="1" applyNumberFormat="1" applyFont="1" applyFill="1" applyBorder="1" applyProtection="1">
      <protection locked="0"/>
    </xf>
    <xf numFmtId="3" fontId="20" fillId="2" borderId="1" xfId="1" applyNumberFormat="1" applyFont="1" applyFill="1" applyBorder="1" applyAlignment="1" applyProtection="1">
      <alignment vertical="top"/>
    </xf>
    <xf numFmtId="3" fontId="26" fillId="3" borderId="1" xfId="1" applyNumberFormat="1" applyFont="1" applyFill="1" applyBorder="1" applyProtection="1"/>
    <xf numFmtId="3" fontId="20" fillId="3" borderId="1" xfId="1" applyNumberFormat="1" applyFont="1" applyFill="1" applyBorder="1" applyProtection="1"/>
    <xf numFmtId="49" fontId="28" fillId="2" borderId="5" xfId="1" applyNumberFormat="1" applyFont="1" applyFill="1" applyBorder="1" applyAlignment="1" applyProtection="1">
      <alignment horizontal="center" vertical="top" wrapText="1"/>
      <protection locked="0"/>
    </xf>
    <xf numFmtId="3" fontId="29" fillId="3" borderId="1" xfId="1" applyNumberFormat="1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top" wrapText="1"/>
    </xf>
    <xf numFmtId="49" fontId="20" fillId="2" borderId="1" xfId="1" applyNumberFormat="1" applyFont="1" applyFill="1" applyBorder="1" applyAlignment="1" applyProtection="1">
      <alignment horizontal="center"/>
      <protection locked="0"/>
    </xf>
    <xf numFmtId="0" fontId="31" fillId="2" borderId="1" xfId="1" applyFont="1" applyFill="1" applyBorder="1" applyAlignment="1" applyProtection="1">
      <alignment vertical="top" wrapText="1"/>
    </xf>
    <xf numFmtId="0" fontId="20" fillId="3" borderId="1" xfId="1" applyFont="1" applyFill="1" applyBorder="1" applyProtection="1">
      <protection locked="0"/>
    </xf>
    <xf numFmtId="0" fontId="20" fillId="2" borderId="1" xfId="1" applyFont="1" applyFill="1" applyBorder="1" applyProtection="1">
      <protection locked="0"/>
    </xf>
    <xf numFmtId="3" fontId="31" fillId="2" borderId="1" xfId="1" applyNumberFormat="1" applyFont="1" applyFill="1" applyBorder="1" applyProtection="1">
      <protection locked="0"/>
    </xf>
    <xf numFmtId="0" fontId="14" fillId="2" borderId="0" xfId="1" applyFont="1" applyFill="1" applyAlignment="1" applyProtection="1">
      <alignment horizontal="left" wrapText="1"/>
      <protection locked="0"/>
    </xf>
    <xf numFmtId="0" fontId="24" fillId="2" borderId="0" xfId="1" applyFont="1" applyFill="1" applyAlignment="1" applyProtection="1">
      <alignment horizontal="left" wrapText="1"/>
      <protection locked="0"/>
    </xf>
    <xf numFmtId="0" fontId="31" fillId="2" borderId="0" xfId="5" applyFont="1" applyFill="1" applyAlignment="1" applyProtection="1">
      <protection locked="0"/>
    </xf>
    <xf numFmtId="0" fontId="32" fillId="2" borderId="0" xfId="5" applyFont="1" applyFill="1" applyProtection="1">
      <protection locked="0"/>
    </xf>
    <xf numFmtId="0" fontId="33" fillId="3" borderId="0" xfId="5" applyFont="1" applyFill="1" applyProtection="1">
      <protection locked="0"/>
    </xf>
    <xf numFmtId="14" fontId="33" fillId="3" borderId="0" xfId="5" applyNumberFormat="1" applyFont="1" applyFill="1" applyProtection="1">
      <protection locked="0"/>
    </xf>
    <xf numFmtId="0" fontId="34" fillId="2" borderId="0" xfId="1" applyFont="1" applyFill="1" applyProtection="1">
      <protection locked="0"/>
    </xf>
    <xf numFmtId="3" fontId="34" fillId="2" borderId="0" xfId="1" applyNumberFormat="1" applyFont="1" applyFill="1" applyProtection="1">
      <protection locked="0"/>
    </xf>
    <xf numFmtId="0" fontId="16" fillId="2" borderId="0" xfId="5" applyFont="1" applyFill="1" applyAlignment="1" applyProtection="1">
      <alignment wrapText="1"/>
      <protection locked="0"/>
    </xf>
    <xf numFmtId="0" fontId="9" fillId="2" borderId="0" xfId="5" applyFont="1" applyFill="1" applyProtection="1">
      <protection locked="0"/>
    </xf>
    <xf numFmtId="0" fontId="25" fillId="3" borderId="0" xfId="5" applyFont="1" applyFill="1" applyProtection="1">
      <protection locked="0"/>
    </xf>
    <xf numFmtId="0" fontId="8" fillId="2" borderId="0" xfId="5" applyFont="1" applyFill="1" applyProtection="1">
      <protection locked="0"/>
    </xf>
    <xf numFmtId="0" fontId="8" fillId="2" borderId="0" xfId="5" applyFont="1" applyFill="1" applyAlignment="1" applyProtection="1">
      <alignment wrapText="1"/>
      <protection locked="0"/>
    </xf>
    <xf numFmtId="0" fontId="8" fillId="2" borderId="0" xfId="5" applyFont="1" applyFill="1" applyAlignment="1" applyProtection="1">
      <alignment horizontal="left" wrapText="1"/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14" fillId="2" borderId="0" xfId="1" applyFont="1" applyFill="1" applyAlignment="1">
      <alignment horizontal="left"/>
    </xf>
    <xf numFmtId="0" fontId="22" fillId="2" borderId="0" xfId="1" applyFont="1" applyFill="1" applyAlignment="1" applyProtection="1">
      <alignment horizontal="right" wrapText="1"/>
      <protection locked="0"/>
    </xf>
    <xf numFmtId="0" fontId="22" fillId="2" borderId="0" xfId="1" applyFont="1" applyFill="1" applyAlignment="1">
      <alignment horizontal="right" wrapText="1"/>
    </xf>
    <xf numFmtId="0" fontId="23" fillId="2" borderId="0" xfId="1" applyFont="1" applyFill="1" applyAlignment="1" applyProtection="1">
      <alignment horizontal="center"/>
      <protection locked="0"/>
    </xf>
    <xf numFmtId="0" fontId="14" fillId="2" borderId="0" xfId="1" applyFont="1" applyFill="1" applyAlignment="1" applyProtection="1">
      <alignment horizontal="left" wrapText="1"/>
      <protection locked="0"/>
    </xf>
  </cellXfs>
  <cellStyles count="40">
    <cellStyle name="Euro" xfId="6"/>
    <cellStyle name="S0" xfId="7"/>
    <cellStyle name="S1" xfId="8"/>
    <cellStyle name="S19" xfId="9"/>
    <cellStyle name="S2" xfId="10"/>
    <cellStyle name="S3" xfId="11"/>
    <cellStyle name="S8" xfId="12"/>
    <cellStyle name="Гиперссылка 2" xfId="13"/>
    <cellStyle name="Обычный" xfId="0" builtinId="0"/>
    <cellStyle name="Обычный 2" xfId="5"/>
    <cellStyle name="Обычный 2 2" xfId="14"/>
    <cellStyle name="Обычный 2 3" xfId="15"/>
    <cellStyle name="Обычный 2 4" xfId="16"/>
    <cellStyle name="Обычный 3" xfId="4"/>
    <cellStyle name="Обычный 3 2" xfId="17"/>
    <cellStyle name="Обычный 4" xfId="18"/>
    <cellStyle name="Обычный 5" xfId="19"/>
    <cellStyle name="Обычный_I0000609Айнаш" xfId="1"/>
    <cellStyle name="Обычный_I0000709" xfId="2"/>
    <cellStyle name="Обычный_Приложения к Правилам по ИК_рус" xfId="3"/>
    <cellStyle name="Процентный 2" xfId="20"/>
    <cellStyle name="Процентный 3" xfId="21"/>
    <cellStyle name="Стиль 1" xfId="22"/>
    <cellStyle name="Финансовый 2" xfId="23"/>
    <cellStyle name="Финансовый 2 2" xfId="24"/>
    <cellStyle name="Финансовый 2 3" xfId="25"/>
    <cellStyle name="Финансовый 2 4" xfId="26"/>
    <cellStyle name="Финансовый 2 5" xfId="27"/>
    <cellStyle name="Финансовый 2 6" xfId="28"/>
    <cellStyle name="Финансовый 3" xfId="29"/>
    <cellStyle name="Финансовый 3 2" xfId="30"/>
    <cellStyle name="Финансовый 3 2 2" xfId="31"/>
    <cellStyle name="Финансовый 3 2 3" xfId="32"/>
    <cellStyle name="Финансовый 4" xfId="33"/>
    <cellStyle name="Финансовый 5" xfId="34"/>
    <cellStyle name="Финансовый 6" xfId="35"/>
    <cellStyle name="Финансовый 7" xfId="36"/>
    <cellStyle name="Финансовый 8" xfId="37"/>
    <cellStyle name="Финансовый 8 2" xfId="38"/>
    <cellStyle name="Финансовый 9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130"/>
  <sheetViews>
    <sheetView tabSelected="1" view="pageBreakPreview" topLeftCell="A67" zoomScale="85" zoomScaleSheetLayoutView="85" workbookViewId="0">
      <selection activeCell="A74" sqref="A74"/>
    </sheetView>
  </sheetViews>
  <sheetFormatPr defaultRowHeight="12.75"/>
  <cols>
    <col min="1" max="1" width="77" style="1" customWidth="1"/>
    <col min="2" max="2" width="12.140625" style="1" customWidth="1"/>
    <col min="3" max="3" width="15.85546875" style="66" customWidth="1"/>
    <col min="4" max="4" width="17.7109375" style="1" customWidth="1"/>
    <col min="5" max="5" width="19" style="1" customWidth="1"/>
    <col min="6" max="6" width="11.28515625" style="1" bestFit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142" t="s">
        <v>0</v>
      </c>
      <c r="D1" s="143"/>
    </row>
    <row r="2" spans="1:7" ht="21" customHeight="1">
      <c r="C2" s="2"/>
      <c r="D2" s="3" t="s">
        <v>1</v>
      </c>
    </row>
    <row r="3" spans="1:7" s="4" customFormat="1" ht="14.25">
      <c r="A3" s="144" t="s">
        <v>2</v>
      </c>
      <c r="B3" s="144"/>
      <c r="C3" s="144"/>
      <c r="D3" s="144"/>
    </row>
    <row r="4" spans="1:7" s="4" customFormat="1" ht="14.25">
      <c r="A4" s="145" t="s">
        <v>3</v>
      </c>
      <c r="B4" s="145"/>
      <c r="C4" s="145"/>
      <c r="D4" s="145"/>
    </row>
    <row r="5" spans="1:7" s="4" customFormat="1" ht="15">
      <c r="A5" s="146" t="s">
        <v>4</v>
      </c>
      <c r="B5" s="146"/>
      <c r="C5" s="146"/>
      <c r="D5" s="146"/>
    </row>
    <row r="6" spans="1:7" s="4" customFormat="1" ht="15">
      <c r="A6" s="146" t="s">
        <v>5</v>
      </c>
      <c r="B6" s="146"/>
      <c r="C6" s="146"/>
      <c r="D6" s="146"/>
    </row>
    <row r="7" spans="1:7" s="8" customFormat="1">
      <c r="A7" s="5"/>
      <c r="B7" s="5"/>
      <c r="C7" s="6"/>
      <c r="D7" s="7" t="s">
        <v>6</v>
      </c>
    </row>
    <row r="8" spans="1:7" ht="38.25">
      <c r="A8" s="9" t="s">
        <v>7</v>
      </c>
      <c r="B8" s="9" t="s">
        <v>8</v>
      </c>
      <c r="C8" s="10" t="s">
        <v>9</v>
      </c>
      <c r="D8" s="9" t="s">
        <v>10</v>
      </c>
    </row>
    <row r="9" spans="1:7">
      <c r="A9" s="11">
        <v>1</v>
      </c>
      <c r="B9" s="11">
        <v>2</v>
      </c>
      <c r="C9" s="12">
        <v>3</v>
      </c>
      <c r="D9" s="11">
        <v>4</v>
      </c>
    </row>
    <row r="10" spans="1:7">
      <c r="A10" s="13" t="s">
        <v>11</v>
      </c>
      <c r="B10" s="14"/>
      <c r="C10" s="15"/>
      <c r="D10" s="16"/>
    </row>
    <row r="11" spans="1:7">
      <c r="A11" s="17" t="s">
        <v>12</v>
      </c>
      <c r="B11" s="18">
        <v>1</v>
      </c>
      <c r="C11" s="19">
        <f>C13+C14</f>
        <v>2976464</v>
      </c>
      <c r="D11" s="19">
        <v>20859955</v>
      </c>
      <c r="G11" s="20">
        <v>19839.419999999998</v>
      </c>
    </row>
    <row r="12" spans="1:7" s="24" customFormat="1">
      <c r="A12" s="21" t="s">
        <v>13</v>
      </c>
      <c r="B12" s="22"/>
      <c r="C12" s="23"/>
      <c r="D12" s="23"/>
      <c r="G12" s="25">
        <v>11694178.85</v>
      </c>
    </row>
    <row r="13" spans="1:7" s="24" customFormat="1">
      <c r="A13" s="26" t="s">
        <v>14</v>
      </c>
      <c r="B13" s="27" t="s">
        <v>15</v>
      </c>
      <c r="C13" s="23">
        <v>0</v>
      </c>
      <c r="D13" s="23">
        <v>26</v>
      </c>
      <c r="G13" s="25"/>
    </row>
    <row r="14" spans="1:7" s="24" customFormat="1" ht="25.5">
      <c r="A14" s="21" t="s">
        <v>16</v>
      </c>
      <c r="B14" s="27" t="s">
        <v>17</v>
      </c>
      <c r="C14" s="23">
        <v>2976464</v>
      </c>
      <c r="D14" s="23">
        <v>20859929</v>
      </c>
      <c r="G14" s="25">
        <v>14814226580.91</v>
      </c>
    </row>
    <row r="15" spans="1:7">
      <c r="A15" s="28" t="s">
        <v>18</v>
      </c>
      <c r="B15" s="18">
        <v>2</v>
      </c>
      <c r="C15" s="19"/>
      <c r="D15" s="19"/>
      <c r="G15" s="20"/>
    </row>
    <row r="16" spans="1:7">
      <c r="A16" s="28" t="s">
        <v>19</v>
      </c>
      <c r="B16" s="18">
        <v>3</v>
      </c>
      <c r="C16" s="19">
        <v>0</v>
      </c>
      <c r="D16" s="19">
        <v>1361530</v>
      </c>
      <c r="E16" s="1" t="s">
        <v>20</v>
      </c>
      <c r="F16" s="29">
        <v>541609</v>
      </c>
    </row>
    <row r="17" spans="1:8" s="24" customFormat="1">
      <c r="A17" s="30" t="s">
        <v>21</v>
      </c>
      <c r="B17" s="22"/>
      <c r="C17" s="23"/>
      <c r="D17" s="23"/>
      <c r="G17" s="25"/>
    </row>
    <row r="18" spans="1:8" s="24" customFormat="1">
      <c r="A18" s="30" t="s">
        <v>22</v>
      </c>
      <c r="B18" s="27" t="s">
        <v>23</v>
      </c>
      <c r="C18" s="23">
        <v>0</v>
      </c>
      <c r="D18" s="23">
        <v>1490</v>
      </c>
      <c r="G18" s="25"/>
    </row>
    <row r="19" spans="1:8">
      <c r="A19" s="28" t="s">
        <v>24</v>
      </c>
      <c r="B19" s="18">
        <v>4</v>
      </c>
      <c r="C19" s="19">
        <v>3188888</v>
      </c>
      <c r="D19" s="19">
        <v>596000</v>
      </c>
      <c r="E19" s="1" t="s">
        <v>25</v>
      </c>
      <c r="F19" s="29"/>
    </row>
    <row r="20" spans="1:8" s="24" customFormat="1">
      <c r="A20" s="30" t="s">
        <v>21</v>
      </c>
      <c r="B20" s="27"/>
      <c r="C20" s="23"/>
      <c r="D20" s="23"/>
      <c r="G20" s="25"/>
    </row>
    <row r="21" spans="1:8" s="24" customFormat="1">
      <c r="A21" s="30" t="s">
        <v>22</v>
      </c>
      <c r="B21" s="27" t="s">
        <v>26</v>
      </c>
      <c r="C21" s="23">
        <v>2887</v>
      </c>
      <c r="D21" s="23">
        <v>0</v>
      </c>
      <c r="G21" s="25"/>
    </row>
    <row r="22" spans="1:8" ht="25.5">
      <c r="A22" s="28" t="s">
        <v>27</v>
      </c>
      <c r="B22" s="18">
        <v>5</v>
      </c>
      <c r="C22" s="19">
        <v>6251315</v>
      </c>
      <c r="D22" s="19">
        <v>4552582</v>
      </c>
      <c r="E22" s="1" t="s">
        <v>28</v>
      </c>
      <c r="F22" s="29" t="e">
        <f>C22-#REF!</f>
        <v>#REF!</v>
      </c>
      <c r="G22" s="20"/>
    </row>
    <row r="23" spans="1:8" s="24" customFormat="1">
      <c r="A23" s="30" t="s">
        <v>22</v>
      </c>
      <c r="B23" s="27" t="s">
        <v>29</v>
      </c>
      <c r="C23" s="23">
        <v>61153</v>
      </c>
      <c r="D23" s="23">
        <v>54445</v>
      </c>
      <c r="F23" s="31"/>
      <c r="G23" s="25"/>
    </row>
    <row r="24" spans="1:8">
      <c r="A24" s="28" t="s">
        <v>30</v>
      </c>
      <c r="B24" s="18">
        <v>6</v>
      </c>
      <c r="C24" s="19">
        <v>561718</v>
      </c>
      <c r="D24" s="19">
        <v>15480</v>
      </c>
      <c r="E24" s="1" t="s">
        <v>31</v>
      </c>
      <c r="F24" s="29" t="e">
        <f>C24-#REF!</f>
        <v>#REF!</v>
      </c>
    </row>
    <row r="25" spans="1:8" s="24" customFormat="1">
      <c r="A25" s="30" t="s">
        <v>21</v>
      </c>
      <c r="B25" s="27"/>
      <c r="C25" s="23"/>
      <c r="D25" s="23"/>
      <c r="F25" s="31"/>
      <c r="G25" s="25"/>
    </row>
    <row r="26" spans="1:8" s="24" customFormat="1">
      <c r="A26" s="30" t="s">
        <v>22</v>
      </c>
      <c r="B26" s="27" t="s">
        <v>32</v>
      </c>
      <c r="C26" s="23">
        <v>0</v>
      </c>
      <c r="D26" s="23">
        <v>0</v>
      </c>
      <c r="F26" s="31"/>
      <c r="G26" s="25"/>
    </row>
    <row r="27" spans="1:8">
      <c r="A27" s="28" t="s">
        <v>33</v>
      </c>
      <c r="B27" s="32" t="s">
        <v>34</v>
      </c>
      <c r="C27" s="19"/>
      <c r="D27" s="19"/>
      <c r="E27" s="1" t="s">
        <v>35</v>
      </c>
    </row>
    <row r="28" spans="1:8" s="24" customFormat="1">
      <c r="A28" s="30" t="s">
        <v>21</v>
      </c>
      <c r="B28" s="27"/>
      <c r="C28" s="23"/>
      <c r="D28" s="23"/>
      <c r="F28" s="31"/>
      <c r="G28" s="25"/>
    </row>
    <row r="29" spans="1:8" s="24" customFormat="1">
      <c r="A29" s="30" t="s">
        <v>22</v>
      </c>
      <c r="B29" s="27" t="s">
        <v>36</v>
      </c>
      <c r="C29" s="23"/>
      <c r="D29" s="23"/>
      <c r="F29" s="31"/>
      <c r="G29" s="25"/>
    </row>
    <row r="30" spans="1:8">
      <c r="A30" s="28" t="s">
        <v>37</v>
      </c>
      <c r="B30" s="18">
        <v>8</v>
      </c>
      <c r="C30" s="19"/>
      <c r="D30" s="19"/>
      <c r="F30" s="29">
        <f>C22+C51+C54</f>
        <v>6251315</v>
      </c>
      <c r="H30" s="33">
        <v>336840.2</v>
      </c>
    </row>
    <row r="31" spans="1:8">
      <c r="A31" s="28" t="s">
        <v>38</v>
      </c>
      <c r="B31" s="18">
        <v>9</v>
      </c>
      <c r="C31" s="19">
        <v>1640188</v>
      </c>
      <c r="D31" s="19">
        <v>11102762</v>
      </c>
      <c r="E31" s="1" t="s">
        <v>39</v>
      </c>
      <c r="H31" s="33">
        <v>318628.45</v>
      </c>
    </row>
    <row r="32" spans="1:8">
      <c r="A32" s="28" t="s">
        <v>40</v>
      </c>
      <c r="B32" s="18">
        <v>10</v>
      </c>
      <c r="C32" s="19">
        <v>832</v>
      </c>
      <c r="D32" s="19">
        <v>764</v>
      </c>
      <c r="H32" s="33">
        <v>392241.15</v>
      </c>
    </row>
    <row r="33" spans="1:8">
      <c r="A33" s="28" t="s">
        <v>41</v>
      </c>
      <c r="B33" s="18">
        <v>11</v>
      </c>
      <c r="C33" s="19"/>
      <c r="D33" s="19"/>
      <c r="H33" s="33">
        <v>187218.5</v>
      </c>
    </row>
    <row r="34" spans="1:8">
      <c r="A34" s="34" t="s">
        <v>42</v>
      </c>
      <c r="B34" s="18">
        <v>12</v>
      </c>
      <c r="C34" s="19">
        <v>3024</v>
      </c>
      <c r="D34" s="19">
        <v>2990</v>
      </c>
    </row>
    <row r="35" spans="1:8">
      <c r="A35" s="28" t="s">
        <v>43</v>
      </c>
      <c r="B35" s="18">
        <v>13</v>
      </c>
      <c r="C35" s="19">
        <v>0</v>
      </c>
      <c r="D35" s="19">
        <v>0</v>
      </c>
      <c r="H35" s="33">
        <v>608683</v>
      </c>
    </row>
    <row r="36" spans="1:8">
      <c r="A36" s="28" t="s">
        <v>44</v>
      </c>
      <c r="B36" s="18">
        <v>14</v>
      </c>
      <c r="C36" s="19">
        <f>33746-C37-C18-C21</f>
        <v>18563</v>
      </c>
      <c r="D36" s="19">
        <f>7642-D37</f>
        <v>1182</v>
      </c>
    </row>
    <row r="37" spans="1:8">
      <c r="A37" s="28" t="s">
        <v>45</v>
      </c>
      <c r="B37" s="18">
        <v>15</v>
      </c>
      <c r="C37" s="19">
        <f>SUM(C39,C42:C49)</f>
        <v>12296</v>
      </c>
      <c r="D37" s="19">
        <f>SUM(D39,D42:D49)</f>
        <v>6460</v>
      </c>
      <c r="E37" s="35" t="b">
        <f>C37&gt;=C47+C48</f>
        <v>1</v>
      </c>
      <c r="F37" s="35" t="b">
        <f>D37&gt;=D47+D48</f>
        <v>1</v>
      </c>
    </row>
    <row r="38" spans="1:8" s="24" customFormat="1">
      <c r="A38" s="36" t="s">
        <v>21</v>
      </c>
      <c r="B38" s="22"/>
      <c r="C38" s="23"/>
      <c r="D38" s="23"/>
    </row>
    <row r="39" spans="1:8" s="24" customFormat="1">
      <c r="A39" s="36" t="s">
        <v>46</v>
      </c>
      <c r="B39" s="27" t="s">
        <v>47</v>
      </c>
      <c r="C39" s="23"/>
      <c r="D39" s="23"/>
    </row>
    <row r="40" spans="1:8" s="24" customFormat="1">
      <c r="A40" s="36" t="s">
        <v>48</v>
      </c>
      <c r="B40" s="27" t="s">
        <v>49</v>
      </c>
      <c r="C40" s="23"/>
      <c r="D40" s="23"/>
    </row>
    <row r="41" spans="1:8" s="24" customFormat="1">
      <c r="A41" s="36" t="s">
        <v>50</v>
      </c>
      <c r="B41" s="27" t="s">
        <v>51</v>
      </c>
      <c r="C41" s="23"/>
      <c r="D41" s="23"/>
    </row>
    <row r="42" spans="1:8" s="24" customFormat="1">
      <c r="A42" s="36" t="s">
        <v>52</v>
      </c>
      <c r="B42" s="27" t="s">
        <v>53</v>
      </c>
      <c r="C42" s="23">
        <v>120</v>
      </c>
      <c r="D42" s="23">
        <v>285</v>
      </c>
    </row>
    <row r="43" spans="1:8" s="24" customFormat="1">
      <c r="A43" s="36" t="s">
        <v>54</v>
      </c>
      <c r="B43" s="27" t="s">
        <v>55</v>
      </c>
      <c r="C43" s="23"/>
      <c r="D43" s="23"/>
    </row>
    <row r="44" spans="1:8" s="24" customFormat="1">
      <c r="A44" s="36" t="s">
        <v>56</v>
      </c>
      <c r="B44" s="27" t="s">
        <v>57</v>
      </c>
      <c r="C44" s="23">
        <v>11757</v>
      </c>
      <c r="D44" s="23">
        <v>5856</v>
      </c>
    </row>
    <row r="45" spans="1:8" s="24" customFormat="1">
      <c r="A45" s="36" t="s">
        <v>58</v>
      </c>
      <c r="B45" s="27" t="s">
        <v>59</v>
      </c>
      <c r="C45" s="23">
        <v>419</v>
      </c>
      <c r="D45" s="23">
        <v>319</v>
      </c>
    </row>
    <row r="46" spans="1:8" s="24" customFormat="1">
      <c r="A46" s="36" t="s">
        <v>60</v>
      </c>
      <c r="B46" s="27" t="s">
        <v>61</v>
      </c>
      <c r="C46" s="23"/>
      <c r="D46" s="23"/>
    </row>
    <row r="47" spans="1:8" s="24" customFormat="1">
      <c r="A47" s="36" t="s">
        <v>62</v>
      </c>
      <c r="B47" s="27" t="s">
        <v>63</v>
      </c>
      <c r="C47" s="23"/>
      <c r="D47" s="23"/>
      <c r="F47" s="37"/>
    </row>
    <row r="48" spans="1:8" s="24" customFormat="1">
      <c r="A48" s="30" t="s">
        <v>64</v>
      </c>
      <c r="B48" s="27" t="s">
        <v>65</v>
      </c>
      <c r="C48" s="23"/>
      <c r="D48" s="23"/>
      <c r="F48" s="37"/>
    </row>
    <row r="49" spans="1:8" s="24" customFormat="1">
      <c r="A49" s="30" t="s">
        <v>66</v>
      </c>
      <c r="B49" s="27" t="s">
        <v>67</v>
      </c>
      <c r="C49" s="23"/>
      <c r="D49" s="23"/>
      <c r="F49" s="37"/>
    </row>
    <row r="50" spans="1:8">
      <c r="A50" s="28" t="s">
        <v>68</v>
      </c>
      <c r="B50" s="32" t="s">
        <v>69</v>
      </c>
      <c r="C50" s="19"/>
      <c r="D50" s="19"/>
    </row>
    <row r="51" spans="1:8" s="24" customFormat="1">
      <c r="A51" s="30" t="s">
        <v>21</v>
      </c>
      <c r="B51" s="27"/>
      <c r="C51" s="23"/>
      <c r="D51" s="23"/>
      <c r="F51" s="31"/>
    </row>
    <row r="52" spans="1:8" s="24" customFormat="1">
      <c r="A52" s="30" t="s">
        <v>70</v>
      </c>
      <c r="B52" s="27" t="s">
        <v>71</v>
      </c>
      <c r="C52" s="23"/>
      <c r="D52" s="23"/>
      <c r="F52" s="31"/>
    </row>
    <row r="53" spans="1:8" s="24" customFormat="1">
      <c r="A53" s="30" t="s">
        <v>72</v>
      </c>
      <c r="B53" s="27" t="s">
        <v>73</v>
      </c>
      <c r="C53" s="23"/>
      <c r="D53" s="23"/>
    </row>
    <row r="54" spans="1:8" s="24" customFormat="1">
      <c r="A54" s="30" t="s">
        <v>74</v>
      </c>
      <c r="B54" s="27" t="s">
        <v>75</v>
      </c>
      <c r="C54" s="23"/>
      <c r="D54" s="23"/>
    </row>
    <row r="55" spans="1:8" s="24" customFormat="1">
      <c r="A55" s="30" t="s">
        <v>76</v>
      </c>
      <c r="B55" s="27" t="s">
        <v>77</v>
      </c>
      <c r="C55" s="23"/>
      <c r="D55" s="23"/>
      <c r="F55" s="31"/>
    </row>
    <row r="56" spans="1:8">
      <c r="A56" s="28" t="s">
        <v>78</v>
      </c>
      <c r="B56" s="18">
        <v>17</v>
      </c>
      <c r="C56" s="19">
        <v>6355</v>
      </c>
      <c r="D56" s="19">
        <v>99</v>
      </c>
      <c r="H56" s="33">
        <v>246878547.28999999</v>
      </c>
    </row>
    <row r="57" spans="1:8">
      <c r="A57" s="28" t="s">
        <v>79</v>
      </c>
      <c r="B57" s="18">
        <v>18</v>
      </c>
      <c r="C57" s="19">
        <v>6095</v>
      </c>
      <c r="D57" s="19">
        <v>6998</v>
      </c>
      <c r="H57" s="33">
        <v>96732027.689999998</v>
      </c>
    </row>
    <row r="58" spans="1:8">
      <c r="A58" s="28" t="s">
        <v>80</v>
      </c>
      <c r="B58" s="18">
        <v>19</v>
      </c>
      <c r="C58" s="19">
        <v>20684</v>
      </c>
      <c r="D58" s="19">
        <v>3259</v>
      </c>
      <c r="H58" s="33"/>
    </row>
    <row r="59" spans="1:8">
      <c r="A59" s="28" t="s">
        <v>81</v>
      </c>
      <c r="B59" s="18">
        <v>20</v>
      </c>
      <c r="C59" s="19"/>
      <c r="D59" s="19"/>
      <c r="F59" s="29">
        <f>C60-F60</f>
        <v>14686422</v>
      </c>
      <c r="H59" s="33">
        <v>39118003.210000001</v>
      </c>
    </row>
    <row r="60" spans="1:8">
      <c r="A60" s="38" t="s">
        <v>82</v>
      </c>
      <c r="B60" s="18">
        <v>21</v>
      </c>
      <c r="C60" s="39">
        <f>C11+C15+C16+C19+C22+C24+C27+C30+C31+C32+C33+C34+C35+C36+C37+C50+C56+C57+C58+C59</f>
        <v>14686422</v>
      </c>
      <c r="D60" s="39">
        <f>D11+D15+D16+D19+D22+D24+D27+D30+D31+D32+D33+D34+D35+D36+D37+D50+D56+D57+D58+D59</f>
        <v>38510061</v>
      </c>
      <c r="E60" s="29" t="s">
        <v>83</v>
      </c>
      <c r="F60" s="40"/>
      <c r="G60" s="1">
        <f>SUM(H56:H59)/1000</f>
        <v>382728.57818999997</v>
      </c>
    </row>
    <row r="61" spans="1:8">
      <c r="A61" s="41"/>
      <c r="B61" s="18"/>
      <c r="C61" s="39"/>
      <c r="D61" s="42"/>
      <c r="E61" s="29"/>
    </row>
    <row r="62" spans="1:8">
      <c r="A62" s="43" t="s">
        <v>84</v>
      </c>
      <c r="B62" s="18"/>
      <c r="C62" s="44"/>
      <c r="D62" s="45"/>
    </row>
    <row r="63" spans="1:8">
      <c r="A63" s="28" t="s">
        <v>85</v>
      </c>
      <c r="B63" s="18">
        <v>22</v>
      </c>
      <c r="C63" s="19"/>
      <c r="D63" s="46">
        <v>0</v>
      </c>
      <c r="E63" s="1" t="s">
        <v>86</v>
      </c>
    </row>
    <row r="64" spans="1:8">
      <c r="A64" s="47" t="s">
        <v>87</v>
      </c>
      <c r="B64" s="18">
        <v>23</v>
      </c>
      <c r="C64" s="19"/>
      <c r="D64" s="48"/>
    </row>
    <row r="65" spans="1:8">
      <c r="A65" s="49" t="s">
        <v>88</v>
      </c>
      <c r="B65" s="18">
        <v>24</v>
      </c>
      <c r="C65" s="44"/>
      <c r="D65" s="45"/>
    </row>
    <row r="66" spans="1:8">
      <c r="A66" s="17" t="s">
        <v>89</v>
      </c>
      <c r="B66" s="18">
        <v>25</v>
      </c>
      <c r="C66" s="44"/>
      <c r="D66" s="45"/>
    </row>
    <row r="67" spans="1:8">
      <c r="A67" s="17" t="s">
        <v>90</v>
      </c>
      <c r="B67" s="18">
        <v>26</v>
      </c>
      <c r="C67" s="44"/>
      <c r="D67" s="45"/>
    </row>
    <row r="68" spans="1:8">
      <c r="A68" s="49" t="s">
        <v>91</v>
      </c>
      <c r="B68" s="18">
        <v>27</v>
      </c>
      <c r="C68" s="44"/>
      <c r="D68" s="45"/>
    </row>
    <row r="69" spans="1:8">
      <c r="A69" s="17" t="s">
        <v>92</v>
      </c>
      <c r="B69" s="18">
        <v>28</v>
      </c>
      <c r="C69" s="19">
        <f>15838-C70-C93</f>
        <v>8544</v>
      </c>
      <c r="D69" s="19">
        <f>9801-D70-D93</f>
        <v>329</v>
      </c>
    </row>
    <row r="70" spans="1:8">
      <c r="A70" s="17" t="s">
        <v>93</v>
      </c>
      <c r="B70" s="18">
        <v>29</v>
      </c>
      <c r="C70" s="50">
        <f>SUM(C72:C83)</f>
        <v>1399</v>
      </c>
      <c r="D70" s="50">
        <f>SUM(D72:D83)</f>
        <v>1019</v>
      </c>
    </row>
    <row r="71" spans="1:8" s="24" customFormat="1">
      <c r="A71" s="21" t="s">
        <v>21</v>
      </c>
      <c r="B71" s="22"/>
      <c r="C71" s="51"/>
      <c r="D71" s="52"/>
    </row>
    <row r="72" spans="1:8" s="24" customFormat="1">
      <c r="A72" s="21" t="s">
        <v>94</v>
      </c>
      <c r="B72" s="27" t="s">
        <v>95</v>
      </c>
      <c r="C72" s="51"/>
      <c r="D72" s="52"/>
    </row>
    <row r="73" spans="1:8" s="24" customFormat="1">
      <c r="A73" s="21" t="s">
        <v>96</v>
      </c>
      <c r="B73" s="27" t="s">
        <v>97</v>
      </c>
      <c r="C73" s="51"/>
      <c r="D73" s="52"/>
    </row>
    <row r="74" spans="1:8" s="24" customFormat="1">
      <c r="A74" s="21" t="s">
        <v>98</v>
      </c>
      <c r="B74" s="27" t="s">
        <v>99</v>
      </c>
      <c r="C74" s="51"/>
      <c r="D74" s="52"/>
    </row>
    <row r="75" spans="1:8" s="24" customFormat="1">
      <c r="A75" s="21" t="s">
        <v>100</v>
      </c>
      <c r="B75" s="27" t="s">
        <v>101</v>
      </c>
      <c r="C75" s="51"/>
      <c r="D75" s="52"/>
    </row>
    <row r="76" spans="1:8" s="24" customFormat="1">
      <c r="A76" s="21" t="s">
        <v>102</v>
      </c>
      <c r="B76" s="27" t="s">
        <v>103</v>
      </c>
      <c r="C76" s="51"/>
      <c r="D76" s="52"/>
      <c r="G76" s="37"/>
    </row>
    <row r="77" spans="1:8" s="24" customFormat="1">
      <c r="A77" s="21" t="s">
        <v>104</v>
      </c>
      <c r="B77" s="27" t="s">
        <v>105</v>
      </c>
      <c r="C77" s="51"/>
      <c r="D77" s="52"/>
      <c r="G77" s="37"/>
      <c r="H77" s="37"/>
    </row>
    <row r="78" spans="1:8" s="24" customFormat="1">
      <c r="A78" s="21" t="s">
        <v>106</v>
      </c>
      <c r="B78" s="27" t="s">
        <v>107</v>
      </c>
      <c r="C78" s="51">
        <v>55</v>
      </c>
      <c r="D78" s="51">
        <v>9</v>
      </c>
      <c r="G78" s="37"/>
      <c r="H78" s="37"/>
    </row>
    <row r="79" spans="1:8" s="24" customFormat="1">
      <c r="A79" s="21" t="s">
        <v>108</v>
      </c>
      <c r="B79" s="27" t="s">
        <v>109</v>
      </c>
      <c r="C79" s="51">
        <f>418</f>
        <v>418</v>
      </c>
      <c r="D79" s="51"/>
      <c r="G79" s="37"/>
      <c r="H79" s="37"/>
    </row>
    <row r="80" spans="1:8" s="24" customFormat="1">
      <c r="A80" s="21" t="s">
        <v>110</v>
      </c>
      <c r="B80" s="27" t="s">
        <v>111</v>
      </c>
      <c r="C80" s="51"/>
      <c r="D80" s="51"/>
      <c r="G80" s="37"/>
      <c r="H80" s="37"/>
    </row>
    <row r="81" spans="1:8" s="24" customFormat="1">
      <c r="A81" s="21" t="s">
        <v>112</v>
      </c>
      <c r="B81" s="27" t="s">
        <v>113</v>
      </c>
      <c r="C81" s="51">
        <v>896</v>
      </c>
      <c r="D81" s="51">
        <v>985</v>
      </c>
      <c r="G81" s="37"/>
      <c r="H81" s="33"/>
    </row>
    <row r="82" spans="1:8" s="24" customFormat="1">
      <c r="A82" s="21" t="s">
        <v>114</v>
      </c>
      <c r="B82" s="27" t="s">
        <v>115</v>
      </c>
      <c r="C82" s="51">
        <v>30</v>
      </c>
      <c r="D82" s="51">
        <v>25</v>
      </c>
      <c r="G82" s="37"/>
      <c r="H82" s="33"/>
    </row>
    <row r="83" spans="1:8" s="24" customFormat="1">
      <c r="A83" s="21" t="s">
        <v>116</v>
      </c>
      <c r="B83" s="27" t="s">
        <v>117</v>
      </c>
      <c r="C83" s="51"/>
      <c r="D83" s="51"/>
      <c r="G83" s="37"/>
      <c r="H83" s="33"/>
    </row>
    <row r="84" spans="1:8">
      <c r="A84" s="17" t="s">
        <v>118</v>
      </c>
      <c r="B84" s="18">
        <v>30</v>
      </c>
      <c r="C84" s="44"/>
      <c r="D84" s="45"/>
      <c r="G84" s="33"/>
      <c r="H84" s="33"/>
    </row>
    <row r="85" spans="1:8" s="24" customFormat="1">
      <c r="A85" s="21" t="s">
        <v>21</v>
      </c>
      <c r="B85" s="22"/>
      <c r="C85" s="52"/>
      <c r="D85" s="53"/>
      <c r="G85" s="37"/>
      <c r="H85" s="33"/>
    </row>
    <row r="86" spans="1:8" s="24" customFormat="1">
      <c r="A86" s="21" t="s">
        <v>119</v>
      </c>
      <c r="B86" s="27" t="s">
        <v>120</v>
      </c>
      <c r="C86" s="52"/>
      <c r="D86" s="53"/>
      <c r="H86" s="33"/>
    </row>
    <row r="87" spans="1:8" s="24" customFormat="1">
      <c r="A87" s="21" t="s">
        <v>121</v>
      </c>
      <c r="B87" s="27" t="s">
        <v>122</v>
      </c>
      <c r="C87" s="52"/>
      <c r="D87" s="53"/>
      <c r="H87" s="33"/>
    </row>
    <row r="88" spans="1:8" s="24" customFormat="1">
      <c r="A88" s="21" t="s">
        <v>123</v>
      </c>
      <c r="B88" s="27" t="s">
        <v>124</v>
      </c>
      <c r="C88" s="52"/>
      <c r="D88" s="53"/>
      <c r="H88" s="33"/>
    </row>
    <row r="89" spans="1:8" s="24" customFormat="1">
      <c r="A89" s="21" t="s">
        <v>125</v>
      </c>
      <c r="B89" s="27" t="s">
        <v>126</v>
      </c>
      <c r="C89" s="52"/>
      <c r="D89" s="53"/>
      <c r="H89" s="33"/>
    </row>
    <row r="90" spans="1:8">
      <c r="A90" s="28" t="s">
        <v>127</v>
      </c>
      <c r="B90" s="18">
        <v>31</v>
      </c>
      <c r="C90" s="19">
        <v>2423</v>
      </c>
      <c r="D90" s="19">
        <v>2421727</v>
      </c>
      <c r="H90" s="33"/>
    </row>
    <row r="91" spans="1:8">
      <c r="A91" s="28" t="s">
        <v>128</v>
      </c>
      <c r="B91" s="18">
        <v>32</v>
      </c>
      <c r="C91" s="19"/>
      <c r="D91" s="19"/>
      <c r="H91" s="33"/>
    </row>
    <row r="92" spans="1:8">
      <c r="A92" s="28" t="s">
        <v>129</v>
      </c>
      <c r="B92" s="18">
        <v>33</v>
      </c>
      <c r="C92" s="19"/>
      <c r="D92" s="19"/>
      <c r="H92" s="33"/>
    </row>
    <row r="93" spans="1:8">
      <c r="A93" s="28" t="s">
        <v>130</v>
      </c>
      <c r="B93" s="18">
        <v>34</v>
      </c>
      <c r="C93" s="19">
        <v>5895</v>
      </c>
      <c r="D93" s="19">
        <v>8453</v>
      </c>
      <c r="H93" s="33"/>
    </row>
    <row r="94" spans="1:8">
      <c r="A94" s="28" t="s">
        <v>131</v>
      </c>
      <c r="B94" s="18">
        <v>35</v>
      </c>
      <c r="C94" s="19"/>
      <c r="D94" s="19"/>
      <c r="E94" s="29"/>
      <c r="H94" s="33"/>
    </row>
    <row r="95" spans="1:8">
      <c r="A95" s="38" t="s">
        <v>132</v>
      </c>
      <c r="B95" s="18">
        <v>36</v>
      </c>
      <c r="C95" s="54">
        <f>C63+C64+C65+C66+C67+C68+C69+C70+C84+C90+C91+C92+C93+C94</f>
        <v>18261</v>
      </c>
      <c r="D95" s="54">
        <f>D63+D64+D65+D66+D67+D68+D69+D70+D84+D90+D91+D92+D93+D94</f>
        <v>2431528</v>
      </c>
      <c r="H95" s="33"/>
    </row>
    <row r="96" spans="1:8">
      <c r="A96" s="38"/>
      <c r="B96" s="18"/>
      <c r="C96" s="19"/>
      <c r="D96" s="48"/>
      <c r="H96" s="33"/>
    </row>
    <row r="97" spans="1:8">
      <c r="A97" s="55" t="s">
        <v>133</v>
      </c>
      <c r="B97" s="18"/>
      <c r="C97" s="56"/>
      <c r="D97" s="57"/>
      <c r="H97" s="33"/>
    </row>
    <row r="98" spans="1:8">
      <c r="A98" s="28" t="s">
        <v>134</v>
      </c>
      <c r="B98" s="18">
        <v>37</v>
      </c>
      <c r="C98" s="19">
        <v>50559902</v>
      </c>
      <c r="D98" s="48">
        <v>50559902</v>
      </c>
      <c r="E98" s="35" t="b">
        <f>C98&gt;=C100+C101</f>
        <v>1</v>
      </c>
      <c r="F98" s="35" t="b">
        <f>D98&gt;=D100+D101</f>
        <v>1</v>
      </c>
      <c r="H98" s="33"/>
    </row>
    <row r="99" spans="1:8" s="24" customFormat="1">
      <c r="A99" s="30" t="s">
        <v>13</v>
      </c>
      <c r="B99" s="22"/>
      <c r="C99" s="23"/>
      <c r="D99" s="58"/>
      <c r="H99" s="33"/>
    </row>
    <row r="100" spans="1:8" s="24" customFormat="1">
      <c r="A100" s="59" t="s">
        <v>135</v>
      </c>
      <c r="B100" s="22" t="s">
        <v>136</v>
      </c>
      <c r="C100" s="23">
        <v>50559902</v>
      </c>
      <c r="D100" s="60">
        <v>50559902</v>
      </c>
      <c r="H100" s="33"/>
    </row>
    <row r="101" spans="1:8" s="24" customFormat="1">
      <c r="A101" s="30" t="s">
        <v>137</v>
      </c>
      <c r="B101" s="22" t="s">
        <v>138</v>
      </c>
      <c r="C101" s="23"/>
      <c r="D101" s="60"/>
      <c r="H101" s="33"/>
    </row>
    <row r="102" spans="1:8">
      <c r="A102" s="28" t="s">
        <v>139</v>
      </c>
      <c r="B102" s="18">
        <v>38</v>
      </c>
      <c r="C102" s="19"/>
      <c r="D102" s="48"/>
      <c r="H102" s="33"/>
    </row>
    <row r="103" spans="1:8">
      <c r="A103" s="28" t="s">
        <v>140</v>
      </c>
      <c r="B103" s="18">
        <v>39</v>
      </c>
      <c r="C103" s="19"/>
      <c r="D103" s="48"/>
      <c r="H103" s="33"/>
    </row>
    <row r="104" spans="1:8">
      <c r="A104" s="28" t="s">
        <v>141</v>
      </c>
      <c r="B104" s="18">
        <v>40</v>
      </c>
      <c r="C104" s="19">
        <f>SUM(C106:C107)</f>
        <v>-421911</v>
      </c>
      <c r="D104" s="19">
        <f>SUM(D106:D107)</f>
        <v>8119</v>
      </c>
      <c r="E104" s="33"/>
      <c r="H104" s="33"/>
    </row>
    <row r="105" spans="1:8" s="24" customFormat="1">
      <c r="A105" s="30" t="s">
        <v>21</v>
      </c>
      <c r="B105" s="22"/>
      <c r="C105" s="23"/>
      <c r="D105" s="58"/>
      <c r="E105" s="37"/>
      <c r="H105" s="33"/>
    </row>
    <row r="106" spans="1:8" s="24" customFormat="1">
      <c r="A106" s="30" t="s">
        <v>142</v>
      </c>
      <c r="B106" s="22" t="s">
        <v>143</v>
      </c>
      <c r="C106" s="23">
        <v>-421911</v>
      </c>
      <c r="D106" s="23">
        <v>8119</v>
      </c>
      <c r="E106" s="37"/>
      <c r="H106" s="33"/>
    </row>
    <row r="107" spans="1:8" s="24" customFormat="1">
      <c r="A107" s="30" t="s">
        <v>144</v>
      </c>
      <c r="B107" s="22" t="s">
        <v>145</v>
      </c>
      <c r="C107" s="23"/>
      <c r="D107" s="58"/>
      <c r="E107" s="37"/>
      <c r="H107" s="33"/>
    </row>
    <row r="108" spans="1:8">
      <c r="A108" s="28" t="s">
        <v>146</v>
      </c>
      <c r="B108" s="18">
        <v>41</v>
      </c>
      <c r="C108" s="19"/>
      <c r="D108" s="19"/>
      <c r="E108" s="33"/>
      <c r="H108" s="33"/>
    </row>
    <row r="109" spans="1:8">
      <c r="A109" s="28" t="s">
        <v>147</v>
      </c>
      <c r="B109" s="18">
        <v>42</v>
      </c>
      <c r="C109" s="61">
        <f>C111+C112</f>
        <v>-35469830</v>
      </c>
      <c r="D109" s="62">
        <v>-14489488</v>
      </c>
      <c r="H109" s="33"/>
    </row>
    <row r="110" spans="1:8" s="24" customFormat="1">
      <c r="A110" s="30" t="s">
        <v>21</v>
      </c>
      <c r="B110" s="63"/>
      <c r="C110" s="23"/>
      <c r="D110" s="58"/>
      <c r="H110" s="33"/>
    </row>
    <row r="111" spans="1:8" s="24" customFormat="1">
      <c r="A111" s="64" t="s">
        <v>148</v>
      </c>
      <c r="B111" s="22" t="s">
        <v>149</v>
      </c>
      <c r="C111" s="23">
        <f>D111+D112-D112</f>
        <v>-25525033</v>
      </c>
      <c r="D111" s="23">
        <v>-25525033</v>
      </c>
      <c r="H111" s="33"/>
    </row>
    <row r="112" spans="1:8" s="24" customFormat="1">
      <c r="A112" s="30" t="s">
        <v>150</v>
      </c>
      <c r="B112" s="22" t="s">
        <v>151</v>
      </c>
      <c r="C112" s="23">
        <v>-9944797</v>
      </c>
      <c r="D112" s="23">
        <v>11035545</v>
      </c>
      <c r="E112" s="31" t="s">
        <v>152</v>
      </c>
      <c r="H112" s="33"/>
    </row>
    <row r="113" spans="1:5">
      <c r="A113" s="55" t="s">
        <v>153</v>
      </c>
      <c r="B113" s="65">
        <v>43</v>
      </c>
      <c r="C113" s="56">
        <f>C98+C102+C103+C104+C108+C109</f>
        <v>14668161</v>
      </c>
      <c r="D113" s="56">
        <f>D98+D102+D103+D104+D108+D109</f>
        <v>36078533</v>
      </c>
      <c r="E113" s="29"/>
    </row>
    <row r="114" spans="1:5">
      <c r="A114" s="55"/>
      <c r="B114" s="65"/>
      <c r="C114" s="56"/>
      <c r="D114" s="57"/>
      <c r="E114" s="29"/>
    </row>
    <row r="115" spans="1:5">
      <c r="A115" s="55" t="s">
        <v>154</v>
      </c>
      <c r="B115" s="65">
        <v>44</v>
      </c>
      <c r="C115" s="56">
        <f>C95+C113</f>
        <v>14686422</v>
      </c>
      <c r="D115" s="56">
        <f>D95+D113</f>
        <v>38510061</v>
      </c>
      <c r="E115" s="29" t="s">
        <v>155</v>
      </c>
    </row>
    <row r="116" spans="1:5">
      <c r="D116" s="67"/>
    </row>
    <row r="117" spans="1:5">
      <c r="A117" s="147" t="s">
        <v>156</v>
      </c>
      <c r="B117" s="147"/>
      <c r="C117" s="147"/>
      <c r="D117" s="147"/>
      <c r="E117" s="68">
        <f>C115-C60</f>
        <v>0</v>
      </c>
    </row>
    <row r="118" spans="1:5">
      <c r="A118" s="69"/>
    </row>
    <row r="119" spans="1:5">
      <c r="A119" s="69"/>
    </row>
    <row r="120" spans="1:5">
      <c r="A120" s="69"/>
    </row>
    <row r="121" spans="1:5">
      <c r="A121" s="70" t="s">
        <v>157</v>
      </c>
      <c r="B121" s="71"/>
      <c r="C121" s="72"/>
      <c r="D121" s="73"/>
    </row>
    <row r="122" spans="1:5">
      <c r="A122" s="74"/>
      <c r="B122" s="75"/>
      <c r="C122" s="72"/>
      <c r="D122" s="76"/>
    </row>
    <row r="123" spans="1:5">
      <c r="A123" s="77" t="s">
        <v>158</v>
      </c>
      <c r="B123" s="75"/>
      <c r="C123" s="72"/>
      <c r="D123" s="73"/>
    </row>
    <row r="124" spans="1:5">
      <c r="A124" s="74"/>
      <c r="B124" s="71"/>
      <c r="C124" s="72"/>
      <c r="D124" s="75"/>
    </row>
    <row r="126" spans="1:5">
      <c r="A126" s="74"/>
      <c r="B126" s="75"/>
      <c r="C126" s="72"/>
      <c r="D126" s="75"/>
    </row>
    <row r="127" spans="1:5">
      <c r="A127" s="78" t="s">
        <v>159</v>
      </c>
      <c r="B127" s="71"/>
      <c r="C127" s="72"/>
      <c r="D127" s="75"/>
    </row>
    <row r="128" spans="1:5">
      <c r="A128" s="79">
        <v>3937308</v>
      </c>
      <c r="B128" s="71"/>
      <c r="C128" s="72"/>
      <c r="D128" s="75"/>
    </row>
    <row r="129" spans="1:4">
      <c r="A129" s="78" t="s">
        <v>160</v>
      </c>
      <c r="B129" s="75"/>
      <c r="C129" s="72"/>
      <c r="D129" s="75"/>
    </row>
    <row r="130" spans="1:4">
      <c r="A130" s="69"/>
    </row>
  </sheetData>
  <mergeCells count="6">
    <mergeCell ref="A117:D117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K129"/>
  <sheetViews>
    <sheetView view="pageBreakPreview" topLeftCell="A67" zoomScale="70" zoomScaleSheetLayoutView="70" workbookViewId="0">
      <selection activeCell="A93" sqref="A93"/>
    </sheetView>
  </sheetViews>
  <sheetFormatPr defaultRowHeight="12.75"/>
  <cols>
    <col min="1" max="1" width="102.28515625" style="1" customWidth="1"/>
    <col min="2" max="2" width="10.85546875" style="1" customWidth="1"/>
    <col min="3" max="3" width="16.5703125" style="80" customWidth="1"/>
    <col min="4" max="4" width="15.42578125" style="80" customWidth="1"/>
    <col min="5" max="5" width="17.5703125" style="1" customWidth="1"/>
    <col min="6" max="6" width="21.42578125" style="1" customWidth="1"/>
    <col min="7" max="7" width="11.42578125" style="1" customWidth="1"/>
    <col min="8" max="8" width="12.5703125" style="1" customWidth="1"/>
    <col min="9" max="9" width="13.5703125" style="1" customWidth="1"/>
    <col min="10" max="10" width="15.28515625" style="1" customWidth="1"/>
    <col min="11" max="16384" width="9.140625" style="1"/>
  </cols>
  <sheetData>
    <row r="1" spans="1:10" ht="45.75" customHeight="1">
      <c r="E1" s="148" t="s">
        <v>161</v>
      </c>
      <c r="F1" s="149"/>
    </row>
    <row r="2" spans="1:10">
      <c r="E2" s="81"/>
      <c r="F2" s="82" t="s">
        <v>162</v>
      </c>
    </row>
    <row r="3" spans="1:10" s="4" customFormat="1" ht="14.25">
      <c r="A3" s="144" t="s">
        <v>163</v>
      </c>
      <c r="B3" s="144"/>
      <c r="C3" s="144"/>
      <c r="D3" s="144"/>
      <c r="E3" s="144"/>
      <c r="F3" s="144"/>
    </row>
    <row r="4" spans="1:10" s="4" customFormat="1" ht="14.25">
      <c r="A4" s="145" t="s">
        <v>3</v>
      </c>
      <c r="B4" s="145"/>
      <c r="C4" s="145"/>
      <c r="D4" s="145"/>
      <c r="E4" s="145"/>
      <c r="F4" s="145"/>
    </row>
    <row r="5" spans="1:10" s="4" customFormat="1" ht="15">
      <c r="A5" s="146" t="s">
        <v>4</v>
      </c>
      <c r="B5" s="146"/>
      <c r="C5" s="146"/>
      <c r="D5" s="146"/>
      <c r="E5" s="146"/>
      <c r="F5" s="146"/>
    </row>
    <row r="6" spans="1:10" s="4" customFormat="1" ht="15">
      <c r="A6" s="150" t="str">
        <f>ф1!A6</f>
        <v xml:space="preserve"> по состоянию на "01" января 2017 года</v>
      </c>
      <c r="B6" s="150"/>
      <c r="C6" s="150"/>
      <c r="D6" s="150"/>
      <c r="E6" s="150"/>
      <c r="F6" s="150"/>
    </row>
    <row r="7" spans="1:10">
      <c r="A7" s="83"/>
      <c r="B7" s="83"/>
      <c r="C7" s="84"/>
      <c r="D7" s="84"/>
      <c r="E7" s="83"/>
      <c r="F7" s="83"/>
    </row>
    <row r="8" spans="1:10" s="8" customFormat="1">
      <c r="A8" s="85"/>
      <c r="B8" s="85"/>
      <c r="C8" s="86"/>
      <c r="D8" s="86"/>
      <c r="E8" s="85"/>
      <c r="F8" s="85"/>
    </row>
    <row r="9" spans="1:10" s="8" customFormat="1">
      <c r="A9" s="5"/>
      <c r="B9" s="5"/>
      <c r="C9" s="87"/>
      <c r="D9" s="88"/>
      <c r="F9" s="7" t="s">
        <v>164</v>
      </c>
    </row>
    <row r="10" spans="1:10" ht="63.75">
      <c r="A10" s="9" t="s">
        <v>7</v>
      </c>
      <c r="B10" s="9" t="s">
        <v>8</v>
      </c>
      <c r="C10" s="10" t="s">
        <v>165</v>
      </c>
      <c r="D10" s="10" t="s">
        <v>166</v>
      </c>
      <c r="E10" s="9" t="s">
        <v>167</v>
      </c>
      <c r="F10" s="9" t="s">
        <v>168</v>
      </c>
      <c r="G10" s="89"/>
      <c r="H10" s="90"/>
    </row>
    <row r="11" spans="1:10">
      <c r="A11" s="11">
        <v>1</v>
      </c>
      <c r="B11" s="11">
        <v>2</v>
      </c>
      <c r="C11" s="12">
        <v>3</v>
      </c>
      <c r="D11" s="12">
        <v>4</v>
      </c>
      <c r="E11" s="11">
        <v>5</v>
      </c>
      <c r="F11" s="11">
        <v>6</v>
      </c>
    </row>
    <row r="12" spans="1:10" ht="15.75">
      <c r="A12" s="91" t="s">
        <v>169</v>
      </c>
      <c r="B12" s="92">
        <v>1</v>
      </c>
      <c r="C12" s="93">
        <v>97181</v>
      </c>
      <c r="D12" s="93">
        <f>750089+C12</f>
        <v>847270</v>
      </c>
      <c r="E12" s="93">
        <f t="shared" ref="E12:F12" si="0">SUM(E14:E16,E26,E27)</f>
        <v>67691</v>
      </c>
      <c r="F12" s="93">
        <f t="shared" si="0"/>
        <v>194715</v>
      </c>
      <c r="G12" s="35"/>
      <c r="H12" s="35"/>
      <c r="I12" s="35"/>
      <c r="J12" s="35"/>
    </row>
    <row r="13" spans="1:10" ht="15.75">
      <c r="A13" s="91" t="s">
        <v>21</v>
      </c>
      <c r="B13" s="92"/>
      <c r="C13" s="94"/>
      <c r="D13" s="94"/>
      <c r="E13" s="93"/>
      <c r="F13" s="93"/>
      <c r="G13" s="95"/>
      <c r="H13" s="96"/>
      <c r="I13" s="35"/>
      <c r="J13" s="35"/>
    </row>
    <row r="14" spans="1:10" ht="15.75">
      <c r="A14" s="91" t="s">
        <v>170</v>
      </c>
      <c r="B14" s="97" t="s">
        <v>15</v>
      </c>
      <c r="C14" s="98"/>
      <c r="D14" s="98"/>
      <c r="E14" s="99"/>
      <c r="F14" s="99"/>
      <c r="G14" s="35"/>
      <c r="H14" s="35"/>
      <c r="I14" s="35"/>
      <c r="J14" s="35"/>
    </row>
    <row r="15" spans="1:10" ht="15.75">
      <c r="A15" s="91" t="s">
        <v>171</v>
      </c>
      <c r="B15" s="97" t="s">
        <v>17</v>
      </c>
      <c r="C15" s="99">
        <v>0</v>
      </c>
      <c r="D15" s="99">
        <f>34319+C15</f>
        <v>34319</v>
      </c>
      <c r="E15" s="99">
        <v>5669</v>
      </c>
      <c r="F15" s="99">
        <v>24670</v>
      </c>
      <c r="G15" s="35"/>
      <c r="H15" s="35"/>
      <c r="I15" s="35"/>
      <c r="J15" s="35"/>
    </row>
    <row r="16" spans="1:10" ht="15.75">
      <c r="A16" s="91" t="s">
        <v>172</v>
      </c>
      <c r="B16" s="97" t="s">
        <v>173</v>
      </c>
      <c r="C16" s="99">
        <f>C18+C21+C24</f>
        <v>66219</v>
      </c>
      <c r="D16" s="99">
        <f>D18+D21+D24</f>
        <v>620860</v>
      </c>
      <c r="E16" s="93">
        <v>32358</v>
      </c>
      <c r="F16" s="93">
        <f>59495+E16</f>
        <v>91853</v>
      </c>
      <c r="G16" s="35"/>
      <c r="H16" s="35"/>
      <c r="I16" s="35"/>
      <c r="J16" s="35"/>
    </row>
    <row r="17" spans="1:11" ht="15.75">
      <c r="A17" s="91" t="s">
        <v>21</v>
      </c>
      <c r="B17" s="92"/>
      <c r="C17" s="94"/>
      <c r="D17" s="94"/>
      <c r="E17" s="93"/>
      <c r="F17" s="93"/>
      <c r="G17" s="35"/>
      <c r="H17" s="35"/>
      <c r="I17" s="35"/>
      <c r="J17" s="35"/>
    </row>
    <row r="18" spans="1:11" ht="15.75">
      <c r="A18" s="91" t="s">
        <v>174</v>
      </c>
      <c r="B18" s="97" t="s">
        <v>175</v>
      </c>
      <c r="C18" s="94"/>
      <c r="D18" s="94"/>
      <c r="E18" s="93"/>
      <c r="F18" s="93">
        <f>13447+E18</f>
        <v>13447</v>
      </c>
      <c r="G18" s="95"/>
      <c r="H18" s="96"/>
      <c r="I18" s="35"/>
      <c r="J18" s="35"/>
    </row>
    <row r="19" spans="1:11" s="24" customFormat="1" ht="31.5">
      <c r="A19" s="100" t="s">
        <v>176</v>
      </c>
      <c r="B19" s="101" t="s">
        <v>177</v>
      </c>
      <c r="C19" s="102"/>
      <c r="D19" s="102"/>
      <c r="E19" s="103"/>
      <c r="F19" s="103"/>
      <c r="G19" s="104"/>
      <c r="H19" s="104"/>
      <c r="I19" s="104"/>
      <c r="J19" s="104"/>
    </row>
    <row r="20" spans="1:11" s="24" customFormat="1" ht="31.5">
      <c r="A20" s="100" t="s">
        <v>178</v>
      </c>
      <c r="B20" s="101" t="s">
        <v>179</v>
      </c>
      <c r="C20" s="102"/>
      <c r="D20" s="102"/>
      <c r="E20" s="103">
        <v>0</v>
      </c>
      <c r="F20" s="103">
        <f>282+E20</f>
        <v>282</v>
      </c>
      <c r="G20" s="104"/>
      <c r="H20" s="104"/>
      <c r="I20" s="104"/>
      <c r="J20" s="104"/>
    </row>
    <row r="21" spans="1:11" ht="31.5">
      <c r="A21" s="91" t="s">
        <v>180</v>
      </c>
      <c r="B21" s="97" t="s">
        <v>181</v>
      </c>
      <c r="C21" s="93">
        <f>97181-30962</f>
        <v>66219</v>
      </c>
      <c r="D21" s="93">
        <f>554641+C21</f>
        <v>620860</v>
      </c>
      <c r="E21" s="93">
        <v>32358</v>
      </c>
      <c r="F21" s="93">
        <f>43765+E21</f>
        <v>76123</v>
      </c>
      <c r="G21" s="35"/>
      <c r="H21" s="35"/>
      <c r="I21" s="35"/>
      <c r="J21" s="105"/>
    </row>
    <row r="22" spans="1:11" s="24" customFormat="1" ht="31.5">
      <c r="A22" s="100" t="s">
        <v>182</v>
      </c>
      <c r="B22" s="101" t="s">
        <v>183</v>
      </c>
      <c r="C22" s="106"/>
      <c r="D22" s="107">
        <f>1792+C22</f>
        <v>1792</v>
      </c>
      <c r="E22" s="107"/>
      <c r="F22" s="107"/>
      <c r="G22" s="104"/>
      <c r="H22" s="104"/>
      <c r="I22" s="104"/>
      <c r="J22" s="108"/>
    </row>
    <row r="23" spans="1:11" s="24" customFormat="1" ht="31.5">
      <c r="A23" s="100" t="s">
        <v>184</v>
      </c>
      <c r="B23" s="101" t="s">
        <v>185</v>
      </c>
      <c r="C23" s="103">
        <v>10635</v>
      </c>
      <c r="D23" s="103">
        <f>54928+C23</f>
        <v>65563</v>
      </c>
      <c r="E23" s="103">
        <v>824</v>
      </c>
      <c r="F23" s="103">
        <f>272+E23</f>
        <v>1096</v>
      </c>
      <c r="G23" s="104"/>
      <c r="H23" s="104"/>
      <c r="I23" s="104"/>
      <c r="J23" s="108"/>
    </row>
    <row r="24" spans="1:11" ht="15.75">
      <c r="A24" s="91" t="s">
        <v>186</v>
      </c>
      <c r="B24" s="97" t="s">
        <v>187</v>
      </c>
      <c r="C24" s="98"/>
      <c r="D24" s="98"/>
      <c r="E24" s="99">
        <v>0</v>
      </c>
      <c r="F24" s="99">
        <f>2283+E24</f>
        <v>2283</v>
      </c>
      <c r="G24" s="35"/>
      <c r="H24" s="35"/>
      <c r="I24" s="35"/>
      <c r="J24" s="105"/>
    </row>
    <row r="25" spans="1:11" s="24" customFormat="1" ht="15.75" customHeight="1">
      <c r="A25" s="100" t="s">
        <v>188</v>
      </c>
      <c r="B25" s="101" t="s">
        <v>189</v>
      </c>
      <c r="C25" s="102"/>
      <c r="D25" s="102"/>
      <c r="E25" s="103">
        <v>0</v>
      </c>
      <c r="F25" s="103">
        <f>270+E25</f>
        <v>270</v>
      </c>
      <c r="G25" s="104"/>
      <c r="H25" s="104"/>
      <c r="I25" s="104"/>
      <c r="J25" s="108"/>
    </row>
    <row r="26" spans="1:11" ht="15.75">
      <c r="A26" s="91" t="s">
        <v>190</v>
      </c>
      <c r="B26" s="97" t="s">
        <v>191</v>
      </c>
      <c r="C26" s="93">
        <v>30962</v>
      </c>
      <c r="D26" s="99">
        <f>161129+C26</f>
        <v>192091</v>
      </c>
      <c r="E26" s="93">
        <v>29664</v>
      </c>
      <c r="F26" s="93">
        <v>78192</v>
      </c>
      <c r="G26" s="35"/>
      <c r="H26" s="35"/>
      <c r="I26" s="35"/>
      <c r="J26" s="105"/>
    </row>
    <row r="27" spans="1:11" ht="15.75">
      <c r="A27" s="91" t="s">
        <v>192</v>
      </c>
      <c r="B27" s="97" t="s">
        <v>193</v>
      </c>
      <c r="C27" s="98"/>
      <c r="D27" s="98"/>
      <c r="E27" s="99"/>
      <c r="F27" s="99"/>
      <c r="G27" s="35"/>
      <c r="H27" s="35"/>
      <c r="I27" s="35"/>
      <c r="J27" s="105"/>
      <c r="K27" s="105"/>
    </row>
    <row r="28" spans="1:11" ht="15.75">
      <c r="A28" s="91" t="s">
        <v>45</v>
      </c>
      <c r="B28" s="97">
        <v>2</v>
      </c>
      <c r="C28" s="109">
        <v>1432</v>
      </c>
      <c r="D28" s="109">
        <v>19362</v>
      </c>
      <c r="E28" s="93">
        <v>1822</v>
      </c>
      <c r="F28" s="93">
        <v>25571</v>
      </c>
      <c r="G28" s="35"/>
      <c r="H28" s="35"/>
      <c r="I28" s="35"/>
      <c r="J28" s="105"/>
    </row>
    <row r="29" spans="1:11" s="24" customFormat="1" ht="15.75">
      <c r="A29" s="100" t="s">
        <v>194</v>
      </c>
      <c r="B29" s="110"/>
      <c r="C29" s="111"/>
      <c r="D29" s="111"/>
      <c r="E29" s="111"/>
      <c r="F29" s="111"/>
      <c r="G29" s="104"/>
      <c r="H29" s="104"/>
      <c r="I29" s="104"/>
      <c r="J29" s="104"/>
    </row>
    <row r="30" spans="1:11" s="24" customFormat="1" ht="15.75">
      <c r="A30" s="100" t="s">
        <v>195</v>
      </c>
      <c r="B30" s="110" t="s">
        <v>196</v>
      </c>
      <c r="C30" s="112"/>
      <c r="D30" s="112"/>
      <c r="E30" s="103"/>
      <c r="F30" s="112">
        <v>3250</v>
      </c>
      <c r="G30" s="104"/>
      <c r="H30" s="104"/>
      <c r="I30" s="104"/>
      <c r="J30" s="108"/>
    </row>
    <row r="31" spans="1:11" s="24" customFormat="1" ht="15.75">
      <c r="A31" s="100" t="s">
        <v>21</v>
      </c>
      <c r="B31" s="110"/>
      <c r="C31" s="112"/>
      <c r="D31" s="112"/>
      <c r="E31" s="112"/>
      <c r="F31" s="112"/>
      <c r="G31" s="104"/>
      <c r="H31" s="104"/>
      <c r="I31" s="104"/>
      <c r="J31" s="104"/>
    </row>
    <row r="32" spans="1:11" s="24" customFormat="1" ht="15.75">
      <c r="A32" s="100" t="s">
        <v>48</v>
      </c>
      <c r="B32" s="110" t="s">
        <v>197</v>
      </c>
      <c r="C32" s="112"/>
      <c r="D32" s="112"/>
      <c r="E32" s="112"/>
      <c r="F32" s="112"/>
      <c r="G32" s="104"/>
      <c r="H32" s="104"/>
      <c r="I32" s="104"/>
      <c r="J32" s="104"/>
    </row>
    <row r="33" spans="1:10" s="24" customFormat="1" ht="15.75">
      <c r="A33" s="100" t="s">
        <v>50</v>
      </c>
      <c r="B33" s="110" t="s">
        <v>198</v>
      </c>
      <c r="C33" s="103"/>
      <c r="D33" s="103"/>
      <c r="E33" s="103"/>
      <c r="F33" s="103">
        <v>3250</v>
      </c>
      <c r="G33" s="104"/>
      <c r="H33" s="104"/>
      <c r="I33" s="104"/>
      <c r="J33" s="104"/>
    </row>
    <row r="34" spans="1:10" s="24" customFormat="1" ht="15.75">
      <c r="A34" s="100" t="s">
        <v>52</v>
      </c>
      <c r="B34" s="110" t="s">
        <v>199</v>
      </c>
      <c r="C34" s="103">
        <v>215</v>
      </c>
      <c r="D34" s="103">
        <f>2800+C34</f>
        <v>3015</v>
      </c>
      <c r="E34" s="103">
        <f>5060-4750</f>
        <v>310</v>
      </c>
      <c r="F34" s="103">
        <f>4750+E34</f>
        <v>5060</v>
      </c>
    </row>
    <row r="35" spans="1:10" s="24" customFormat="1" ht="15.75">
      <c r="A35" s="100" t="s">
        <v>54</v>
      </c>
      <c r="B35" s="110" t="s">
        <v>200</v>
      </c>
      <c r="C35" s="103"/>
      <c r="D35" s="103"/>
      <c r="E35" s="103"/>
      <c r="F35" s="103"/>
    </row>
    <row r="36" spans="1:10" s="24" customFormat="1" ht="15.75">
      <c r="A36" s="100" t="s">
        <v>58</v>
      </c>
      <c r="B36" s="110" t="s">
        <v>201</v>
      </c>
      <c r="C36" s="103"/>
      <c r="D36" s="103"/>
      <c r="E36" s="103"/>
      <c r="F36" s="103"/>
    </row>
    <row r="37" spans="1:10" s="24" customFormat="1" ht="15.75">
      <c r="A37" s="100" t="s">
        <v>56</v>
      </c>
      <c r="B37" s="110" t="s">
        <v>202</v>
      </c>
      <c r="C37" s="103">
        <v>1213</v>
      </c>
      <c r="D37" s="103">
        <f>15022+C37</f>
        <v>16235</v>
      </c>
      <c r="E37" s="103">
        <v>1512</v>
      </c>
      <c r="F37" s="103">
        <f>15467+E37</f>
        <v>16979</v>
      </c>
    </row>
    <row r="38" spans="1:10" s="24" customFormat="1" ht="15.75">
      <c r="A38" s="100" t="s">
        <v>60</v>
      </c>
      <c r="B38" s="110" t="s">
        <v>203</v>
      </c>
      <c r="C38" s="103"/>
      <c r="D38" s="103"/>
      <c r="E38" s="103"/>
      <c r="F38" s="103"/>
    </row>
    <row r="39" spans="1:10" s="24" customFormat="1" ht="15.75">
      <c r="A39" s="100" t="s">
        <v>204</v>
      </c>
      <c r="B39" s="110" t="s">
        <v>205</v>
      </c>
      <c r="C39" s="103">
        <f>C28-SUM(C34:C38,C30)</f>
        <v>4</v>
      </c>
      <c r="D39" s="103">
        <f>D28-SUM(D34:D38,D30)</f>
        <v>112</v>
      </c>
      <c r="E39" s="103">
        <f>E28-SUM(E34:E38,E30)</f>
        <v>0</v>
      </c>
      <c r="F39" s="103">
        <f>F28-SUM(F34:F38,F30)</f>
        <v>282</v>
      </c>
    </row>
    <row r="40" spans="1:10" s="24" customFormat="1" ht="15.75">
      <c r="A40" s="100" t="s">
        <v>62</v>
      </c>
      <c r="B40" s="110" t="s">
        <v>206</v>
      </c>
      <c r="C40" s="103"/>
      <c r="D40" s="103"/>
      <c r="E40" s="103"/>
      <c r="F40" s="103"/>
    </row>
    <row r="41" spans="1:10" s="24" customFormat="1" ht="15.75">
      <c r="A41" s="100" t="s">
        <v>64</v>
      </c>
      <c r="B41" s="110" t="s">
        <v>207</v>
      </c>
      <c r="C41" s="103"/>
      <c r="D41" s="103"/>
      <c r="E41" s="103"/>
      <c r="F41" s="103"/>
    </row>
    <row r="42" spans="1:10" ht="15.75">
      <c r="A42" s="91" t="s">
        <v>208</v>
      </c>
      <c r="B42" s="97">
        <v>3</v>
      </c>
      <c r="C42" s="113">
        <v>0</v>
      </c>
      <c r="D42" s="113">
        <v>182698</v>
      </c>
      <c r="E42" s="93"/>
      <c r="F42" s="93">
        <f>65864+E42</f>
        <v>65864</v>
      </c>
      <c r="G42" s="29">
        <f>C42-C80</f>
        <v>-535</v>
      </c>
      <c r="H42" s="29">
        <f>D42-D80</f>
        <v>-8554873</v>
      </c>
      <c r="I42" s="29">
        <f t="shared" ref="G42:J43" si="1">E42-E80</f>
        <v>0</v>
      </c>
      <c r="J42" s="29">
        <f t="shared" si="1"/>
        <v>42548</v>
      </c>
    </row>
    <row r="43" spans="1:10" ht="31.5">
      <c r="A43" s="91" t="s">
        <v>209</v>
      </c>
      <c r="B43" s="97">
        <v>4</v>
      </c>
      <c r="C43" s="113">
        <v>887171</v>
      </c>
      <c r="D43" s="113">
        <v>7194081</v>
      </c>
      <c r="E43" s="93">
        <f>135562+926049</f>
        <v>1061611</v>
      </c>
      <c r="F43" s="93">
        <f>678452+E43-1</f>
        <v>1740062</v>
      </c>
      <c r="G43" s="29">
        <f t="shared" si="1"/>
        <v>-21999</v>
      </c>
      <c r="H43" s="29">
        <f t="shared" si="1"/>
        <v>-860370</v>
      </c>
      <c r="I43" s="29">
        <f t="shared" si="1"/>
        <v>503497</v>
      </c>
      <c r="J43" s="29">
        <f t="shared" si="1"/>
        <v>327388</v>
      </c>
    </row>
    <row r="44" spans="1:10" ht="15.75">
      <c r="A44" s="91" t="s">
        <v>210</v>
      </c>
      <c r="B44" s="97">
        <v>5</v>
      </c>
      <c r="C44" s="113">
        <v>0</v>
      </c>
      <c r="D44" s="113">
        <v>331</v>
      </c>
      <c r="E44" s="93">
        <v>4930</v>
      </c>
      <c r="F44" s="93">
        <f>10986+E44</f>
        <v>15916</v>
      </c>
      <c r="G44" s="29">
        <f>C44+C45-C82-C83</f>
        <v>-129766</v>
      </c>
      <c r="H44" s="29">
        <f>D44+D45-D82-D83</f>
        <v>-464372</v>
      </c>
      <c r="I44" s="29">
        <f>E44+E45-E82-E83</f>
        <v>2298227</v>
      </c>
      <c r="J44" s="29">
        <f>F44+F45-F82-F83</f>
        <v>12742886</v>
      </c>
    </row>
    <row r="45" spans="1:10" ht="15.75">
      <c r="A45" s="91" t="s">
        <v>211</v>
      </c>
      <c r="B45" s="97">
        <v>6</v>
      </c>
      <c r="C45" s="113">
        <v>197036</v>
      </c>
      <c r="D45" s="113">
        <v>6492951</v>
      </c>
      <c r="E45" s="93">
        <v>2457076</v>
      </c>
      <c r="F45" s="93">
        <f>10589037+E45</f>
        <v>13046113</v>
      </c>
      <c r="G45" s="29">
        <f>D45-D83</f>
        <v>-324957</v>
      </c>
      <c r="H45" s="29">
        <f>E45-E83</f>
        <v>2293297</v>
      </c>
      <c r="I45" s="29">
        <f>F45-F83</f>
        <v>12802584</v>
      </c>
    </row>
    <row r="46" spans="1:10" ht="15.75">
      <c r="A46" s="91" t="s">
        <v>212</v>
      </c>
      <c r="B46" s="97">
        <v>7</v>
      </c>
      <c r="C46" s="94"/>
      <c r="D46" s="94"/>
      <c r="E46" s="93"/>
      <c r="F46" s="93">
        <f>373676</f>
        <v>373676</v>
      </c>
    </row>
    <row r="47" spans="1:10" ht="15.75">
      <c r="A47" s="91" t="s">
        <v>213</v>
      </c>
      <c r="B47" s="97">
        <v>8</v>
      </c>
      <c r="C47" s="94"/>
      <c r="D47" s="94"/>
      <c r="E47" s="93"/>
      <c r="F47" s="93"/>
    </row>
    <row r="48" spans="1:10" ht="15.75">
      <c r="A48" s="91" t="s">
        <v>214</v>
      </c>
      <c r="B48" s="97">
        <v>9</v>
      </c>
      <c r="C48" s="94"/>
      <c r="D48" s="94"/>
      <c r="E48" s="93"/>
      <c r="F48" s="93"/>
    </row>
    <row r="49" spans="1:10" ht="15.75">
      <c r="A49" s="91" t="s">
        <v>215</v>
      </c>
      <c r="B49" s="97">
        <v>10</v>
      </c>
      <c r="C49" s="94"/>
      <c r="D49" s="94"/>
      <c r="E49" s="93"/>
      <c r="F49" s="93"/>
    </row>
    <row r="50" spans="1:10" ht="15.75">
      <c r="A50" s="91" t="s">
        <v>21</v>
      </c>
      <c r="B50" s="97"/>
      <c r="C50" s="94"/>
      <c r="D50" s="94"/>
      <c r="E50" s="93"/>
      <c r="F50" s="93"/>
    </row>
    <row r="51" spans="1:10" ht="15.75">
      <c r="A51" s="91" t="s">
        <v>216</v>
      </c>
      <c r="B51" s="97" t="s">
        <v>217</v>
      </c>
      <c r="C51" s="94"/>
      <c r="D51" s="94"/>
      <c r="E51" s="93"/>
      <c r="F51" s="93"/>
    </row>
    <row r="52" spans="1:10" ht="15.75">
      <c r="A52" s="91" t="s">
        <v>218</v>
      </c>
      <c r="B52" s="97" t="s">
        <v>219</v>
      </c>
      <c r="C52" s="94"/>
      <c r="D52" s="94"/>
      <c r="E52" s="93"/>
      <c r="F52" s="93"/>
    </row>
    <row r="53" spans="1:10" ht="15.75">
      <c r="A53" s="91" t="s">
        <v>220</v>
      </c>
      <c r="B53" s="97" t="s">
        <v>221</v>
      </c>
      <c r="C53" s="94"/>
      <c r="D53" s="94"/>
      <c r="E53" s="93"/>
      <c r="F53" s="93"/>
    </row>
    <row r="54" spans="1:10" ht="15.75">
      <c r="A54" s="91" t="s">
        <v>222</v>
      </c>
      <c r="B54" s="97" t="s">
        <v>223</v>
      </c>
      <c r="C54" s="94"/>
      <c r="D54" s="94"/>
      <c r="E54" s="93"/>
      <c r="F54" s="93"/>
    </row>
    <row r="55" spans="1:10" ht="31.5">
      <c r="A55" s="91" t="s">
        <v>224</v>
      </c>
      <c r="B55" s="97">
        <v>11</v>
      </c>
      <c r="C55" s="113">
        <v>0</v>
      </c>
      <c r="D55" s="113">
        <v>5149</v>
      </c>
      <c r="E55" s="93"/>
      <c r="F55" s="93">
        <f>39937+E55-1</f>
        <v>39936</v>
      </c>
    </row>
    <row r="56" spans="1:10" ht="15.75">
      <c r="A56" s="91" t="s">
        <v>225</v>
      </c>
      <c r="B56" s="114" t="s">
        <v>226</v>
      </c>
      <c r="C56" s="94"/>
      <c r="D56" s="94"/>
      <c r="E56" s="93"/>
      <c r="F56" s="93"/>
    </row>
    <row r="57" spans="1:10" ht="15.75">
      <c r="A57" s="115" t="s">
        <v>227</v>
      </c>
      <c r="B57" s="114" t="s">
        <v>228</v>
      </c>
      <c r="C57" s="116">
        <f>C12+C28+C42+C43+C44+C45+C46+C47+C48+C49+C55+C56</f>
        <v>1182820</v>
      </c>
      <c r="D57" s="116">
        <f t="shared" ref="D57:F57" si="2">D12+D28+D42+D43+D44+D45+D46+D47+D48+D49+D55+D56</f>
        <v>14741842</v>
      </c>
      <c r="E57" s="116">
        <f t="shared" si="2"/>
        <v>3593130</v>
      </c>
      <c r="F57" s="116">
        <f t="shared" si="2"/>
        <v>15501853</v>
      </c>
    </row>
    <row r="58" spans="1:10" ht="15.75">
      <c r="A58" s="115"/>
      <c r="B58" s="114"/>
      <c r="C58" s="94"/>
      <c r="D58" s="94"/>
      <c r="E58" s="117"/>
      <c r="F58" s="117"/>
    </row>
    <row r="59" spans="1:10" ht="15.75">
      <c r="A59" s="91" t="s">
        <v>229</v>
      </c>
      <c r="B59" s="114">
        <v>14</v>
      </c>
      <c r="C59" s="99">
        <f>SUM(C61:C64)</f>
        <v>0</v>
      </c>
      <c r="D59" s="99">
        <f t="shared" ref="D59:F59" si="3">SUM(D61:D64)</f>
        <v>0</v>
      </c>
      <c r="E59" s="99">
        <f t="shared" si="3"/>
        <v>0</v>
      </c>
      <c r="F59" s="99">
        <f t="shared" si="3"/>
        <v>120</v>
      </c>
      <c r="G59" s="35"/>
      <c r="H59" s="35"/>
      <c r="I59" s="35"/>
      <c r="J59" s="35"/>
    </row>
    <row r="60" spans="1:10" ht="15.75">
      <c r="A60" s="91" t="s">
        <v>21</v>
      </c>
      <c r="B60" s="114"/>
      <c r="C60" s="98"/>
      <c r="D60" s="98"/>
      <c r="E60" s="99"/>
      <c r="F60" s="99"/>
    </row>
    <row r="61" spans="1:10" ht="15.75">
      <c r="A61" s="91" t="s">
        <v>230</v>
      </c>
      <c r="B61" s="114" t="s">
        <v>231</v>
      </c>
      <c r="C61" s="118"/>
      <c r="D61" s="118"/>
      <c r="E61" s="119"/>
      <c r="F61" s="119"/>
    </row>
    <row r="62" spans="1:10" ht="15.75">
      <c r="A62" s="91" t="s">
        <v>232</v>
      </c>
      <c r="B62" s="114" t="s">
        <v>233</v>
      </c>
      <c r="C62" s="98"/>
      <c r="D62" s="98"/>
      <c r="E62" s="99"/>
      <c r="F62" s="99">
        <f>120+E62</f>
        <v>120</v>
      </c>
    </row>
    <row r="63" spans="1:10" ht="15.75">
      <c r="A63" s="91" t="s">
        <v>234</v>
      </c>
      <c r="B63" s="114" t="s">
        <v>235</v>
      </c>
      <c r="C63" s="98"/>
      <c r="D63" s="98"/>
      <c r="E63" s="99"/>
      <c r="F63" s="99"/>
    </row>
    <row r="64" spans="1:10" ht="15.75">
      <c r="A64" s="91" t="s">
        <v>236</v>
      </c>
      <c r="B64" s="114" t="s">
        <v>237</v>
      </c>
      <c r="C64" s="98"/>
      <c r="D64" s="98"/>
      <c r="E64" s="99"/>
      <c r="F64" s="99"/>
    </row>
    <row r="65" spans="1:10" ht="15.75">
      <c r="A65" s="91" t="s">
        <v>238</v>
      </c>
      <c r="B65" s="114">
        <v>15</v>
      </c>
      <c r="C65" s="109">
        <v>2564</v>
      </c>
      <c r="D65" s="109">
        <v>32874</v>
      </c>
      <c r="E65" s="99">
        <v>1732</v>
      </c>
      <c r="F65" s="99">
        <f>16866+E65</f>
        <v>18598</v>
      </c>
    </row>
    <row r="66" spans="1:10" s="24" customFormat="1" ht="15.75">
      <c r="A66" s="100" t="s">
        <v>21</v>
      </c>
      <c r="B66" s="120"/>
      <c r="C66" s="121"/>
      <c r="D66" s="121"/>
      <c r="E66" s="112"/>
      <c r="F66" s="112"/>
    </row>
    <row r="67" spans="1:10" s="24" customFormat="1" ht="15.75">
      <c r="A67" s="100" t="s">
        <v>239</v>
      </c>
      <c r="B67" s="120" t="s">
        <v>47</v>
      </c>
      <c r="C67" s="121"/>
      <c r="D67" s="121"/>
      <c r="E67" s="112"/>
      <c r="F67" s="112"/>
      <c r="G67" s="104"/>
      <c r="H67" s="104"/>
      <c r="I67" s="104"/>
      <c r="J67" s="104"/>
    </row>
    <row r="68" spans="1:10" s="24" customFormat="1" ht="15.75">
      <c r="A68" s="100" t="s">
        <v>240</v>
      </c>
      <c r="B68" s="120" t="s">
        <v>53</v>
      </c>
      <c r="C68" s="112">
        <v>1436</v>
      </c>
      <c r="D68" s="112">
        <f>14734+C68</f>
        <v>16170</v>
      </c>
      <c r="E68" s="112">
        <v>1117</v>
      </c>
      <c r="F68" s="112">
        <f>9600+E68</f>
        <v>10717</v>
      </c>
    </row>
    <row r="69" spans="1:10" s="24" customFormat="1" ht="15.75">
      <c r="A69" s="100" t="s">
        <v>241</v>
      </c>
      <c r="B69" s="120" t="s">
        <v>55</v>
      </c>
      <c r="C69" s="112">
        <v>151</v>
      </c>
      <c r="D69" s="112">
        <f>1545+C69</f>
        <v>1696</v>
      </c>
      <c r="E69" s="112">
        <f>1776-1688</f>
        <v>88</v>
      </c>
      <c r="F69" s="112">
        <f>1688+E69</f>
        <v>1776</v>
      </c>
    </row>
    <row r="70" spans="1:10" s="24" customFormat="1" ht="15.75">
      <c r="A70" s="100" t="s">
        <v>242</v>
      </c>
      <c r="B70" s="120" t="s">
        <v>57</v>
      </c>
      <c r="C70" s="112">
        <v>30</v>
      </c>
      <c r="D70" s="112">
        <f>141+C70</f>
        <v>171</v>
      </c>
      <c r="E70" s="112">
        <f>138-112</f>
        <v>26</v>
      </c>
      <c r="F70" s="112">
        <f>112+E70</f>
        <v>138</v>
      </c>
    </row>
    <row r="71" spans="1:10" s="24" customFormat="1" ht="15.75">
      <c r="A71" s="100" t="s">
        <v>243</v>
      </c>
      <c r="B71" s="120" t="s">
        <v>59</v>
      </c>
      <c r="C71" s="121"/>
      <c r="D71" s="121"/>
      <c r="E71" s="112"/>
      <c r="F71" s="112"/>
      <c r="G71" s="104"/>
      <c r="H71" s="104"/>
      <c r="I71" s="104"/>
      <c r="J71" s="104"/>
    </row>
    <row r="72" spans="1:10" s="24" customFormat="1" ht="15.75">
      <c r="A72" s="100" t="s">
        <v>244</v>
      </c>
      <c r="B72" s="120" t="s">
        <v>61</v>
      </c>
      <c r="C72" s="112">
        <f>C65-SUM(C67:C71)</f>
        <v>947</v>
      </c>
      <c r="D72" s="112">
        <f>D65-SUM(D67:D71)</f>
        <v>14837</v>
      </c>
      <c r="E72" s="112">
        <f>E65-SUM(E67:E71)</f>
        <v>501</v>
      </c>
      <c r="F72" s="112">
        <f>F65-SUM(F67:F71)</f>
        <v>5967</v>
      </c>
    </row>
    <row r="73" spans="1:10" ht="15.75">
      <c r="A73" s="91" t="s">
        <v>245</v>
      </c>
      <c r="B73" s="114">
        <v>16</v>
      </c>
      <c r="C73" s="99">
        <f>SUM(C75:C79)</f>
        <v>0</v>
      </c>
      <c r="D73" s="99">
        <f t="shared" ref="D73:F73" si="4">SUM(D75:D79)</f>
        <v>0</v>
      </c>
      <c r="E73" s="99">
        <f t="shared" si="4"/>
        <v>0</v>
      </c>
      <c r="F73" s="99">
        <f t="shared" si="4"/>
        <v>0</v>
      </c>
    </row>
    <row r="74" spans="1:10" ht="15.75">
      <c r="A74" s="91" t="s">
        <v>21</v>
      </c>
      <c r="B74" s="114"/>
      <c r="C74" s="98"/>
      <c r="D74" s="98"/>
      <c r="E74" s="99"/>
      <c r="F74" s="99"/>
    </row>
    <row r="75" spans="1:10" ht="15.75">
      <c r="A75" s="91" t="s">
        <v>246</v>
      </c>
      <c r="B75" s="114" t="s">
        <v>71</v>
      </c>
      <c r="C75" s="98"/>
      <c r="D75" s="98"/>
      <c r="E75" s="99"/>
      <c r="F75" s="99"/>
    </row>
    <row r="76" spans="1:10" ht="15.75">
      <c r="A76" s="91" t="s">
        <v>247</v>
      </c>
      <c r="B76" s="114" t="s">
        <v>73</v>
      </c>
      <c r="C76" s="98"/>
      <c r="D76" s="98"/>
      <c r="E76" s="99"/>
      <c r="F76" s="99"/>
    </row>
    <row r="77" spans="1:10" ht="15.75">
      <c r="A77" s="91" t="s">
        <v>248</v>
      </c>
      <c r="B77" s="114" t="s">
        <v>75</v>
      </c>
      <c r="C77" s="98"/>
      <c r="D77" s="98"/>
      <c r="E77" s="99"/>
      <c r="F77" s="99"/>
    </row>
    <row r="78" spans="1:10" ht="15.75">
      <c r="A78" s="91" t="s">
        <v>249</v>
      </c>
      <c r="B78" s="114" t="s">
        <v>77</v>
      </c>
      <c r="C78" s="98"/>
      <c r="D78" s="98"/>
      <c r="E78" s="99"/>
      <c r="F78" s="99"/>
      <c r="G78" s="35"/>
      <c r="H78" s="35"/>
      <c r="I78" s="35"/>
      <c r="J78" s="35"/>
    </row>
    <row r="79" spans="1:10" ht="15.75">
      <c r="A79" s="91" t="s">
        <v>250</v>
      </c>
      <c r="B79" s="114" t="s">
        <v>251</v>
      </c>
      <c r="C79" s="98"/>
      <c r="D79" s="98"/>
      <c r="E79" s="99"/>
      <c r="F79" s="99"/>
    </row>
    <row r="80" spans="1:10" ht="15.75">
      <c r="A80" s="91" t="s">
        <v>252</v>
      </c>
      <c r="B80" s="114">
        <v>17</v>
      </c>
      <c r="C80" s="109">
        <v>535</v>
      </c>
      <c r="D80" s="109">
        <v>8737571</v>
      </c>
      <c r="E80" s="99">
        <v>0</v>
      </c>
      <c r="F80" s="99">
        <f>23316+E80</f>
        <v>23316</v>
      </c>
    </row>
    <row r="81" spans="1:6" ht="31.5">
      <c r="A81" s="91" t="s">
        <v>253</v>
      </c>
      <c r="B81" s="114">
        <v>18</v>
      </c>
      <c r="C81" s="109">
        <v>909170</v>
      </c>
      <c r="D81" s="109">
        <v>8054451</v>
      </c>
      <c r="E81" s="99">
        <f>66700+491414</f>
        <v>558114</v>
      </c>
      <c r="F81" s="99">
        <f>854560+E81</f>
        <v>1412674</v>
      </c>
    </row>
    <row r="82" spans="1:6" ht="15.75">
      <c r="A82" s="91" t="s">
        <v>254</v>
      </c>
      <c r="B82" s="114">
        <v>19</v>
      </c>
      <c r="C82" s="109">
        <v>6</v>
      </c>
      <c r="D82" s="109">
        <v>139746</v>
      </c>
      <c r="E82" s="99"/>
      <c r="F82" s="99">
        <f>75614+E82</f>
        <v>75614</v>
      </c>
    </row>
    <row r="83" spans="1:6" ht="15.75">
      <c r="A83" s="91" t="s">
        <v>255</v>
      </c>
      <c r="B83" s="114">
        <v>20</v>
      </c>
      <c r="C83" s="109">
        <v>326796</v>
      </c>
      <c r="D83" s="109">
        <v>6817908</v>
      </c>
      <c r="E83" s="99">
        <v>163779</v>
      </c>
      <c r="F83" s="99">
        <f>79750+E83</f>
        <v>243529</v>
      </c>
    </row>
    <row r="84" spans="1:6" ht="15.75">
      <c r="A84" s="91" t="s">
        <v>256</v>
      </c>
      <c r="B84" s="114">
        <v>21</v>
      </c>
      <c r="C84" s="98"/>
      <c r="D84" s="98"/>
      <c r="E84" s="99"/>
      <c r="F84" s="99"/>
    </row>
    <row r="85" spans="1:6" ht="15.75">
      <c r="A85" s="91" t="s">
        <v>257</v>
      </c>
      <c r="B85" s="114">
        <v>22</v>
      </c>
      <c r="C85" s="98"/>
      <c r="D85" s="98"/>
      <c r="E85" s="99"/>
      <c r="F85" s="99">
        <v>17</v>
      </c>
    </row>
    <row r="86" spans="1:6" ht="15.75">
      <c r="A86" s="91" t="s">
        <v>258</v>
      </c>
      <c r="B86" s="114">
        <v>23</v>
      </c>
      <c r="C86" s="98"/>
      <c r="D86" s="98"/>
      <c r="E86" s="99"/>
      <c r="F86" s="99"/>
    </row>
    <row r="87" spans="1:6" ht="15.75">
      <c r="A87" s="91" t="s">
        <v>259</v>
      </c>
      <c r="B87" s="114">
        <v>24</v>
      </c>
      <c r="C87" s="98"/>
      <c r="D87" s="98"/>
      <c r="E87" s="99"/>
      <c r="F87" s="99"/>
    </row>
    <row r="88" spans="1:6" ht="15.75">
      <c r="A88" s="91" t="s">
        <v>21</v>
      </c>
      <c r="B88" s="114"/>
      <c r="C88" s="98"/>
      <c r="D88" s="98"/>
      <c r="E88" s="99"/>
      <c r="F88" s="99"/>
    </row>
    <row r="89" spans="1:6" ht="15.75">
      <c r="A89" s="91" t="s">
        <v>216</v>
      </c>
      <c r="B89" s="114" t="s">
        <v>260</v>
      </c>
      <c r="C89" s="98"/>
      <c r="D89" s="98"/>
      <c r="E89" s="99"/>
      <c r="F89" s="99"/>
    </row>
    <row r="90" spans="1:6" ht="15.75">
      <c r="A90" s="91" t="s">
        <v>218</v>
      </c>
      <c r="B90" s="114" t="s">
        <v>261</v>
      </c>
      <c r="C90" s="98"/>
      <c r="D90" s="98"/>
      <c r="E90" s="99"/>
      <c r="F90" s="99"/>
    </row>
    <row r="91" spans="1:6" ht="15.75">
      <c r="A91" s="91" t="s">
        <v>220</v>
      </c>
      <c r="B91" s="114" t="s">
        <v>262</v>
      </c>
      <c r="C91" s="98"/>
      <c r="D91" s="98"/>
      <c r="E91" s="99"/>
      <c r="F91" s="99"/>
    </row>
    <row r="92" spans="1:6" ht="15.75">
      <c r="A92" s="91" t="s">
        <v>222</v>
      </c>
      <c r="B92" s="114" t="s">
        <v>263</v>
      </c>
      <c r="C92" s="98"/>
      <c r="D92" s="98"/>
      <c r="E92" s="99"/>
      <c r="F92" s="99"/>
    </row>
    <row r="93" spans="1:6" ht="31.5">
      <c r="A93" s="91" t="s">
        <v>264</v>
      </c>
      <c r="B93" s="114">
        <v>25</v>
      </c>
      <c r="C93" s="109">
        <v>0</v>
      </c>
      <c r="D93" s="109">
        <v>0</v>
      </c>
      <c r="E93" s="99">
        <v>0</v>
      </c>
      <c r="F93" s="99">
        <f>11257+E93</f>
        <v>11257</v>
      </c>
    </row>
    <row r="94" spans="1:6" ht="15.75">
      <c r="A94" s="91" t="s">
        <v>265</v>
      </c>
      <c r="B94" s="114">
        <v>26</v>
      </c>
      <c r="C94" s="109">
        <v>284996</v>
      </c>
      <c r="D94" s="109">
        <v>902876</v>
      </c>
      <c r="E94" s="99">
        <v>18093</v>
      </c>
      <c r="F94" s="99">
        <v>158992</v>
      </c>
    </row>
    <row r="95" spans="1:6" s="24" customFormat="1" ht="15.75">
      <c r="A95" s="100" t="s">
        <v>21</v>
      </c>
      <c r="B95" s="120"/>
      <c r="C95" s="121"/>
      <c r="D95" s="121"/>
      <c r="E95" s="112"/>
      <c r="F95" s="112"/>
    </row>
    <row r="96" spans="1:6" s="24" customFormat="1" ht="15.75">
      <c r="A96" s="100" t="s">
        <v>266</v>
      </c>
      <c r="B96" s="120" t="s">
        <v>267</v>
      </c>
      <c r="C96" s="112">
        <v>12792</v>
      </c>
      <c r="D96" s="112">
        <v>238891</v>
      </c>
      <c r="E96" s="112">
        <v>8285</v>
      </c>
      <c r="F96" s="112">
        <v>75445</v>
      </c>
    </row>
    <row r="97" spans="1:6" s="24" customFormat="1" ht="15.75">
      <c r="A97" s="100" t="s">
        <v>268</v>
      </c>
      <c r="B97" s="120" t="s">
        <v>269</v>
      </c>
      <c r="C97" s="112"/>
      <c r="D97" s="112"/>
      <c r="E97" s="112"/>
      <c r="F97" s="112"/>
    </row>
    <row r="98" spans="1:6" s="24" customFormat="1" ht="15.75">
      <c r="A98" s="100" t="s">
        <v>270</v>
      </c>
      <c r="B98" s="120" t="s">
        <v>271</v>
      </c>
      <c r="C98" s="112">
        <v>0</v>
      </c>
      <c r="D98" s="112">
        <v>0</v>
      </c>
      <c r="E98" s="112">
        <v>0</v>
      </c>
      <c r="F98" s="112">
        <v>840</v>
      </c>
    </row>
    <row r="99" spans="1:6" s="24" customFormat="1" ht="15.75">
      <c r="A99" s="100" t="s">
        <v>272</v>
      </c>
      <c r="B99" s="120" t="s">
        <v>273</v>
      </c>
      <c r="C99" s="112">
        <f>C94-C96-C97-C98-C100-C101-C102</f>
        <v>269813</v>
      </c>
      <c r="D99" s="112">
        <f>D94-D96-D97-D98-D100-D101-D102</f>
        <v>630971</v>
      </c>
      <c r="E99" s="112">
        <f>E94-E96-E97-E98-E100-E101-E102</f>
        <v>7735</v>
      </c>
      <c r="F99" s="112">
        <f>F94-F96-F97-F98-F100-F101-F102</f>
        <v>69760</v>
      </c>
    </row>
    <row r="100" spans="1:6" s="24" customFormat="1" ht="15.75">
      <c r="A100" s="100" t="s">
        <v>274</v>
      </c>
      <c r="B100" s="120" t="s">
        <v>275</v>
      </c>
      <c r="C100" s="112">
        <v>44</v>
      </c>
      <c r="D100" s="112">
        <v>691</v>
      </c>
      <c r="E100" s="112">
        <v>94</v>
      </c>
      <c r="F100" s="112">
        <v>1762</v>
      </c>
    </row>
    <row r="101" spans="1:6" s="24" customFormat="1" ht="31.5">
      <c r="A101" s="100" t="s">
        <v>276</v>
      </c>
      <c r="B101" s="120" t="s">
        <v>277</v>
      </c>
      <c r="C101" s="112">
        <v>2347</v>
      </c>
      <c r="D101" s="112">
        <v>30622</v>
      </c>
      <c r="E101" s="112">
        <v>1979</v>
      </c>
      <c r="F101" s="112">
        <v>11185</v>
      </c>
    </row>
    <row r="102" spans="1:6" s="24" customFormat="1" ht="15.75">
      <c r="A102" s="100" t="s">
        <v>278</v>
      </c>
      <c r="B102" s="120" t="s">
        <v>279</v>
      </c>
      <c r="C102" s="112"/>
      <c r="D102" s="112">
        <f>1701+C102</f>
        <v>1701</v>
      </c>
      <c r="E102" s="112"/>
      <c r="F102" s="112"/>
    </row>
    <row r="103" spans="1:6" ht="15.75">
      <c r="A103" s="122" t="s">
        <v>280</v>
      </c>
      <c r="B103" s="123" t="s">
        <v>281</v>
      </c>
      <c r="C103" s="99"/>
      <c r="D103" s="99"/>
      <c r="E103" s="99"/>
      <c r="F103" s="99"/>
    </row>
    <row r="104" spans="1:6" ht="15.75">
      <c r="A104" s="124" t="s">
        <v>282</v>
      </c>
      <c r="B104" s="123" t="s">
        <v>283</v>
      </c>
      <c r="C104" s="116">
        <f>C59+C65+C73+C80+C81+C82+C83+C84+C85+C86+C87+C93+C94+C103</f>
        <v>1524067</v>
      </c>
      <c r="D104" s="116">
        <f t="shared" ref="D104:F104" si="5">D59+D65+D73+D80+D81+D82+D83+D84+D85+D86+D87+D93+D94+D103</f>
        <v>24685426</v>
      </c>
      <c r="E104" s="116">
        <f t="shared" si="5"/>
        <v>741718</v>
      </c>
      <c r="F104" s="116">
        <f t="shared" si="5"/>
        <v>1944117</v>
      </c>
    </row>
    <row r="105" spans="1:6" ht="15.75">
      <c r="A105" s="122"/>
      <c r="B105" s="123"/>
      <c r="C105" s="125"/>
      <c r="D105" s="125"/>
      <c r="E105" s="126"/>
      <c r="F105" s="126"/>
    </row>
    <row r="106" spans="1:6" ht="15.75">
      <c r="A106" s="124" t="s">
        <v>284</v>
      </c>
      <c r="B106" s="123" t="s">
        <v>285</v>
      </c>
      <c r="C106" s="116">
        <f>C57-C104</f>
        <v>-341247</v>
      </c>
      <c r="D106" s="116">
        <f t="shared" ref="D106:F106" si="6">D57-D104</f>
        <v>-9943584</v>
      </c>
      <c r="E106" s="116">
        <f t="shared" si="6"/>
        <v>2851412</v>
      </c>
      <c r="F106" s="116">
        <f t="shared" si="6"/>
        <v>13557736</v>
      </c>
    </row>
    <row r="107" spans="1:6" ht="15.75">
      <c r="A107" s="122"/>
      <c r="B107" s="123"/>
      <c r="C107" s="125"/>
      <c r="D107" s="125"/>
      <c r="E107" s="126"/>
      <c r="F107" s="126"/>
    </row>
    <row r="108" spans="1:6" ht="15.75">
      <c r="A108" s="122" t="s">
        <v>286</v>
      </c>
      <c r="B108" s="123" t="s">
        <v>287</v>
      </c>
      <c r="C108" s="99">
        <v>902</v>
      </c>
      <c r="D108" s="99">
        <v>1213</v>
      </c>
      <c r="E108" s="99">
        <v>2522191</v>
      </c>
      <c r="F108" s="99">
        <v>2522191</v>
      </c>
    </row>
    <row r="109" spans="1:6" ht="15.75">
      <c r="A109" s="122"/>
      <c r="B109" s="123"/>
      <c r="C109" s="125"/>
      <c r="D109" s="125"/>
      <c r="E109" s="126"/>
      <c r="F109" s="126"/>
    </row>
    <row r="110" spans="1:6" ht="15.75">
      <c r="A110" s="124" t="s">
        <v>288</v>
      </c>
      <c r="B110" s="123" t="s">
        <v>289</v>
      </c>
      <c r="C110" s="116">
        <f>C106-C108</f>
        <v>-342149</v>
      </c>
      <c r="D110" s="116">
        <f>D106-D108</f>
        <v>-9944797</v>
      </c>
      <c r="E110" s="127">
        <f>E106-E108</f>
        <v>329221</v>
      </c>
      <c r="F110" s="127">
        <f>F106-F108</f>
        <v>11035545</v>
      </c>
    </row>
    <row r="111" spans="1:6" ht="15.75">
      <c r="A111" s="122" t="s">
        <v>290</v>
      </c>
      <c r="B111" s="123" t="s">
        <v>291</v>
      </c>
      <c r="C111" s="125"/>
      <c r="D111" s="125"/>
      <c r="E111" s="126"/>
      <c r="F111" s="126"/>
    </row>
    <row r="112" spans="1:6" ht="15.75">
      <c r="A112" s="122"/>
      <c r="B112" s="123"/>
      <c r="C112" s="125"/>
      <c r="D112" s="125"/>
      <c r="E112" s="126"/>
      <c r="F112" s="126"/>
    </row>
    <row r="113" spans="1:8" ht="15.75">
      <c r="A113" s="124" t="s">
        <v>292</v>
      </c>
      <c r="B113" s="123" t="s">
        <v>293</v>
      </c>
      <c r="C113" s="116">
        <f>C110+C111</f>
        <v>-342149</v>
      </c>
      <c r="D113" s="116">
        <f t="shared" ref="D113:F113" si="7">D110+D111</f>
        <v>-9944797</v>
      </c>
      <c r="E113" s="116">
        <f t="shared" si="7"/>
        <v>329221</v>
      </c>
      <c r="F113" s="116">
        <f t="shared" si="7"/>
        <v>11035545</v>
      </c>
      <c r="H113" s="29"/>
    </row>
    <row r="115" spans="1:8">
      <c r="A115" s="151" t="s">
        <v>156</v>
      </c>
      <c r="B115" s="151"/>
      <c r="C115" s="151"/>
      <c r="D115" s="151"/>
      <c r="E115" s="151"/>
      <c r="F115" s="151"/>
      <c r="H115" s="29"/>
    </row>
    <row r="116" spans="1:8">
      <c r="A116" s="128"/>
      <c r="B116" s="128"/>
      <c r="C116" s="129"/>
      <c r="D116" s="129"/>
      <c r="E116" s="128"/>
      <c r="F116" s="128"/>
      <c r="H116" s="29"/>
    </row>
    <row r="118" spans="1:8">
      <c r="H118" s="29"/>
    </row>
    <row r="119" spans="1:8" s="134" customFormat="1" ht="15.75">
      <c r="A119" s="130" t="str">
        <f>ф1!A121</f>
        <v>Первый руководитель (на период его отсутствия - лицо его замещающее) ____________________Сейлханов Б.А.</v>
      </c>
      <c r="B119" s="131"/>
      <c r="C119" s="132"/>
      <c r="D119" s="133"/>
      <c r="F119" s="135"/>
    </row>
    <row r="120" spans="1:8" s="134" customFormat="1" ht="15.75">
      <c r="A120" s="130"/>
      <c r="B120" s="131"/>
      <c r="C120" s="132"/>
      <c r="D120" s="133"/>
    </row>
    <row r="121" spans="1:8" s="134" customFormat="1" ht="15.75">
      <c r="A121" s="130" t="str">
        <f>ф1!A123</f>
        <v>Главный бухгалтер  ______________________________Сатпаева Ш.К.</v>
      </c>
      <c r="B121" s="131"/>
      <c r="C121" s="132"/>
      <c r="D121" s="133"/>
    </row>
    <row r="122" spans="1:8">
      <c r="A122" s="136"/>
      <c r="B122" s="137"/>
      <c r="C122" s="138"/>
      <c r="D122" s="138"/>
    </row>
    <row r="123" spans="1:8">
      <c r="A123" s="136"/>
      <c r="B123" s="139"/>
      <c r="C123" s="138"/>
      <c r="D123" s="138"/>
    </row>
    <row r="124" spans="1:8">
      <c r="A124" s="140" t="s">
        <v>159</v>
      </c>
      <c r="B124" s="137"/>
      <c r="C124" s="138"/>
      <c r="D124" s="138"/>
    </row>
    <row r="125" spans="1:8">
      <c r="A125" s="141">
        <v>3937308</v>
      </c>
      <c r="B125" s="137"/>
      <c r="C125" s="138"/>
      <c r="D125" s="138"/>
    </row>
    <row r="126" spans="1:8">
      <c r="A126" s="140" t="s">
        <v>160</v>
      </c>
      <c r="B126" s="139"/>
      <c r="C126" s="138"/>
      <c r="D126" s="138"/>
    </row>
    <row r="127" spans="1:8">
      <c r="A127" s="69"/>
    </row>
    <row r="128" spans="1:8">
      <c r="A128" s="69"/>
    </row>
    <row r="129" spans="1:1">
      <c r="A129" s="69"/>
    </row>
  </sheetData>
  <mergeCells count="6">
    <mergeCell ref="A115:F115"/>
    <mergeCell ref="E1:F1"/>
    <mergeCell ref="A3:F3"/>
    <mergeCell ref="A4:F4"/>
    <mergeCell ref="A5:F5"/>
    <mergeCell ref="A6:F6"/>
  </mergeCells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2017-01-10T04:38:07Z</dcterms:created>
  <dcterms:modified xsi:type="dcterms:W3CDTF">2017-01-10T05:36:06Z</dcterms:modified>
</cp:coreProperties>
</file>