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D:\Users\ruslan\Documents\2023\Kase\2 квартал 2023\Отчёты\"/>
    </mc:Choice>
  </mc:AlternateContent>
  <xr:revisionPtr revIDLastSave="0" documentId="13_ncr:1_{74BDA4C0-1A33-40DA-9967-3EE7B51959FE}" xr6:coauthVersionLast="47" xr6:coauthVersionMax="47" xr10:uidLastSave="{00000000-0000-0000-0000-000000000000}"/>
  <bookViews>
    <workbookView xWindow="-120" yWindow="-120" windowWidth="29040" windowHeight="15840"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3" i="1" l="1"/>
  <c r="H17" i="1" l="1"/>
  <c r="C40" i="6" l="1"/>
  <c r="C17" i="6" l="1"/>
  <c r="C13" i="6"/>
  <c r="P20" i="3" l="1"/>
  <c r="N20" i="3"/>
  <c r="L20" i="3"/>
  <c r="J20" i="3"/>
  <c r="H20" i="3"/>
  <c r="L21" i="3"/>
  <c r="L15" i="3"/>
  <c r="L16" i="3" s="1"/>
  <c r="N42" i="3" l="1"/>
  <c r="P42" i="3" s="1"/>
  <c r="L43" i="3"/>
  <c r="L44" i="3" s="1"/>
  <c r="L45" i="3" s="1"/>
  <c r="L37" i="3"/>
  <c r="L38" i="3" s="1"/>
  <c r="J43" i="3"/>
  <c r="H43" i="3"/>
  <c r="F43" i="3"/>
  <c r="D43" i="3"/>
  <c r="H16" i="1"/>
  <c r="N41" i="3" l="1"/>
  <c r="N43" i="3" s="1"/>
  <c r="P40" i="3"/>
  <c r="F31" i="1" l="1"/>
  <c r="F30" i="1"/>
  <c r="D31" i="1"/>
  <c r="D30" i="1"/>
  <c r="D27" i="1" l="1"/>
  <c r="D51" i="6" l="1"/>
  <c r="D46" i="6"/>
  <c r="D22" i="6"/>
  <c r="D33" i="6" s="1"/>
  <c r="D36" i="6" s="1"/>
  <c r="D53" i="6" l="1"/>
  <c r="D56" i="6" s="1"/>
  <c r="C51" i="6"/>
  <c r="C46" i="6"/>
  <c r="C22" i="6"/>
  <c r="C33" i="6" s="1"/>
  <c r="C36" i="6" s="1"/>
  <c r="F27" i="1"/>
  <c r="C53" i="6" l="1"/>
  <c r="C56" i="6" s="1"/>
  <c r="C20" i="5"/>
  <c r="C19" i="5"/>
  <c r="C18" i="5"/>
  <c r="C17" i="5"/>
  <c r="E17" i="5" s="1"/>
  <c r="C16" i="5"/>
  <c r="C15" i="5"/>
  <c r="C14" i="5"/>
  <c r="E14" i="5" s="1"/>
  <c r="D17" i="5"/>
  <c r="D18" i="5" s="1"/>
  <c r="D16" i="5"/>
  <c r="D15" i="5"/>
  <c r="D13" i="5"/>
  <c r="E13" i="5" s="1"/>
  <c r="G13" i="5" s="1"/>
  <c r="D12" i="5"/>
  <c r="E12" i="5" s="1"/>
  <c r="G12" i="5" s="1"/>
  <c r="B9" i="5"/>
  <c r="E15" i="5" l="1"/>
  <c r="E16" i="5"/>
  <c r="G14" i="5" s="1"/>
  <c r="E18" i="5"/>
  <c r="D19" i="5"/>
  <c r="D20" i="5" s="1"/>
  <c r="E20" i="5" s="1"/>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P41" i="3"/>
  <c r="P43" i="3" s="1"/>
  <c r="J37" i="3"/>
  <c r="J38" i="3" s="1"/>
  <c r="F37" i="3"/>
  <c r="F38" i="3" s="1"/>
  <c r="D37" i="3"/>
  <c r="D38" i="3" s="1"/>
  <c r="N34" i="3"/>
  <c r="N37" i="3" s="1"/>
  <c r="F20" i="3"/>
  <c r="D20" i="3"/>
  <c r="N15" i="3"/>
  <c r="N16" i="3" s="1"/>
  <c r="N21" i="3" s="1"/>
  <c r="J15" i="3"/>
  <c r="J16" i="3" s="1"/>
  <c r="J21" i="3" s="1"/>
  <c r="H15" i="3"/>
  <c r="H16" i="3" s="1"/>
  <c r="H21" i="3" s="1"/>
  <c r="F15" i="3"/>
  <c r="F16" i="3" s="1"/>
  <c r="D15" i="3"/>
  <c r="D16" i="3" s="1"/>
  <c r="P14" i="3"/>
  <c r="R14" i="3" s="1"/>
  <c r="P13" i="3"/>
  <c r="R13" i="3" s="1"/>
  <c r="P12" i="3"/>
  <c r="P9" i="3"/>
  <c r="F32" i="2"/>
  <c r="F33" i="2" s="1"/>
  <c r="P36" i="3"/>
  <c r="R36" i="3" s="1"/>
  <c r="V33" i="4"/>
  <c r="F19" i="2"/>
  <c r="D19" i="2"/>
  <c r="F9" i="2"/>
  <c r="F11" i="2" s="1"/>
  <c r="F16" i="2" s="1"/>
  <c r="D9" i="2"/>
  <c r="D11" i="2" s="1"/>
  <c r="D16" i="2" s="1"/>
  <c r="F36" i="1"/>
  <c r="F37" i="1" s="1"/>
  <c r="V6" i="4"/>
  <c r="U6" i="4"/>
  <c r="D36" i="1"/>
  <c r="Q6" i="4"/>
  <c r="N6" i="4"/>
  <c r="F18" i="1"/>
  <c r="L6" i="4"/>
  <c r="J6" i="4"/>
  <c r="K6" i="4"/>
  <c r="I6" i="4"/>
  <c r="H6" i="4"/>
  <c r="G6" i="4"/>
  <c r="F6" i="4"/>
  <c r="E6" i="4"/>
  <c r="D6" i="4"/>
  <c r="E19" i="5" l="1"/>
  <c r="F38" i="1"/>
  <c r="G18" i="5"/>
  <c r="F24" i="2"/>
  <c r="F26" i="2" s="1"/>
  <c r="F34" i="2" s="1"/>
  <c r="F21" i="3"/>
  <c r="F44" i="3" s="1"/>
  <c r="F45" i="3" s="1"/>
  <c r="P15" i="3"/>
  <c r="P16" i="3" s="1"/>
  <c r="P21" i="3" s="1"/>
  <c r="R29" i="3" s="1"/>
  <c r="P34" i="3"/>
  <c r="D21" i="3"/>
  <c r="D44" i="3" s="1"/>
  <c r="D45" i="3" s="1"/>
  <c r="D37"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4" i="3"/>
  <c r="J45" i="3" s="1"/>
  <c r="D24" i="2"/>
  <c r="H22" i="3"/>
  <c r="N22" i="3"/>
  <c r="D8" i="4"/>
  <c r="C54" i="4"/>
  <c r="C57" i="4" s="1"/>
  <c r="D18" i="1"/>
  <c r="R6" i="4"/>
  <c r="R8" i="4" s="1"/>
  <c r="C53" i="4"/>
  <c r="S6" i="4"/>
  <c r="S8" i="4" s="1"/>
  <c r="T6" i="4"/>
  <c r="T8" i="4" s="1"/>
  <c r="M6" i="4"/>
  <c r="M8" i="4" s="1"/>
  <c r="H9" i="1" l="1"/>
  <c r="H10" i="1" s="1"/>
  <c r="F22" i="3"/>
  <c r="R9" i="3"/>
  <c r="D22" i="3"/>
  <c r="D38" i="1"/>
  <c r="P22" i="3"/>
  <c r="L9" i="4"/>
  <c r="G9" i="4"/>
  <c r="R47" i="4"/>
  <c r="W6" i="4"/>
  <c r="Q9" i="4"/>
  <c r="U9" i="4"/>
  <c r="M28" i="4"/>
  <c r="C28" i="4" s="1"/>
  <c r="H9" i="4"/>
  <c r="N9" i="4"/>
  <c r="D26" i="2"/>
  <c r="V12" i="4"/>
  <c r="C33" i="4"/>
  <c r="T41" i="4"/>
  <c r="C41" i="4" s="1"/>
  <c r="C44" i="4" s="1"/>
  <c r="J9" i="4"/>
  <c r="D32" i="2"/>
  <c r="D33" i="2" s="1"/>
  <c r="S47" i="4"/>
  <c r="S9" i="4" s="1"/>
  <c r="F9" i="4"/>
  <c r="E9" i="4"/>
  <c r="T9" i="4" l="1"/>
  <c r="M9" i="4"/>
  <c r="C12" i="4"/>
  <c r="C20" i="4" s="1"/>
  <c r="C31" i="4" s="1"/>
  <c r="C34" i="4" s="1"/>
  <c r="V9" i="4"/>
  <c r="P35" i="3"/>
  <c r="H37" i="3"/>
  <c r="H38" i="3" s="1"/>
  <c r="H44" i="3" s="1"/>
  <c r="H45" i="3" s="1"/>
  <c r="D34" i="2"/>
  <c r="N31" i="3"/>
  <c r="C47" i="4"/>
  <c r="C49" i="4" s="1"/>
  <c r="R9" i="4"/>
  <c r="P37" i="3" l="1"/>
  <c r="R35" i="3"/>
  <c r="N38" i="3"/>
  <c r="N44" i="3" s="1"/>
  <c r="N45" i="3" s="1"/>
  <c r="P31" i="3"/>
  <c r="C51" i="4"/>
  <c r="C56" i="4" s="1"/>
  <c r="C58" i="4" s="1"/>
  <c r="P38" i="3" l="1"/>
  <c r="P44" i="3" s="1"/>
  <c r="P45" i="3" s="1"/>
  <c r="R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Ruslan Ibrayev</author>
  </authors>
  <commentList>
    <comment ref="I7" authorId="0" shapeId="0" xr:uid="{3B2483B0-CA94-4832-A487-294B08598944}">
      <text>
        <r>
          <rPr>
            <b/>
            <sz val="9"/>
            <color indexed="81"/>
            <rFont val="Tahoma"/>
            <family val="2"/>
            <charset val="204"/>
          </rPr>
          <t>Ruslan Ibrayev:</t>
        </r>
        <r>
          <rPr>
            <sz val="9"/>
            <color indexed="81"/>
            <rFont val="Tahoma"/>
            <family val="2"/>
            <charset val="204"/>
          </rPr>
          <t xml:space="preserve">
в 3-м квартале 2022 добавились привилиг.</t>
        </r>
      </text>
    </comment>
    <comment ref="H9" authorId="0" shapeId="0" xr:uid="{32973691-B9FE-4B15-B03A-0AFE9441E271}">
      <text>
        <r>
          <rPr>
            <b/>
            <sz val="9"/>
            <color indexed="81"/>
            <rFont val="Tahoma"/>
            <family val="2"/>
            <charset val="204"/>
          </rPr>
          <t>Ruslan Ibrayev:</t>
        </r>
        <r>
          <rPr>
            <sz val="9"/>
            <color indexed="81"/>
            <rFont val="Tahoma"/>
            <family val="2"/>
            <charset val="204"/>
          </rPr>
          <t xml:space="preserve">
убрал 979 000 тыс. тенге привилиг. акций</t>
        </r>
      </text>
    </comment>
    <comment ref="H13" authorId="0" shapeId="0" xr:uid="{F41A46A8-B7CB-4880-A77E-C416CD59567C}">
      <text>
        <r>
          <rPr>
            <b/>
            <sz val="9"/>
            <color indexed="81"/>
            <rFont val="Tahoma"/>
            <family val="2"/>
            <charset val="204"/>
          </rPr>
          <t>Ruslan Ibrayev:</t>
        </r>
        <r>
          <rPr>
            <sz val="9"/>
            <color indexed="81"/>
            <rFont val="Tahoma"/>
            <family val="2"/>
            <charset val="204"/>
          </rPr>
          <t xml:space="preserve">
55 000 - привилиг.</t>
        </r>
      </text>
    </comment>
    <comment ref="H14" authorId="0" shapeId="0" xr:uid="{50A074CD-7192-4FD1-894F-6C184A5B8F5B}">
      <text>
        <r>
          <rPr>
            <b/>
            <sz val="9"/>
            <color indexed="81"/>
            <rFont val="Tahoma"/>
            <family val="2"/>
            <charset val="204"/>
          </rPr>
          <t>Ruslan Ibrayev:</t>
        </r>
        <r>
          <rPr>
            <sz val="9"/>
            <color indexed="81"/>
            <rFont val="Tahoma"/>
            <family val="2"/>
            <charset val="204"/>
          </rPr>
          <t xml:space="preserve">
на отчётную дату 01.10.2022 равны нулю, так как дивиденды по привилегированным акциям первой группы начисляются и выплачиваются после отчётной даты.
на отчётную дату 01.04.2023 равны нулю, так как дивиденды по привилегированным акциям первой группы были начислены и выплачены, таким образом в обязтельствах на отчётную дату было нуль.
на отчётную дату 01.07.2023 равны нулю, так как дивиденды по привилегированным акциям первой группы не были начислены и выплачены, в виду отсрочки связанной с несоблдением валютной позиции по МРР,таким образом в обязтельствах на отчётную дату было нуль.</t>
        </r>
      </text>
    </comment>
    <comment ref="H15" authorId="0" shapeId="0" xr:uid="{7D1841C5-E3F9-438B-89C9-3F35461031F4}">
      <text>
        <r>
          <rPr>
            <b/>
            <sz val="9"/>
            <color indexed="81"/>
            <rFont val="Tahoma"/>
            <family val="2"/>
            <charset val="204"/>
          </rPr>
          <t>Ruslan Ibrayev:</t>
        </r>
        <r>
          <rPr>
            <sz val="9"/>
            <color indexed="81"/>
            <rFont val="Tahoma"/>
            <family val="2"/>
            <charset val="204"/>
          </rPr>
          <t xml:space="preserve">
на отчётную дату 01.10.2022 равны нулю, так как дивиденды по привилегированным акциям первой группы начисляются и выплачиваются после отчётной даты.
на отчётную дату 01.04.2023 равны нулю, так как дивиденды по привилегированным акциям первой группы были начислены и выплачены, таким образом в обязтельствах на отчётную дату было нуль.
на отчётную дату 01.07.2023 равны нулю, так как дивиденды по привилегированным акциям первой группы не были начислены и выплачены, в виду отсрочки связанной с несоблдением валютной позиции по МРР,таким образом в обязтельствах на отчётную дату было нуль.</t>
        </r>
      </text>
    </comment>
    <comment ref="D30" authorId="0" shapeId="0" xr:uid="{BE43C684-AE6E-42F2-B532-089DC2C29461}">
      <text>
        <r>
          <rPr>
            <b/>
            <sz val="9"/>
            <color indexed="81"/>
            <rFont val="Tahoma"/>
            <charset val="1"/>
          </rPr>
          <t>Ruslan Ibrayev:</t>
        </r>
        <r>
          <rPr>
            <sz val="9"/>
            <color indexed="81"/>
            <rFont val="Tahoma"/>
            <charset val="1"/>
          </rPr>
          <t xml:space="preserve">
убрал то, что сверху номинала по привилиг. Акциям. Так делал на прошлую отчётную дату</t>
        </r>
      </text>
    </comment>
    <comment ref="F30" authorId="0" shapeId="0" xr:uid="{3DB1699B-1ED9-488E-9AD9-6EA2659138D6}">
      <text>
        <r>
          <rPr>
            <b/>
            <sz val="9"/>
            <color indexed="81"/>
            <rFont val="Tahoma"/>
            <charset val="1"/>
          </rPr>
          <t>Ruslan Ibrayev:</t>
        </r>
        <r>
          <rPr>
            <sz val="9"/>
            <color indexed="81"/>
            <rFont val="Tahoma"/>
            <charset val="1"/>
          </rPr>
          <t xml:space="preserve">
</t>
        </r>
      </text>
    </comment>
    <comment ref="D31" authorId="0" shapeId="0" xr:uid="{07416B61-A4E7-4872-A879-0A4015C59C69}">
      <text>
        <r>
          <rPr>
            <b/>
            <sz val="9"/>
            <color indexed="81"/>
            <rFont val="Tahoma"/>
            <charset val="1"/>
          </rPr>
          <t>Ruslan Ibrayev:</t>
        </r>
        <r>
          <rPr>
            <sz val="9"/>
            <color indexed="81"/>
            <rFont val="Tahoma"/>
            <charset val="1"/>
          </rPr>
          <t xml:space="preserve">
добавил то, что сверху номинала по привилиг. Акциям. Так делал на прошлую отчётную дату</t>
        </r>
      </text>
    </comment>
    <comment ref="F31" authorId="0" shapeId="0" xr:uid="{85701B2E-8800-43C0-A1A3-63D627DECA4E}">
      <text>
        <r>
          <rPr>
            <b/>
            <sz val="9"/>
            <color indexed="81"/>
            <rFont val="Tahoma"/>
            <charset val="1"/>
          </rPr>
          <t>Ruslan Ibrayev:</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<sst xmlns="http://schemas.openxmlformats.org/spreadsheetml/2006/main" count="335" uniqueCount="198">
  <si>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</si>
  <si>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</si>
  <si>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</si>
  <si>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</si>
  <si>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</si>
  <si>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</si>
  <si>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</si>
  <si>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</si>
  <si>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</si>
  <si>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</si>
  <si>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</si>
  <si>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</si>
  <si>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</si>
  <si>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</si>
  <si>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</si>
  <si>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</si>
  <si>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</si>
  <si>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</si>
  <si>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</si>
  <si>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</si>
  <si>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</si>
  <si>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</si>
  <si>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</si>
  <si>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</si>
  <si>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</si>
  <si>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</si>
  <si>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</si>
  <si>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</si>
  <si>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</si>
  <si>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</si>
  <si>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</si>
  <si>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</si>
  <si>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</si>
  <si>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</si>
  <si>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</si>
  <si>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</si>
  <si>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</si>
  <si>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</si>
  <si>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</si>
  <si>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</si>
  <si>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</si>
  <si>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</si>
  <si>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</si>
  <si>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</si>
  <si>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</si>
  <si>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</si>
  <si>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</si>
  <si>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</si>
  <si>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</si>
  <si>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</si>
  <si>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</si>
  <si>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</si>
  <si>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</si>
  <si>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</si>
  <si>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</si>
  <si>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</si>
  <si>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</si>
  <si>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</si>
  <si>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</si>
  <si>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</si>
  <si>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</si>
  <si>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</si>
  <si>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</si>
  <si>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</si>
  <si>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</si>
  <si>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</si>
  <si>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</si>
  <si>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</si>
  <si>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</si>
  <si>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</si>
  <si>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</si>
  <si>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</si>
  <si>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</si>
  <si>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</si>
  <si>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</si>
  <si>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</si>
  <si>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</si>
  <si>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</si>
  <si>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</si>
  <si>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</si>
  <si>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</si>
  <si>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</si>
  <si>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</si>
  <si>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</si>
  <si>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</si>
  <si>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</si>
  <si>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</si>
  <si>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</si>
  <si>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</si>
  <si>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</si>
  <si>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</si>
  <si>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</si>
  <si>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</si>
  <si>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</si>
  <si>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</si>
  <si>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</si>
  <si>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</si>
  <si>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</si>
  <si>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</si>
  <si>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</si>
  <si>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</si>
  <si>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</si>
  <si>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</si>
  <si>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</si>
  <si>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</si>
  <si>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</si>
  <si>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</si>
  <si>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</si>
  <si>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</si>
  <si>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</si>
  <si>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</si>
  <si>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</si>
  <si>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</si>
  <si>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</si>
  <si>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</si>
  <si>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</si>
  <si>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</si>
  <si>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</si>
  <si>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</si>
  <si>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</si>
  <si>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</si>
  <si>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</si>
  <si>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</si>
  <si>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</si>
  <si>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</si>
  <si>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</si>
  <si>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</si>
  <si>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</si>
  <si>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</si>
  <si>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</si>
  <si>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</si>
  <si>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</si>
  <si>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</si>
  <si>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</si>
  <si>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</si>
  <si>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</si>
  <si>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</si>
  <si>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</si>
  <si>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</si>
  <si>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</si>
  <si>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</si>
  <si>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</si>
  <si>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</si>
  <si>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</si>
  <si>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</si>
  <si>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</si>
  <si>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</si>
  <si>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</si>
  <si>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</si>
  <si>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NAV = </t>
  </si>
  <si>
    <t>Intangible assets</t>
  </si>
  <si>
    <t xml:space="preserve">BVCS = </t>
  </si>
  <si>
    <t>NOCS =</t>
  </si>
  <si>
    <t>тенге</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</si>
  <si>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</si>
  <si>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</si>
  <si>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</si>
  <si>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</si>
  <si>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</si>
  <si>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</si>
  <si>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движении денежных средств за период,</t>
  </si>
  <si>
    <t>Остаток на 1 января 2022 года</t>
  </si>
  <si>
    <t>Нереализованная прибыль от операций с финансовыми инструментами, оцениваемые по сраведливой стоимости через прибыль или убыток</t>
  </si>
  <si>
    <t>Продажа и погашение инвестиционных ценных бумаг, имеющихся в наличии для продажи, оценивыаемых по справедливой стоимости через прочий совокупный доход</t>
  </si>
  <si>
    <t>Для простой акции</t>
  </si>
  <si>
    <t>NOPS1 =</t>
  </si>
  <si>
    <t>Для привилигерованной акции первой группы</t>
  </si>
  <si>
    <t xml:space="preserve">DCPS1 = </t>
  </si>
  <si>
    <t xml:space="preserve">TDPS1 = </t>
  </si>
  <si>
    <t xml:space="preserve">EPC = </t>
  </si>
  <si>
    <t>BVPS1 =</t>
  </si>
  <si>
    <t>31.12.2022 (Аудированные)</t>
  </si>
  <si>
    <t>Стабилизационный резерв</t>
  </si>
  <si>
    <t>Финансовые активы, оцениваемые по амортизированной стоимости</t>
  </si>
  <si>
    <t>Остаток на 1 января 2023 года</t>
  </si>
  <si>
    <t>Остаток на 31 марта 2023 года</t>
  </si>
  <si>
    <t>Дивиденды начисленные</t>
  </si>
  <si>
    <t>Формирование стабилизационного резерва</t>
  </si>
  <si>
    <t>Чистая доход  (расход) от операций с иностранной валютой</t>
  </si>
  <si>
    <t xml:space="preserve">Процентный доход по финансовым активам, оцениваемых по амортизированной стоимости  </t>
  </si>
  <si>
    <t>-</t>
  </si>
  <si>
    <t>Проценты, полученные от дебиторской задолженности по договорам "обратное РЕПО"</t>
  </si>
  <si>
    <t xml:space="preserve">Процентный расход по финансовым активам, оцениваемых по амортизированной стоимости  </t>
  </si>
  <si>
    <t>Нереализованный убыток от операций с финансовыми инструментами, оцениваемыми по справедливой стоимости через прибыль или убыток</t>
  </si>
  <si>
    <t>Дивиденды выплаченные</t>
  </si>
  <si>
    <t>Промежуточный сокращенный отчет о финансовом  положении по состоянию на 30 июня 2023 года</t>
  </si>
  <si>
    <t>Резерв непредвиденных рисков</t>
  </si>
  <si>
    <t>Данная финансовая отчетность была утверждена руководством Компании 14 августа 2023 года,</t>
  </si>
  <si>
    <t>За период, закончившийся 30 июня 2023 года</t>
  </si>
  <si>
    <t>Формирование резерва непредвиденных рисков</t>
  </si>
  <si>
    <t>Резер непредвиденных рисков</t>
  </si>
  <si>
    <t xml:space="preserve">Промежуточный сокращенный отчет об изменениях в собственном капитале за период, закончившийся 30 июня 2023 года </t>
  </si>
  <si>
    <t>Остаток на 30 июня 2022 года</t>
  </si>
  <si>
    <t>За период, закончившийся 30 июня 2022 года</t>
  </si>
  <si>
    <t>закончившийся 30 июня 2023 года</t>
  </si>
  <si>
    <t>Реализованный убыток по финансовым активам, имеющимся в наличии для продажи</t>
  </si>
  <si>
    <t xml:space="preserve">Процентный расход по финансовым активам, имеющимся в наличии для продажи  </t>
  </si>
  <si>
    <t>Приобретение финансовых активов, оценивавемых по амотизированной стоимости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</si>
</sst>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6"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
      <b/>
      <u/>
      <sz val="8"/>
      <color theme="1"/>
      <name val="Arial"/>
      <family val="2"/>
      <charset val="204"/>
    </font>
    <font>
      <sz val="9"/>
      <color indexed="81"/>
      <name val="Tahoma"/>
      <charset val="1"/>
    </font>
    <font>
      <b/>
      <sz val="9"/>
      <color indexed="81"/>
      <name val="Tahoma"/>
      <charset val="1"/>
    </font>
    <font>
      <b/>
      <sz val="9"/>
      <color indexed="12"/>
      <name val="Times New Roman"/>
      <family val="1"/>
      <charset val="204"/>
    </font>
  </fonts>
  <fills count="6">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
      <patternFill patternType="solid">
        <fgColor theme="0" tint="-0.34998626667073579"/>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04">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Font="1" applyBorder="1"/>
    <xf numFmtId="0" fontId="0" fillId="0" borderId="8" xfId="0" applyBorder="1"/>
    <xf numFmtId="14" fontId="0" fillId="0" borderId="8" xfId="0" applyNumberFormat="1" applyBorder="1"/>
    <xf numFmtId="14" fontId="16" fillId="0" borderId="8" xfId="0" applyNumberFormat="1" applyFont="1" applyBorder="1"/>
    <xf numFmtId="165" fontId="0" fillId="0" borderId="8" xfId="0" applyNumberFormat="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6" fillId="0" borderId="0" xfId="1" applyFont="1"/>
    <xf numFmtId="164" fontId="4" fillId="0" borderId="0" xfId="1" applyNumberFormat="1" applyFont="1"/>
    <xf numFmtId="0" fontId="23" fillId="0" borderId="0" xfId="0" applyFont="1" applyAlignment="1">
      <alignment vertical="center" wrapText="1"/>
    </xf>
    <xf numFmtId="0" fontId="24" fillId="0" borderId="0" xfId="0" applyFont="1" applyAlignment="1">
      <alignment vertical="center" wrapText="1"/>
    </xf>
    <xf numFmtId="167" fontId="23" fillId="0" borderId="0" xfId="0" applyNumberFormat="1" applyFont="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3" fillId="0" borderId="0" xfId="8" applyFont="1"/>
    <xf numFmtId="14" fontId="4" fillId="0" borderId="0" xfId="1" applyNumberFormat="1" applyFont="1" applyAlignment="1">
      <alignment horizontal="center" wrapText="1"/>
    </xf>
    <xf numFmtId="164" fontId="7" fillId="0" borderId="3" xfId="0" applyNumberFormat="1" applyFont="1" applyBorder="1"/>
    <xf numFmtId="164" fontId="15" fillId="0" borderId="2" xfId="0" applyNumberFormat="1" applyFont="1" applyBorder="1"/>
    <xf numFmtId="0" fontId="48" fillId="0" borderId="0" xfId="1" applyFont="1" applyAlignment="1">
      <alignment vertical="center"/>
    </xf>
    <xf numFmtId="14" fontId="4" fillId="0" borderId="0" xfId="2" applyNumberFormat="1" applyFont="1" applyAlignment="1">
      <alignment horizontal="center" wrapText="1"/>
    </xf>
    <xf numFmtId="164" fontId="40" fillId="0" borderId="0" xfId="6" applyNumberFormat="1" applyFont="1"/>
    <xf numFmtId="164" fontId="3" fillId="0" borderId="0" xfId="8" applyNumberFormat="1" applyFont="1"/>
    <xf numFmtId="164" fontId="4" fillId="0" borderId="2" xfId="1" applyNumberFormat="1" applyFont="1" applyBorder="1"/>
    <xf numFmtId="9" fontId="3" fillId="5" borderId="0" xfId="8" applyFont="1" applyFill="1" applyAlignment="1">
      <alignment horizontal="right"/>
    </xf>
    <xf numFmtId="165" fontId="3" fillId="5" borderId="0" xfId="4" applyNumberFormat="1" applyFont="1" applyFill="1"/>
    <xf numFmtId="0" fontId="3" fillId="5" borderId="0" xfId="1" applyFont="1" applyFill="1"/>
    <xf numFmtId="0" fontId="3" fillId="5" borderId="0" xfId="1" applyFont="1" applyFill="1" applyAlignment="1">
      <alignment horizontal="right"/>
    </xf>
    <xf numFmtId="43" fontId="3" fillId="5" borderId="0" xfId="4" applyFont="1" applyFill="1"/>
    <xf numFmtId="3" fontId="4" fillId="0" borderId="8" xfId="6" applyNumberFormat="1" applyFont="1" applyBorder="1" applyAlignment="1">
      <alignment vertical="center"/>
    </xf>
    <xf numFmtId="0" fontId="3" fillId="0" borderId="8" xfId="6" applyFont="1" applyBorder="1" applyAlignment="1">
      <alignment vertical="center"/>
    </xf>
    <xf numFmtId="165" fontId="3" fillId="0" borderId="8" xfId="7" applyNumberFormat="1" applyFont="1" applyFill="1" applyBorder="1"/>
    <xf numFmtId="164" fontId="4" fillId="0" borderId="8" xfId="7" applyNumberFormat="1" applyFont="1" applyFill="1" applyBorder="1"/>
    <xf numFmtId="164" fontId="3" fillId="0" borderId="8" xfId="6" applyNumberFormat="1" applyFont="1" applyBorder="1"/>
    <xf numFmtId="164" fontId="3" fillId="0" borderId="8" xfId="7" applyNumberFormat="1" applyFont="1" applyFill="1" applyBorder="1"/>
    <xf numFmtId="164" fontId="4" fillId="0" borderId="13" xfId="7" applyNumberFormat="1" applyFont="1" applyFill="1" applyBorder="1" applyAlignment="1">
      <alignment horizontal="left" vertical="top"/>
    </xf>
    <xf numFmtId="0" fontId="52" fillId="0" borderId="0" xfId="1" applyFont="1"/>
    <xf numFmtId="164" fontId="3" fillId="5" borderId="0" xfId="1" applyNumberFormat="1" applyFont="1" applyFill="1"/>
    <xf numFmtId="2" fontId="3" fillId="5" borderId="0" xfId="1" applyNumberFormat="1" applyFont="1" applyFill="1"/>
    <xf numFmtId="0" fontId="29" fillId="0" borderId="0" xfId="0" applyFont="1" applyAlignment="1">
      <alignment wrapText="1"/>
    </xf>
    <xf numFmtId="164" fontId="28" fillId="0" borderId="3" xfId="0" applyNumberFormat="1" applyFont="1" applyBorder="1"/>
    <xf numFmtId="164" fontId="28" fillId="0" borderId="0" xfId="0" applyNumberFormat="1" applyFont="1"/>
    <xf numFmtId="164" fontId="29" fillId="0" borderId="0" xfId="0" applyNumberFormat="1" applyFont="1"/>
    <xf numFmtId="164" fontId="28" fillId="0" borderId="2" xfId="0" applyNumberFormat="1" applyFont="1" applyBorder="1"/>
    <xf numFmtId="0" fontId="55" fillId="0" borderId="0" xfId="0" applyFont="1" applyAlignment="1">
      <alignment vertical="center" wrapText="1"/>
    </xf>
    <xf numFmtId="0" fontId="31" fillId="0" borderId="0" xfId="0" applyFont="1" applyAlignment="1">
      <alignment horizontal="center" vertical="center" wrapText="1"/>
    </xf>
    <xf numFmtId="164" fontId="7" fillId="0" borderId="0" xfId="0" applyNumberFormat="1" applyFont="1"/>
    <xf numFmtId="0" fontId="37" fillId="0" borderId="0" xfId="0" applyFont="1" applyAlignment="1">
      <alignment horizontal="center" vertical="center" wrapText="1"/>
    </xf>
    <xf numFmtId="3" fontId="3" fillId="0" borderId="8" xfId="6" applyNumberFormat="1" applyFont="1" applyBorder="1" applyAlignment="1">
      <alignment vertical="center"/>
    </xf>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Font="1" applyBorder="1" applyAlignment="1">
      <alignment horizontal="right"/>
    </xf>
    <xf numFmtId="0" fontId="15" fillId="0" borderId="10" xfId="0"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dimension ref="B1:Q50"/>
  <sheetViews>
    <sheetView tabSelected="1" view="pageLayout" zoomScaleNormal="100" workbookViewId="0">
      <selection activeCell="I13" sqref="I13"/>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8.83203125" style="1" customWidth="1"/>
    <col min="7" max="7" width="15.33203125" style="1" customWidth="1"/>
    <col min="8" max="8" width="17.1640625" style="1" customWidth="1"/>
    <col min="9" max="16384" width="11.33203125" style="1"/>
  </cols>
  <sheetData>
    <row r="1" spans="2:9" ht="14.25" x14ac:dyDescent="0.2">
      <c r="B1" s="181" t="s">
        <v>159</v>
      </c>
      <c r="C1" s="181"/>
      <c r="D1" s="181"/>
    </row>
    <row r="2" spans="2:9" ht="12.75" x14ac:dyDescent="0.2">
      <c r="B2" s="149" t="s">
        <v>185</v>
      </c>
      <c r="C2" s="149"/>
      <c r="D2" s="149"/>
    </row>
    <row r="3" spans="2:9" ht="8.25" customHeight="1" x14ac:dyDescent="0.2">
      <c r="D3" s="3"/>
      <c r="F3" s="3"/>
    </row>
    <row r="4" spans="2:9" ht="22.5" x14ac:dyDescent="0.2">
      <c r="C4" s="179" t="s">
        <v>130</v>
      </c>
      <c r="D4" s="4">
        <v>45107</v>
      </c>
      <c r="F4" s="146" t="s">
        <v>171</v>
      </c>
    </row>
    <row r="5" spans="2:9" x14ac:dyDescent="0.2">
      <c r="C5" s="180"/>
      <c r="D5" s="5" t="s">
        <v>129</v>
      </c>
      <c r="F5" s="5" t="s">
        <v>129</v>
      </c>
      <c r="G5" s="166" t="s">
        <v>164</v>
      </c>
    </row>
    <row r="6" spans="2:9" ht="12.75" x14ac:dyDescent="0.2">
      <c r="B6" s="74" t="s">
        <v>41</v>
      </c>
      <c r="C6" s="6"/>
    </row>
    <row r="7" spans="2:9" ht="12.75" x14ac:dyDescent="0.2">
      <c r="B7" s="73" t="s">
        <v>32</v>
      </c>
      <c r="C7" s="6">
        <v>3</v>
      </c>
      <c r="D7" s="2">
        <v>10296367</v>
      </c>
      <c r="F7" s="2">
        <v>3549654</v>
      </c>
      <c r="G7" s="154" t="s">
        <v>152</v>
      </c>
      <c r="H7" s="155">
        <v>176500</v>
      </c>
      <c r="I7" s="156"/>
    </row>
    <row r="8" spans="2:9" ht="25.5" x14ac:dyDescent="0.2">
      <c r="B8" s="77" t="s">
        <v>33</v>
      </c>
      <c r="C8" s="6">
        <v>5</v>
      </c>
      <c r="D8" s="2">
        <v>5404682</v>
      </c>
      <c r="F8" s="2">
        <v>5628287</v>
      </c>
      <c r="G8" s="154" t="s">
        <v>150</v>
      </c>
      <c r="H8" s="155">
        <v>35531</v>
      </c>
      <c r="I8" s="156" t="s">
        <v>129</v>
      </c>
    </row>
    <row r="9" spans="2:9" ht="51" x14ac:dyDescent="0.2">
      <c r="B9" s="77" t="s">
        <v>134</v>
      </c>
      <c r="C9" s="6">
        <v>14</v>
      </c>
      <c r="D9" s="2">
        <v>228285</v>
      </c>
      <c r="F9" s="2">
        <v>215764</v>
      </c>
      <c r="G9" s="157" t="s">
        <v>149</v>
      </c>
      <c r="H9" s="155">
        <f>(D18-H8)-D27-979000</f>
        <v>4323790</v>
      </c>
      <c r="I9" s="156" t="s">
        <v>129</v>
      </c>
    </row>
    <row r="10" spans="2:9" ht="25.5" x14ac:dyDescent="0.2">
      <c r="B10" s="77" t="s">
        <v>173</v>
      </c>
      <c r="C10" s="6">
        <v>18</v>
      </c>
      <c r="D10" s="2">
        <v>565629</v>
      </c>
      <c r="F10" s="2">
        <v>0</v>
      </c>
      <c r="G10" s="154" t="s">
        <v>151</v>
      </c>
      <c r="H10" s="158">
        <f>H9/H7*1000</f>
        <v>24497.393767705384</v>
      </c>
      <c r="I10" s="156" t="s">
        <v>153</v>
      </c>
    </row>
    <row r="11" spans="2:9" ht="25.5" x14ac:dyDescent="0.2">
      <c r="B11" s="77" t="s">
        <v>34</v>
      </c>
      <c r="C11" s="6">
        <v>6</v>
      </c>
      <c r="D11" s="2">
        <v>584339</v>
      </c>
      <c r="F11" s="2">
        <v>279972</v>
      </c>
      <c r="G11" s="152"/>
    </row>
    <row r="12" spans="2:9" ht="25.5" x14ac:dyDescent="0.2">
      <c r="B12" s="77" t="s">
        <v>35</v>
      </c>
      <c r="C12" s="6">
        <v>7</v>
      </c>
      <c r="D12" s="2">
        <v>815628</v>
      </c>
      <c r="F12" s="2">
        <v>236303</v>
      </c>
      <c r="G12" s="166" t="s">
        <v>166</v>
      </c>
    </row>
    <row r="13" spans="2:9" ht="25.5" x14ac:dyDescent="0.2">
      <c r="B13" s="77" t="s">
        <v>36</v>
      </c>
      <c r="C13" s="6"/>
      <c r="D13" s="2">
        <v>1010695</v>
      </c>
      <c r="F13" s="2">
        <v>934188</v>
      </c>
      <c r="G13" s="154" t="s">
        <v>165</v>
      </c>
      <c r="H13" s="155">
        <f>176500+55000</f>
        <v>231500</v>
      </c>
    </row>
    <row r="14" spans="2:9" ht="25.5" x14ac:dyDescent="0.2">
      <c r="B14" s="77" t="s">
        <v>37</v>
      </c>
      <c r="C14" s="6"/>
      <c r="D14" s="2">
        <v>71558</v>
      </c>
      <c r="F14" s="2">
        <v>39091</v>
      </c>
      <c r="G14" s="154" t="s">
        <v>167</v>
      </c>
      <c r="H14" s="156">
        <v>0</v>
      </c>
    </row>
    <row r="15" spans="2:9" ht="12.75" x14ac:dyDescent="0.2">
      <c r="B15" s="73" t="s">
        <v>38</v>
      </c>
      <c r="C15" s="6"/>
      <c r="D15" s="2">
        <v>159999</v>
      </c>
      <c r="F15" s="2">
        <v>1621</v>
      </c>
      <c r="G15" s="154" t="s">
        <v>168</v>
      </c>
      <c r="H15" s="156">
        <v>0</v>
      </c>
    </row>
    <row r="16" spans="2:9" ht="12.75" x14ac:dyDescent="0.2">
      <c r="B16" s="73" t="s">
        <v>39</v>
      </c>
      <c r="C16" s="6"/>
      <c r="D16" s="2">
        <v>0</v>
      </c>
      <c r="F16" s="2">
        <v>0</v>
      </c>
      <c r="G16" s="154" t="s">
        <v>169</v>
      </c>
      <c r="H16" s="167">
        <f>H15+(D18-D27)-H8</f>
        <v>5302790</v>
      </c>
      <c r="I16" s="156" t="s">
        <v>129</v>
      </c>
    </row>
    <row r="17" spans="2:17" ht="12.75" x14ac:dyDescent="0.2">
      <c r="B17" s="75" t="s">
        <v>40</v>
      </c>
      <c r="C17" s="6"/>
      <c r="D17" s="2">
        <v>72086</v>
      </c>
      <c r="F17" s="2">
        <v>42095</v>
      </c>
      <c r="G17" s="154" t="s">
        <v>170</v>
      </c>
      <c r="H17" s="168">
        <f>H16/H13*1000</f>
        <v>22906.220302375812</v>
      </c>
      <c r="I17" s="156" t="s">
        <v>153</v>
      </c>
    </row>
    <row r="18" spans="2:17" ht="13.5" thickBot="1" x14ac:dyDescent="0.25">
      <c r="B18" s="74" t="s">
        <v>42</v>
      </c>
      <c r="C18" s="6"/>
      <c r="D18" s="153">
        <f>SUM(D7:D17)</f>
        <v>19209268</v>
      </c>
      <c r="E18" s="7"/>
      <c r="F18" s="153">
        <f>SUM(F7:F17)</f>
        <v>10926975</v>
      </c>
    </row>
    <row r="19" spans="2:17" ht="12" thickTop="1" x14ac:dyDescent="0.2">
      <c r="C19" s="6"/>
    </row>
    <row r="20" spans="2:17" ht="12.75" x14ac:dyDescent="0.2">
      <c r="B20" s="74" t="s">
        <v>43</v>
      </c>
      <c r="C20" s="6"/>
      <c r="D20" s="2"/>
    </row>
    <row r="21" spans="2:17" ht="12.75" x14ac:dyDescent="0.2">
      <c r="B21" s="74" t="s">
        <v>192</v>
      </c>
      <c r="C21" s="6"/>
      <c r="F21" s="2"/>
      <c r="G21" s="152"/>
      <c r="H21" s="2"/>
    </row>
    <row r="22" spans="2:17" ht="12.75" x14ac:dyDescent="0.2">
      <c r="B22" s="73" t="s">
        <v>44</v>
      </c>
      <c r="C22" s="6">
        <v>7</v>
      </c>
      <c r="D22" s="2">
        <v>12326478</v>
      </c>
      <c r="E22" s="2"/>
      <c r="F22" s="2">
        <v>6005178</v>
      </c>
      <c r="G22" s="145"/>
      <c r="H22" s="2"/>
    </row>
    <row r="23" spans="2:17" ht="12.75" x14ac:dyDescent="0.2">
      <c r="B23" s="73" t="s">
        <v>45</v>
      </c>
      <c r="C23" s="6">
        <v>8</v>
      </c>
      <c r="D23" s="2">
        <v>1491521</v>
      </c>
      <c r="F23" s="2">
        <v>531735</v>
      </c>
      <c r="G23" s="152"/>
      <c r="H23" s="2"/>
    </row>
    <row r="24" spans="2:17" ht="12.75" x14ac:dyDescent="0.2">
      <c r="B24" s="73" t="s">
        <v>137</v>
      </c>
      <c r="C24" s="6"/>
      <c r="D24" s="2">
        <v>18053</v>
      </c>
      <c r="F24" s="2">
        <v>18053</v>
      </c>
      <c r="G24" s="145"/>
      <c r="H24" s="2"/>
    </row>
    <row r="25" spans="2:17" ht="12.75" x14ac:dyDescent="0.2">
      <c r="B25" s="73" t="s">
        <v>138</v>
      </c>
      <c r="C25" s="6"/>
      <c r="D25" s="2">
        <v>0</v>
      </c>
      <c r="F25" s="2">
        <v>23659</v>
      </c>
      <c r="G25" s="152"/>
      <c r="H25" s="2"/>
    </row>
    <row r="26" spans="2:17" ht="12.75" x14ac:dyDescent="0.2">
      <c r="B26" s="75" t="s">
        <v>46</v>
      </c>
      <c r="C26" s="6"/>
      <c r="D26" s="2">
        <v>34895</v>
      </c>
      <c r="F26" s="2">
        <v>63343</v>
      </c>
      <c r="G26" s="78"/>
      <c r="H26" s="79"/>
    </row>
    <row r="27" spans="2:17" ht="12.75" x14ac:dyDescent="0.2">
      <c r="B27" s="74" t="s">
        <v>47</v>
      </c>
      <c r="C27" s="6"/>
      <c r="D27" s="8">
        <f>SUM(D22:D26)</f>
        <v>13870947</v>
      </c>
      <c r="E27" s="7"/>
      <c r="F27" s="8">
        <f>SUM(F22:F26)</f>
        <v>6641968</v>
      </c>
      <c r="H27" s="2"/>
    </row>
    <row r="28" spans="2:17" x14ac:dyDescent="0.2">
      <c r="C28" s="6"/>
      <c r="D28" s="2"/>
      <c r="F28" s="2"/>
      <c r="H28" s="2"/>
    </row>
    <row r="29" spans="2:17" ht="12.75" x14ac:dyDescent="0.2">
      <c r="B29" s="76" t="s">
        <v>48</v>
      </c>
      <c r="C29" s="6"/>
      <c r="D29" s="2"/>
      <c r="F29" s="2"/>
      <c r="H29" s="2"/>
    </row>
    <row r="30" spans="2:17" ht="27.6" customHeight="1" x14ac:dyDescent="0.2">
      <c r="B30" s="73" t="s">
        <v>49</v>
      </c>
      <c r="C30" s="6">
        <v>9</v>
      </c>
      <c r="D30" s="2">
        <f>2744000-429000</f>
        <v>2315000</v>
      </c>
      <c r="F30" s="2">
        <f>2744000-429000</f>
        <v>2315000</v>
      </c>
      <c r="H30" s="2"/>
      <c r="N30" s="80"/>
      <c r="Q30" s="80"/>
    </row>
    <row r="31" spans="2:17" ht="12.75" x14ac:dyDescent="0.2">
      <c r="B31" s="73" t="s">
        <v>50</v>
      </c>
      <c r="C31" s="6">
        <v>9</v>
      </c>
      <c r="D31" s="2">
        <f>201011+429000</f>
        <v>630011</v>
      </c>
      <c r="F31" s="2">
        <f>201011+429000</f>
        <v>630011</v>
      </c>
      <c r="G31" s="2"/>
      <c r="H31" s="2"/>
      <c r="N31" s="80"/>
      <c r="Q31" s="80"/>
    </row>
    <row r="32" spans="2:17" ht="38.25" x14ac:dyDescent="0.2">
      <c r="B32" s="77" t="s">
        <v>51</v>
      </c>
      <c r="C32" s="6"/>
      <c r="D32" s="2">
        <v>-821515</v>
      </c>
      <c r="F32" s="2">
        <v>-962044</v>
      </c>
      <c r="H32" s="2"/>
      <c r="N32" s="80"/>
      <c r="Q32" s="80"/>
    </row>
    <row r="33" spans="2:17" ht="27.6" customHeight="1" x14ac:dyDescent="0.2">
      <c r="B33" s="73" t="s">
        <v>172</v>
      </c>
      <c r="C33" s="6">
        <v>19</v>
      </c>
      <c r="D33" s="2">
        <v>1070</v>
      </c>
      <c r="F33" s="2">
        <v>0</v>
      </c>
      <c r="G33" s="2"/>
      <c r="H33" s="2"/>
      <c r="N33" s="81"/>
      <c r="Q33" s="81"/>
    </row>
    <row r="34" spans="2:17" ht="27.6" customHeight="1" x14ac:dyDescent="0.2">
      <c r="B34" s="73" t="s">
        <v>186</v>
      </c>
      <c r="C34" s="6">
        <v>19</v>
      </c>
      <c r="D34" s="2">
        <v>265293</v>
      </c>
      <c r="F34" s="2"/>
      <c r="G34" s="2"/>
      <c r="H34" s="2"/>
      <c r="N34" s="81"/>
      <c r="Q34" s="81"/>
    </row>
    <row r="35" spans="2:17" ht="27.6" customHeight="1" x14ac:dyDescent="0.2">
      <c r="B35" s="73" t="s">
        <v>53</v>
      </c>
      <c r="C35" s="6"/>
      <c r="D35" s="2">
        <v>2948462</v>
      </c>
      <c r="F35" s="2">
        <v>2302040</v>
      </c>
      <c r="G35" s="78"/>
      <c r="H35" s="2"/>
      <c r="N35" s="80"/>
      <c r="Q35" s="80"/>
    </row>
    <row r="36" spans="2:17" ht="12.75" x14ac:dyDescent="0.2">
      <c r="B36" s="76" t="s">
        <v>54</v>
      </c>
      <c r="C36" s="6"/>
      <c r="D36" s="8">
        <f>SUM(D30:D35)</f>
        <v>5338321</v>
      </c>
      <c r="E36" s="7"/>
      <c r="F36" s="8">
        <f>SUM(F30:F35)</f>
        <v>4285007</v>
      </c>
      <c r="H36" s="2"/>
      <c r="N36" s="80"/>
      <c r="Q36" s="80"/>
    </row>
    <row r="37" spans="2:17" ht="13.5" thickBot="1" x14ac:dyDescent="0.25">
      <c r="B37" s="76" t="s">
        <v>55</v>
      </c>
      <c r="C37" s="6"/>
      <c r="D37" s="153">
        <f>D27+D36</f>
        <v>19209268</v>
      </c>
      <c r="F37" s="153">
        <f>F27+F36</f>
        <v>10926975</v>
      </c>
      <c r="H37" s="2"/>
      <c r="N37" s="80"/>
      <c r="Q37" s="82"/>
    </row>
    <row r="38" spans="2:17" ht="13.5" thickTop="1" x14ac:dyDescent="0.2">
      <c r="B38" s="9" t="s">
        <v>2</v>
      </c>
      <c r="C38" s="6"/>
      <c r="D38" s="10">
        <f>D18-D37</f>
        <v>0</v>
      </c>
      <c r="F38" s="10">
        <f>F18-F37</f>
        <v>0</v>
      </c>
      <c r="H38" s="2"/>
      <c r="N38" s="80"/>
      <c r="Q38" s="82"/>
    </row>
    <row r="39" spans="2:17" ht="8.25" customHeight="1" x14ac:dyDescent="0.2">
      <c r="B39" s="9"/>
      <c r="C39" s="6"/>
      <c r="D39" s="10"/>
      <c r="F39" s="10"/>
      <c r="H39" s="2"/>
      <c r="N39" s="80"/>
      <c r="Q39" s="82"/>
    </row>
    <row r="40" spans="2:17" ht="12.75" x14ac:dyDescent="0.2">
      <c r="B40" s="110" t="s">
        <v>187</v>
      </c>
      <c r="C40" s="6"/>
      <c r="D40" s="10"/>
      <c r="F40" s="10"/>
      <c r="N40" s="81"/>
      <c r="Q40" s="81"/>
    </row>
    <row r="41" spans="2:17" ht="12.75" x14ac:dyDescent="0.2">
      <c r="B41" s="111" t="s">
        <v>131</v>
      </c>
      <c r="G41" s="2"/>
      <c r="N41" s="81"/>
      <c r="Q41" s="81"/>
    </row>
    <row r="42" spans="2:17" ht="3.75" customHeight="1" x14ac:dyDescent="0.2">
      <c r="F42" s="2"/>
      <c r="G42" s="106"/>
      <c r="H42" s="106"/>
    </row>
    <row r="43" spans="2:17" ht="12.75" x14ac:dyDescent="0.2">
      <c r="B43" s="107" t="s">
        <v>127</v>
      </c>
      <c r="C43" s="106"/>
      <c r="D43" s="106"/>
      <c r="E43" s="106"/>
      <c r="F43" s="106"/>
      <c r="G43" s="106"/>
      <c r="H43" s="106"/>
    </row>
    <row r="44" spans="2:17" ht="12.75" x14ac:dyDescent="0.2">
      <c r="B44" s="106" t="s">
        <v>126</v>
      </c>
      <c r="C44" s="106" t="s">
        <v>128</v>
      </c>
      <c r="D44" s="106"/>
      <c r="E44" s="106"/>
      <c r="F44" s="106"/>
    </row>
    <row r="45" spans="2:17" x14ac:dyDescent="0.2">
      <c r="F45" s="2"/>
    </row>
    <row r="46" spans="2:17" ht="12.75" x14ac:dyDescent="0.2">
      <c r="G46" s="106"/>
      <c r="H46" s="106"/>
    </row>
    <row r="47" spans="2:17" ht="12.75" x14ac:dyDescent="0.2">
      <c r="B47" s="106"/>
      <c r="C47" s="106"/>
      <c r="D47" s="106"/>
      <c r="E47" s="106"/>
      <c r="F47" s="106"/>
      <c r="G47" s="106"/>
      <c r="H47" s="106"/>
    </row>
    <row r="48" spans="2:17" ht="12.75" x14ac:dyDescent="0.2">
      <c r="B48" s="106"/>
      <c r="C48" s="106"/>
      <c r="D48" s="106"/>
      <c r="E48" s="106"/>
      <c r="F48" s="106"/>
      <c r="I48" s="80"/>
    </row>
    <row r="49" spans="9:9" ht="12.75" x14ac:dyDescent="0.2">
      <c r="I49" s="80"/>
    </row>
    <row r="50" spans="9:9" ht="12.75" x14ac:dyDescent="0.2">
      <c r="I50" s="80"/>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dimension ref="B1:P42"/>
  <sheetViews>
    <sheetView zoomScaleNormal="100" workbookViewId="0">
      <selection activeCell="L9" sqref="L9"/>
    </sheetView>
  </sheetViews>
  <sheetFormatPr defaultColWidth="10.33203125" defaultRowHeight="12.75" x14ac:dyDescent="0.2"/>
  <cols>
    <col min="1" max="1" width="15.1640625" style="11" customWidth="1"/>
    <col min="2" max="2" width="46.83203125" style="129" customWidth="1"/>
    <col min="3" max="3" width="12.83203125" style="11" customWidth="1"/>
    <col min="4" max="4" width="15.33203125" style="11" customWidth="1"/>
    <col min="5" max="5" width="6.5" style="11" customWidth="1"/>
    <col min="6" max="6" width="15.1640625" style="11" customWidth="1"/>
    <col min="7" max="7" width="10.33203125" style="11"/>
    <col min="8" max="8" width="14.33203125" style="11" customWidth="1"/>
    <col min="9" max="16384" width="10.33203125" style="11"/>
  </cols>
  <sheetData>
    <row r="1" spans="2:8" ht="14.25" x14ac:dyDescent="0.2">
      <c r="B1" s="181" t="s">
        <v>159</v>
      </c>
      <c r="C1" s="181"/>
      <c r="D1" s="181"/>
    </row>
    <row r="2" spans="2:8" x14ac:dyDescent="0.2">
      <c r="B2" s="128" t="s">
        <v>191</v>
      </c>
    </row>
    <row r="3" spans="2:8" x14ac:dyDescent="0.2">
      <c r="B3" s="128"/>
    </row>
    <row r="4" spans="2:8" ht="45" x14ac:dyDescent="0.2">
      <c r="C4" s="182" t="s">
        <v>130</v>
      </c>
      <c r="D4" s="150" t="s">
        <v>188</v>
      </c>
      <c r="F4" s="150" t="s">
        <v>193</v>
      </c>
    </row>
    <row r="5" spans="2:8" x14ac:dyDescent="0.2">
      <c r="C5" s="183"/>
      <c r="D5" s="12" t="s">
        <v>129</v>
      </c>
      <c r="F5" s="12" t="s">
        <v>129</v>
      </c>
    </row>
    <row r="7" spans="2:8" x14ac:dyDescent="0.2">
      <c r="B7" s="77" t="s">
        <v>56</v>
      </c>
      <c r="C7" s="13">
        <v>10</v>
      </c>
      <c r="D7" s="14">
        <v>12323355</v>
      </c>
      <c r="F7" s="14">
        <v>5941928</v>
      </c>
      <c r="G7" s="14"/>
      <c r="H7" s="14"/>
    </row>
    <row r="8" spans="2:8" ht="25.5" x14ac:dyDescent="0.2">
      <c r="B8" s="77" t="s">
        <v>57</v>
      </c>
      <c r="C8" s="13">
        <v>10</v>
      </c>
      <c r="D8" s="14">
        <v>-1393873</v>
      </c>
      <c r="F8" s="14">
        <v>-1458257</v>
      </c>
      <c r="G8" s="14"/>
      <c r="H8" s="14"/>
    </row>
    <row r="9" spans="2:8" s="15" customFormat="1" x14ac:dyDescent="0.2">
      <c r="B9" s="83" t="s">
        <v>58</v>
      </c>
      <c r="C9" s="13"/>
      <c r="D9" s="16">
        <f>SUM(D7:D8)</f>
        <v>10929482</v>
      </c>
      <c r="F9" s="16">
        <f>SUM(F7:F8)</f>
        <v>4483671</v>
      </c>
      <c r="G9" s="17"/>
      <c r="H9" s="17"/>
    </row>
    <row r="10" spans="2:8" ht="25.5" x14ac:dyDescent="0.2">
      <c r="B10" s="77" t="s">
        <v>59</v>
      </c>
      <c r="C10" s="13">
        <v>10</v>
      </c>
      <c r="D10" s="14">
        <v>-5675741</v>
      </c>
      <c r="F10" s="14">
        <v>-1803360</v>
      </c>
      <c r="G10" s="14"/>
      <c r="H10" s="14"/>
    </row>
    <row r="11" spans="2:8" s="15" customFormat="1" x14ac:dyDescent="0.2">
      <c r="B11" s="83" t="s">
        <v>60</v>
      </c>
      <c r="C11" s="13"/>
      <c r="D11" s="16">
        <f>SUM(D9:D10)</f>
        <v>5253741</v>
      </c>
      <c r="F11" s="16">
        <f>SUM(F9:F10)</f>
        <v>2680311</v>
      </c>
      <c r="G11" s="17"/>
      <c r="H11" s="17"/>
    </row>
    <row r="12" spans="2:8" x14ac:dyDescent="0.2">
      <c r="B12" s="77" t="s">
        <v>61</v>
      </c>
      <c r="C12" s="13">
        <v>4</v>
      </c>
      <c r="D12" s="14">
        <v>563334</v>
      </c>
      <c r="F12" s="14">
        <v>586980</v>
      </c>
      <c r="G12" s="14"/>
      <c r="H12" s="14"/>
    </row>
    <row r="13" spans="2:8" x14ac:dyDescent="0.2">
      <c r="B13" s="77" t="s">
        <v>62</v>
      </c>
      <c r="C13" s="13">
        <v>4</v>
      </c>
      <c r="D13" s="14">
        <v>-199048</v>
      </c>
      <c r="F13" s="14">
        <v>0</v>
      </c>
      <c r="G13" s="14"/>
      <c r="H13" s="14"/>
    </row>
    <row r="14" spans="2:8" ht="25.5" x14ac:dyDescent="0.2">
      <c r="B14" s="77" t="s">
        <v>63</v>
      </c>
      <c r="C14" s="13"/>
      <c r="D14" s="14">
        <v>33920</v>
      </c>
      <c r="F14" s="14">
        <v>38921</v>
      </c>
      <c r="G14" s="14"/>
      <c r="H14" s="14"/>
    </row>
    <row r="15" spans="2:8" x14ac:dyDescent="0.2">
      <c r="B15" s="77" t="s">
        <v>64</v>
      </c>
      <c r="C15" s="13"/>
      <c r="D15" s="14">
        <v>27118</v>
      </c>
      <c r="F15" s="14">
        <v>5037</v>
      </c>
      <c r="G15" s="14"/>
      <c r="H15" s="14"/>
    </row>
    <row r="16" spans="2:8" x14ac:dyDescent="0.2">
      <c r="B16" s="83" t="s">
        <v>65</v>
      </c>
      <c r="C16" s="13"/>
      <c r="D16" s="16">
        <f>SUM(D11:D15)</f>
        <v>5679065</v>
      </c>
      <c r="E16" s="15"/>
      <c r="F16" s="16">
        <f>SUM(F11:F15)</f>
        <v>3311249</v>
      </c>
      <c r="G16" s="17"/>
      <c r="H16" s="17"/>
    </row>
    <row r="17" spans="2:16" ht="25.5" x14ac:dyDescent="0.2">
      <c r="B17" s="77" t="s">
        <v>66</v>
      </c>
      <c r="C17" s="13">
        <v>11</v>
      </c>
      <c r="D17" s="14">
        <v>-4226946</v>
      </c>
      <c r="F17" s="14">
        <v>-2227872</v>
      </c>
      <c r="G17" s="14"/>
      <c r="H17" s="14"/>
    </row>
    <row r="18" spans="2:16" ht="25.5" x14ac:dyDescent="0.2">
      <c r="B18" s="77" t="s">
        <v>67</v>
      </c>
      <c r="C18" s="13">
        <v>11</v>
      </c>
      <c r="D18" s="14">
        <v>-66234</v>
      </c>
      <c r="F18" s="14">
        <v>-11994</v>
      </c>
      <c r="G18" s="14"/>
      <c r="H18" s="14"/>
    </row>
    <row r="19" spans="2:16" x14ac:dyDescent="0.2">
      <c r="B19" s="83" t="s">
        <v>68</v>
      </c>
      <c r="C19" s="13">
        <v>11</v>
      </c>
      <c r="D19" s="16">
        <f>SUM(D17:D18)</f>
        <v>-4293180</v>
      </c>
      <c r="E19" s="15"/>
      <c r="F19" s="16">
        <f>SUM(F17:F18)</f>
        <v>-2239866</v>
      </c>
      <c r="G19" s="17"/>
      <c r="H19" s="17"/>
    </row>
    <row r="20" spans="2:16" ht="38.25" x14ac:dyDescent="0.2">
      <c r="B20" s="84" t="s">
        <v>75</v>
      </c>
      <c r="C20" s="13"/>
      <c r="D20" s="14">
        <v>0</v>
      </c>
      <c r="F20" s="14">
        <v>0</v>
      </c>
      <c r="G20" s="14"/>
      <c r="H20" s="14"/>
      <c r="J20" s="14"/>
      <c r="L20" s="14"/>
      <c r="N20" s="14"/>
      <c r="P20" s="14"/>
    </row>
    <row r="21" spans="2:16" x14ac:dyDescent="0.2">
      <c r="B21" s="75" t="s">
        <v>69</v>
      </c>
      <c r="C21" s="13">
        <v>12</v>
      </c>
      <c r="D21" s="14">
        <v>-223330</v>
      </c>
      <c r="F21" s="14">
        <v>-207332</v>
      </c>
      <c r="G21" s="14"/>
      <c r="H21" s="14"/>
    </row>
    <row r="22" spans="2:16" x14ac:dyDescent="0.2">
      <c r="B22" s="75" t="s">
        <v>70</v>
      </c>
      <c r="C22" s="13"/>
      <c r="D22" s="14">
        <v>0</v>
      </c>
      <c r="F22" s="14">
        <v>0</v>
      </c>
      <c r="G22" s="14"/>
      <c r="H22" s="14"/>
    </row>
    <row r="23" spans="2:16" x14ac:dyDescent="0.2">
      <c r="B23" s="73" t="s">
        <v>71</v>
      </c>
      <c r="C23" s="13">
        <v>13</v>
      </c>
      <c r="D23" s="14">
        <v>-237940</v>
      </c>
      <c r="F23" s="14">
        <v>-147532</v>
      </c>
      <c r="G23" s="14"/>
      <c r="H23" s="14"/>
    </row>
    <row r="24" spans="2:16" x14ac:dyDescent="0.2">
      <c r="B24" s="74" t="s">
        <v>72</v>
      </c>
      <c r="C24" s="13"/>
      <c r="D24" s="16">
        <f>SUM(D16,D19:D23)</f>
        <v>924615</v>
      </c>
      <c r="E24" s="15"/>
      <c r="F24" s="16">
        <f>SUM(F16,F19:F23)</f>
        <v>716519</v>
      </c>
      <c r="G24" s="17"/>
      <c r="H24" s="17"/>
    </row>
    <row r="25" spans="2:16" x14ac:dyDescent="0.2">
      <c r="B25" s="73" t="s">
        <v>73</v>
      </c>
      <c r="C25" s="13"/>
      <c r="D25" s="14">
        <v>0</v>
      </c>
      <c r="F25" s="14">
        <v>0</v>
      </c>
      <c r="G25" s="14"/>
      <c r="H25" s="14"/>
    </row>
    <row r="26" spans="2:16" x14ac:dyDescent="0.2">
      <c r="B26" s="76" t="s">
        <v>74</v>
      </c>
      <c r="C26" s="13"/>
      <c r="D26" s="16">
        <f>SUM(D24:D25)</f>
        <v>924615</v>
      </c>
      <c r="E26" s="15"/>
      <c r="F26" s="16">
        <f>SUM(F24:F25)</f>
        <v>716519</v>
      </c>
      <c r="G26" s="17"/>
      <c r="H26" s="17"/>
    </row>
    <row r="27" spans="2:16" x14ac:dyDescent="0.2">
      <c r="B27" s="76" t="s">
        <v>76</v>
      </c>
      <c r="C27" s="15"/>
      <c r="D27" s="18"/>
      <c r="E27" s="15"/>
      <c r="F27" s="17"/>
      <c r="G27" s="17"/>
      <c r="H27" s="17"/>
    </row>
    <row r="28" spans="2:16" ht="51" x14ac:dyDescent="0.2">
      <c r="B28" s="85" t="s">
        <v>77</v>
      </c>
      <c r="F28" s="14"/>
      <c r="G28" s="14"/>
      <c r="H28" s="14"/>
    </row>
    <row r="29" spans="2:16" ht="25.5" x14ac:dyDescent="0.2">
      <c r="B29" s="77" t="s">
        <v>78</v>
      </c>
      <c r="F29" s="14"/>
      <c r="G29" s="14"/>
      <c r="H29" s="14"/>
    </row>
    <row r="30" spans="2:16" ht="38.25" x14ac:dyDescent="0.2">
      <c r="B30" s="86" t="s">
        <v>79</v>
      </c>
      <c r="D30" s="14">
        <v>140529</v>
      </c>
      <c r="E30" s="14"/>
      <c r="F30" s="14">
        <v>-965639</v>
      </c>
      <c r="G30" s="14"/>
      <c r="H30" s="14"/>
    </row>
    <row r="31" spans="2:16" ht="51" x14ac:dyDescent="0.2">
      <c r="B31" s="86" t="s">
        <v>80</v>
      </c>
      <c r="D31" s="14">
        <v>0</v>
      </c>
      <c r="F31" s="14">
        <v>-3163</v>
      </c>
      <c r="G31" s="14"/>
      <c r="H31" s="14"/>
    </row>
    <row r="32" spans="2:16" ht="38.25" x14ac:dyDescent="0.2">
      <c r="B32" s="87" t="s">
        <v>81</v>
      </c>
      <c r="D32" s="20">
        <f>SUM(D30:D31)</f>
        <v>140529</v>
      </c>
      <c r="F32" s="20">
        <f>SUM(F30:F31)</f>
        <v>-968802</v>
      </c>
      <c r="G32" s="14"/>
      <c r="H32" s="14"/>
    </row>
    <row r="33" spans="2:8" x14ac:dyDescent="0.2">
      <c r="B33" s="76" t="s">
        <v>82</v>
      </c>
      <c r="C33" s="15"/>
      <c r="D33" s="16">
        <f>D32</f>
        <v>140529</v>
      </c>
      <c r="E33" s="15"/>
      <c r="F33" s="16">
        <f>F32</f>
        <v>-968802</v>
      </c>
      <c r="G33" s="17"/>
      <c r="H33" s="17"/>
    </row>
    <row r="34" spans="2:8" ht="13.5" thickBot="1" x14ac:dyDescent="0.25">
      <c r="B34" s="76" t="s">
        <v>83</v>
      </c>
      <c r="C34" s="15"/>
      <c r="D34" s="21">
        <f>D26+D33</f>
        <v>1065144</v>
      </c>
      <c r="E34" s="15"/>
      <c r="F34" s="21">
        <f>F26+F33</f>
        <v>-252283</v>
      </c>
      <c r="G34" s="17"/>
      <c r="H34" s="17"/>
    </row>
    <row r="35" spans="2:8" ht="13.5" thickTop="1" x14ac:dyDescent="0.2"/>
    <row r="36" spans="2:8" x14ac:dyDescent="0.2">
      <c r="B36" s="110" t="s">
        <v>187</v>
      </c>
    </row>
    <row r="37" spans="2:8" x14ac:dyDescent="0.2">
      <c r="B37" s="111" t="s">
        <v>131</v>
      </c>
      <c r="C37" s="106"/>
    </row>
    <row r="38" spans="2:8" x14ac:dyDescent="0.2">
      <c r="B38" s="106"/>
      <c r="C38" s="106"/>
    </row>
    <row r="39" spans="2:8" x14ac:dyDescent="0.2">
      <c r="B39" s="130"/>
      <c r="E39" s="19"/>
    </row>
    <row r="40" spans="2:8" x14ac:dyDescent="0.2">
      <c r="B40" s="107" t="s">
        <v>127</v>
      </c>
    </row>
    <row r="41" spans="2:8" x14ac:dyDescent="0.2">
      <c r="B41" s="106" t="s">
        <v>126</v>
      </c>
      <c r="C41" s="106" t="s">
        <v>128</v>
      </c>
    </row>
    <row r="42" spans="2:8" x14ac:dyDescent="0.2">
      <c r="B42" s="106"/>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dimension ref="B1:R57"/>
  <sheetViews>
    <sheetView topLeftCell="A13" zoomScaleNormal="100" workbookViewId="0">
      <selection activeCell="R29" sqref="R29"/>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83203125" customWidth="1"/>
    <col min="12" max="12" width="12.83203125" customWidth="1"/>
    <col min="13" max="13" width="4" customWidth="1"/>
    <col min="14" max="14" width="13.6640625" customWidth="1"/>
    <col min="15" max="15" width="4" customWidth="1"/>
    <col min="16" max="16" width="15.5" customWidth="1"/>
    <col min="18" max="18" width="15.33203125" customWidth="1"/>
  </cols>
  <sheetData>
    <row r="1" spans="2:18" ht="14.25" x14ac:dyDescent="0.2">
      <c r="B1" s="181" t="s">
        <v>159</v>
      </c>
      <c r="C1" s="181"/>
      <c r="D1" s="181"/>
    </row>
    <row r="2" spans="2:18" ht="14.25" x14ac:dyDescent="0.2">
      <c r="B2" s="108" t="s">
        <v>191</v>
      </c>
      <c r="C2" s="108"/>
    </row>
    <row r="5" spans="2:18" ht="12.75" customHeight="1" x14ac:dyDescent="0.2">
      <c r="D5" s="188" t="s">
        <v>154</v>
      </c>
      <c r="E5" s="101"/>
      <c r="F5" s="188" t="s">
        <v>155</v>
      </c>
      <c r="G5" s="101"/>
      <c r="H5" s="188" t="s">
        <v>156</v>
      </c>
      <c r="I5" s="101"/>
      <c r="J5" s="188" t="s">
        <v>172</v>
      </c>
      <c r="K5" s="175"/>
      <c r="L5" s="186" t="s">
        <v>190</v>
      </c>
      <c r="M5" s="101"/>
      <c r="N5" s="188" t="s">
        <v>157</v>
      </c>
      <c r="O5" s="101"/>
      <c r="P5" s="188" t="s">
        <v>158</v>
      </c>
    </row>
    <row r="6" spans="2:18" ht="72.599999999999994" customHeight="1" x14ac:dyDescent="0.2">
      <c r="B6" s="22" t="s">
        <v>129</v>
      </c>
      <c r="C6" s="184" t="s">
        <v>130</v>
      </c>
      <c r="D6" s="189"/>
      <c r="E6" s="101"/>
      <c r="F6" s="189"/>
      <c r="G6" s="101"/>
      <c r="H6" s="189"/>
      <c r="I6" s="101"/>
      <c r="J6" s="189"/>
      <c r="K6" s="175"/>
      <c r="L6" s="187"/>
      <c r="M6" s="101"/>
      <c r="N6" s="189"/>
      <c r="O6" s="101"/>
      <c r="P6" s="189"/>
    </row>
    <row r="7" spans="2:18" ht="12" x14ac:dyDescent="0.2">
      <c r="B7" s="88" t="s">
        <v>161</v>
      </c>
      <c r="C7" s="185"/>
      <c r="D7" s="23">
        <v>1765000</v>
      </c>
      <c r="E7" s="24"/>
      <c r="F7" s="23">
        <v>201011</v>
      </c>
      <c r="G7" s="24"/>
      <c r="H7" s="23">
        <v>24328</v>
      </c>
      <c r="I7" s="24"/>
      <c r="J7" s="23">
        <v>0</v>
      </c>
      <c r="K7" s="28"/>
      <c r="L7" s="23">
        <v>0</v>
      </c>
      <c r="M7" s="24"/>
      <c r="N7" s="23">
        <v>1387412</v>
      </c>
      <c r="O7" s="24"/>
      <c r="P7" s="23">
        <v>3377751</v>
      </c>
      <c r="R7" s="25" t="s">
        <v>2</v>
      </c>
    </row>
    <row r="8" spans="2:18" ht="12" x14ac:dyDescent="0.2">
      <c r="B8" s="90" t="s">
        <v>84</v>
      </c>
      <c r="C8" s="90"/>
      <c r="D8" s="24"/>
      <c r="E8" s="24"/>
      <c r="F8" s="24"/>
      <c r="G8" s="24"/>
      <c r="H8" s="24"/>
      <c r="I8" s="24"/>
      <c r="J8" s="24"/>
      <c r="K8" s="24"/>
      <c r="L8" s="24"/>
      <c r="M8" s="24"/>
      <c r="N8" s="24"/>
      <c r="O8" s="24"/>
      <c r="P8" s="24"/>
    </row>
    <row r="9" spans="2:18" ht="12" x14ac:dyDescent="0.2">
      <c r="B9" s="91" t="s">
        <v>132</v>
      </c>
      <c r="C9" s="91"/>
      <c r="D9" s="24">
        <v>0</v>
      </c>
      <c r="E9" s="24"/>
      <c r="F9" s="24">
        <v>0</v>
      </c>
      <c r="G9" s="24"/>
      <c r="H9" s="24">
        <v>0</v>
      </c>
      <c r="I9" s="24"/>
      <c r="J9" s="24">
        <v>0</v>
      </c>
      <c r="K9" s="24"/>
      <c r="L9" s="24">
        <v>0</v>
      </c>
      <c r="M9" s="24"/>
      <c r="N9" s="24">
        <v>716519</v>
      </c>
      <c r="O9" s="24"/>
      <c r="P9" s="24">
        <f>SUM(D9:O9)</f>
        <v>716519</v>
      </c>
      <c r="Q9" s="26"/>
      <c r="R9" s="27">
        <f>IS!F26-SCE!P9</f>
        <v>0</v>
      </c>
    </row>
    <row r="10" spans="2:18" ht="12" x14ac:dyDescent="0.2">
      <c r="B10" s="90" t="s">
        <v>76</v>
      </c>
      <c r="C10" s="90"/>
      <c r="D10" s="28"/>
      <c r="E10" s="28"/>
      <c r="F10" s="28"/>
      <c r="G10" s="28"/>
      <c r="H10" s="28"/>
      <c r="I10" s="28"/>
      <c r="J10" s="28"/>
      <c r="K10" s="28"/>
      <c r="L10" s="28"/>
      <c r="M10" s="28"/>
      <c r="N10" s="28"/>
      <c r="O10" s="28"/>
      <c r="P10" s="28"/>
    </row>
    <row r="11" spans="2:18" ht="52.15" customHeight="1" x14ac:dyDescent="0.2">
      <c r="B11" s="92" t="s">
        <v>77</v>
      </c>
      <c r="C11" s="92"/>
      <c r="D11" s="24"/>
      <c r="E11" s="24"/>
      <c r="F11" s="24"/>
      <c r="G11" s="24"/>
      <c r="H11" s="24"/>
      <c r="I11" s="24"/>
      <c r="J11" s="24"/>
      <c r="K11" s="24"/>
      <c r="L11" s="24"/>
      <c r="M11" s="24"/>
      <c r="N11" s="24"/>
      <c r="O11" s="24"/>
      <c r="P11" s="24"/>
    </row>
    <row r="12" spans="2:18" ht="12" x14ac:dyDescent="0.2">
      <c r="B12" s="92" t="s">
        <v>85</v>
      </c>
      <c r="C12" s="92"/>
      <c r="D12" s="24"/>
      <c r="E12" s="24"/>
      <c r="F12" s="24"/>
      <c r="G12" s="24"/>
      <c r="H12" s="24"/>
      <c r="I12" s="24"/>
      <c r="J12" s="24"/>
      <c r="K12" s="24"/>
      <c r="L12" s="24"/>
      <c r="M12" s="24"/>
      <c r="N12" s="24"/>
      <c r="O12" s="24"/>
      <c r="P12" s="24">
        <f t="shared" ref="P12:P14" si="0">SUM(D12:O12)</f>
        <v>0</v>
      </c>
    </row>
    <row r="13" spans="2:18" ht="36" x14ac:dyDescent="0.2">
      <c r="B13" s="91" t="s">
        <v>86</v>
      </c>
      <c r="C13" s="91"/>
      <c r="D13" s="24"/>
      <c r="E13" s="24"/>
      <c r="F13" s="24"/>
      <c r="G13" s="24"/>
      <c r="H13" s="24">
        <v>-965639</v>
      </c>
      <c r="I13" s="24"/>
      <c r="J13" s="24"/>
      <c r="K13" s="24"/>
      <c r="L13" s="24"/>
      <c r="M13" s="24"/>
      <c r="N13" s="24"/>
      <c r="O13" s="24"/>
      <c r="P13" s="24">
        <f t="shared" si="0"/>
        <v>-965639</v>
      </c>
      <c r="Q13" s="26"/>
      <c r="R13" s="27">
        <f>IS!F30-P13</f>
        <v>0</v>
      </c>
    </row>
    <row r="14" spans="2:18" ht="52.15" customHeight="1" x14ac:dyDescent="0.2">
      <c r="B14" s="91" t="s">
        <v>87</v>
      </c>
      <c r="C14" s="91"/>
      <c r="D14" s="24"/>
      <c r="E14" s="24"/>
      <c r="F14" s="24"/>
      <c r="G14" s="24"/>
      <c r="H14" s="24">
        <v>-3163</v>
      </c>
      <c r="I14" s="24"/>
      <c r="J14" s="24"/>
      <c r="K14" s="24"/>
      <c r="L14" s="24"/>
      <c r="M14" s="24"/>
      <c r="N14" s="24"/>
      <c r="O14" s="24"/>
      <c r="P14" s="24">
        <f t="shared" si="0"/>
        <v>-3163</v>
      </c>
      <c r="Q14" s="26"/>
      <c r="R14" s="27">
        <f>IS!F31-P14</f>
        <v>0</v>
      </c>
    </row>
    <row r="15" spans="2:18" ht="36" x14ac:dyDescent="0.2">
      <c r="B15" s="92" t="s">
        <v>88</v>
      </c>
      <c r="C15" s="92"/>
      <c r="D15" s="147">
        <f>SUM(D12:D14)</f>
        <v>0</v>
      </c>
      <c r="E15" s="24"/>
      <c r="F15" s="147">
        <f>SUM(F12:F14)</f>
        <v>0</v>
      </c>
      <c r="G15" s="24"/>
      <c r="H15" s="147">
        <f>SUM(H12:H14)</f>
        <v>-968802</v>
      </c>
      <c r="I15" s="24"/>
      <c r="J15" s="147">
        <f>SUM(J12:J14)</f>
        <v>0</v>
      </c>
      <c r="K15" s="176"/>
      <c r="L15" s="147">
        <f>SUM(L12:L14)</f>
        <v>0</v>
      </c>
      <c r="M15" s="24"/>
      <c r="N15" s="147">
        <f>SUM(N12:N14)</f>
        <v>0</v>
      </c>
      <c r="O15" s="24"/>
      <c r="P15" s="147">
        <f>SUM(P12:P14)</f>
        <v>-968802</v>
      </c>
    </row>
    <row r="16" spans="2:18" ht="12" x14ac:dyDescent="0.2">
      <c r="B16" s="88" t="s">
        <v>89</v>
      </c>
      <c r="C16" s="88"/>
      <c r="D16" s="23">
        <f>D9+D15</f>
        <v>0</v>
      </c>
      <c r="E16" s="28"/>
      <c r="F16" s="23">
        <f>F9+F15</f>
        <v>0</v>
      </c>
      <c r="G16" s="28"/>
      <c r="H16" s="23">
        <f>H9+H15</f>
        <v>-968802</v>
      </c>
      <c r="I16" s="28"/>
      <c r="J16" s="23">
        <f>J9+J15</f>
        <v>0</v>
      </c>
      <c r="K16" s="28"/>
      <c r="L16" s="23">
        <f>L9+L15</f>
        <v>0</v>
      </c>
      <c r="M16" s="28"/>
      <c r="N16" s="23">
        <f>N9+N15</f>
        <v>716519</v>
      </c>
      <c r="O16" s="28"/>
      <c r="P16" s="23">
        <f>P9+P15</f>
        <v>-252283</v>
      </c>
    </row>
    <row r="17" spans="2:18" ht="48" x14ac:dyDescent="0.2">
      <c r="B17" s="94" t="s">
        <v>90</v>
      </c>
      <c r="C17" s="94"/>
      <c r="D17" s="24"/>
      <c r="E17" s="24"/>
      <c r="F17" s="24"/>
      <c r="G17" s="24"/>
      <c r="H17" s="24"/>
      <c r="I17" s="24"/>
      <c r="J17" s="24"/>
      <c r="K17" s="24"/>
      <c r="L17" s="24"/>
      <c r="M17" s="24"/>
      <c r="N17" s="24"/>
      <c r="O17" s="24"/>
      <c r="P17" s="24"/>
    </row>
    <row r="18" spans="2:18" x14ac:dyDescent="0.2">
      <c r="B18" s="31" t="s">
        <v>91</v>
      </c>
      <c r="C18" s="31"/>
      <c r="D18" s="24"/>
      <c r="E18" s="24"/>
      <c r="F18" s="24"/>
      <c r="G18" s="24"/>
      <c r="H18" s="24"/>
      <c r="I18" s="24"/>
      <c r="J18" s="24"/>
      <c r="K18" s="24"/>
      <c r="L18" s="24"/>
      <c r="M18" s="24"/>
      <c r="N18" s="24"/>
      <c r="O18" s="24"/>
      <c r="P18" s="24"/>
    </row>
    <row r="19" spans="2:18" ht="12" x14ac:dyDescent="0.2">
      <c r="B19" s="89" t="s">
        <v>92</v>
      </c>
      <c r="C19" s="13"/>
      <c r="D19" s="24"/>
      <c r="E19" s="24"/>
      <c r="F19" s="24"/>
      <c r="G19" s="24"/>
      <c r="H19" s="24"/>
      <c r="I19" s="24"/>
      <c r="J19" s="24"/>
      <c r="K19" s="24"/>
      <c r="L19" s="24"/>
      <c r="M19" s="24"/>
      <c r="N19" s="24"/>
      <c r="O19" s="24"/>
      <c r="P19" s="24">
        <v>0</v>
      </c>
    </row>
    <row r="20" spans="2:18" ht="12" x14ac:dyDescent="0.2">
      <c r="B20" s="88" t="s">
        <v>133</v>
      </c>
      <c r="C20" s="88"/>
      <c r="D20" s="24">
        <f>SUM(D18:D19)</f>
        <v>0</v>
      </c>
      <c r="E20" s="24"/>
      <c r="F20" s="24">
        <f>SUM(F18:F19)</f>
        <v>0</v>
      </c>
      <c r="G20" s="24"/>
      <c r="H20" s="24">
        <f>SUM(H18:H19)</f>
        <v>0</v>
      </c>
      <c r="I20" s="24"/>
      <c r="J20" s="24">
        <f>SUM(J18:J19)</f>
        <v>0</v>
      </c>
      <c r="K20" s="24"/>
      <c r="L20" s="24">
        <f>SUM(L18:L19)</f>
        <v>0</v>
      </c>
      <c r="M20" s="24"/>
      <c r="N20" s="24">
        <f>SUM(N18:N19)</f>
        <v>0</v>
      </c>
      <c r="O20" s="24"/>
      <c r="P20" s="24">
        <f>SUM(P18:P19)</f>
        <v>0</v>
      </c>
    </row>
    <row r="21" spans="2:18" ht="12.75" thickBot="1" x14ac:dyDescent="0.25">
      <c r="B21" s="93" t="s">
        <v>192</v>
      </c>
      <c r="C21" s="93"/>
      <c r="D21" s="148">
        <f>SUM(D7,D16,D20)</f>
        <v>1765000</v>
      </c>
      <c r="E21" s="26"/>
      <c r="F21" s="148">
        <f>SUM(F7,F16,F20)</f>
        <v>201011</v>
      </c>
      <c r="G21" s="26"/>
      <c r="H21" s="148">
        <f>SUM(H7,H16,H20)</f>
        <v>-944474</v>
      </c>
      <c r="I21" s="26"/>
      <c r="J21" s="148">
        <f>SUM(J7,J16,J20)</f>
        <v>0</v>
      </c>
      <c r="K21" s="28"/>
      <c r="L21" s="148">
        <f>SUM(L7,L16,L20)</f>
        <v>0</v>
      </c>
      <c r="M21" s="26"/>
      <c r="N21" s="148">
        <f>SUM(N7,N16,N20)</f>
        <v>2103931</v>
      </c>
      <c r="O21" s="26"/>
      <c r="P21" s="148">
        <f>SUM(P7,P16,P20)</f>
        <v>3125468</v>
      </c>
      <c r="Q21" s="26"/>
    </row>
    <row r="22" spans="2:18" ht="12" hidden="1" thickTop="1" x14ac:dyDescent="0.2">
      <c r="B22" s="25" t="s">
        <v>2</v>
      </c>
      <c r="C22" s="25"/>
      <c r="D22" s="27">
        <f>BS!F30-D21</f>
        <v>550000</v>
      </c>
      <c r="E22" s="24"/>
      <c r="F22" s="27">
        <f>BS!F31-F21</f>
        <v>429000</v>
      </c>
      <c r="G22" s="24"/>
      <c r="H22" s="27">
        <f>BS!F32-H21</f>
        <v>-17570</v>
      </c>
      <c r="I22" s="24"/>
      <c r="J22" s="27">
        <f>BS!F33-J21</f>
        <v>0</v>
      </c>
      <c r="K22" s="27"/>
      <c r="L22" s="27"/>
      <c r="M22" s="24"/>
      <c r="N22" s="27">
        <f>BS!F35-N21</f>
        <v>198109</v>
      </c>
      <c r="O22" s="24"/>
      <c r="P22" s="27">
        <f>BS!F36-P21</f>
        <v>1159539</v>
      </c>
    </row>
    <row r="23" spans="2:18" ht="12" thickTop="1" x14ac:dyDescent="0.2">
      <c r="B23" s="25"/>
      <c r="C23" s="25"/>
      <c r="D23" s="27"/>
      <c r="E23" s="24"/>
      <c r="F23" s="27"/>
      <c r="G23" s="24"/>
      <c r="H23" s="27"/>
      <c r="I23" s="24"/>
      <c r="J23" s="27"/>
      <c r="K23" s="27"/>
      <c r="L23" s="27"/>
      <c r="M23" s="24"/>
      <c r="N23" s="27"/>
      <c r="O23" s="24"/>
      <c r="P23" s="27"/>
    </row>
    <row r="24" spans="2:18" x14ac:dyDescent="0.2">
      <c r="B24" s="25"/>
      <c r="C24" s="25"/>
      <c r="D24" s="27"/>
      <c r="E24" s="24"/>
      <c r="F24" s="27"/>
      <c r="G24" s="24"/>
      <c r="H24" s="27"/>
      <c r="I24" s="24"/>
      <c r="J24" s="27"/>
      <c r="K24" s="27"/>
      <c r="L24" s="27"/>
      <c r="M24" s="24"/>
      <c r="N24" s="27"/>
      <c r="O24" s="24"/>
      <c r="P24" s="27"/>
    </row>
    <row r="25" spans="2:18" x14ac:dyDescent="0.2">
      <c r="B25" s="25"/>
      <c r="C25" s="25"/>
      <c r="D25" s="27"/>
      <c r="E25" s="24"/>
      <c r="F25" s="27"/>
      <c r="G25" s="24"/>
      <c r="H25" s="27"/>
      <c r="I25" s="24"/>
      <c r="J25" s="27"/>
      <c r="K25" s="27"/>
      <c r="L25" s="27"/>
      <c r="M25" s="24"/>
      <c r="N25" s="27"/>
      <c r="O25" s="24"/>
      <c r="P25" s="27"/>
    </row>
    <row r="27" spans="2:18" ht="16.5" customHeight="1" x14ac:dyDescent="0.2">
      <c r="D27" s="186" t="s">
        <v>49</v>
      </c>
      <c r="E27" s="109"/>
      <c r="F27" s="186" t="s">
        <v>93</v>
      </c>
      <c r="G27" s="109"/>
      <c r="H27" s="186" t="s">
        <v>51</v>
      </c>
      <c r="I27" s="109"/>
      <c r="J27" s="186" t="s">
        <v>172</v>
      </c>
      <c r="K27" s="177"/>
      <c r="L27" s="186" t="s">
        <v>190</v>
      </c>
      <c r="M27" s="109"/>
      <c r="N27" s="186" t="s">
        <v>94</v>
      </c>
      <c r="O27" s="109"/>
      <c r="P27" s="186" t="s">
        <v>54</v>
      </c>
    </row>
    <row r="28" spans="2:18" ht="67.900000000000006" customHeight="1" x14ac:dyDescent="0.2">
      <c r="D28" s="187"/>
      <c r="E28" s="109"/>
      <c r="F28" s="187"/>
      <c r="G28" s="109"/>
      <c r="H28" s="187"/>
      <c r="I28" s="109"/>
      <c r="J28" s="187"/>
      <c r="K28" s="177"/>
      <c r="L28" s="187"/>
      <c r="M28" s="109"/>
      <c r="N28" s="187"/>
      <c r="O28" s="109"/>
      <c r="P28" s="187"/>
    </row>
    <row r="29" spans="2:18" ht="12" x14ac:dyDescent="0.2">
      <c r="B29" s="88" t="s">
        <v>174</v>
      </c>
      <c r="C29" s="88"/>
      <c r="D29" s="23">
        <v>2315000</v>
      </c>
      <c r="E29" s="24"/>
      <c r="F29" s="23">
        <v>630011</v>
      </c>
      <c r="G29" s="24"/>
      <c r="H29" s="23">
        <v>-962044</v>
      </c>
      <c r="I29" s="24"/>
      <c r="J29" s="23">
        <v>0</v>
      </c>
      <c r="K29" s="28"/>
      <c r="L29" s="23">
        <v>0</v>
      </c>
      <c r="M29" s="24"/>
      <c r="N29" s="23">
        <v>2302040</v>
      </c>
      <c r="O29" s="24"/>
      <c r="P29" s="23">
        <v>4285007</v>
      </c>
      <c r="Q29" s="26"/>
      <c r="R29" s="27">
        <f>BS!F36-P29</f>
        <v>0</v>
      </c>
    </row>
    <row r="30" spans="2:18" ht="12" x14ac:dyDescent="0.2">
      <c r="B30" s="90" t="s">
        <v>84</v>
      </c>
      <c r="C30" s="90"/>
      <c r="D30" s="24"/>
      <c r="E30" s="24"/>
      <c r="F30" s="24"/>
      <c r="G30" s="24"/>
      <c r="H30" s="24"/>
      <c r="I30" s="24"/>
      <c r="J30" s="24"/>
      <c r="K30" s="24"/>
      <c r="L30" s="24"/>
      <c r="M30" s="24"/>
      <c r="N30" s="24"/>
      <c r="O30" s="24"/>
      <c r="P30" s="24"/>
    </row>
    <row r="31" spans="2:18" ht="12" x14ac:dyDescent="0.2">
      <c r="B31" s="91" t="s">
        <v>132</v>
      </c>
      <c r="C31" s="91"/>
      <c r="D31" s="24">
        <v>0</v>
      </c>
      <c r="E31" s="24"/>
      <c r="F31" s="24">
        <v>0</v>
      </c>
      <c r="G31" s="24"/>
      <c r="H31" s="24">
        <v>0</v>
      </c>
      <c r="I31" s="24"/>
      <c r="J31" s="24">
        <v>0</v>
      </c>
      <c r="K31" s="24"/>
      <c r="L31" s="24"/>
      <c r="M31" s="24"/>
      <c r="N31" s="24">
        <f>IS!D26</f>
        <v>924615</v>
      </c>
      <c r="O31" s="24"/>
      <c r="P31" s="24">
        <f>SUM(D31:O31)</f>
        <v>924615</v>
      </c>
      <c r="Q31" s="26"/>
      <c r="R31" s="27">
        <f>IS!D26-P31</f>
        <v>0</v>
      </c>
    </row>
    <row r="32" spans="2:18" ht="12" x14ac:dyDescent="0.2">
      <c r="B32" s="90" t="s">
        <v>76</v>
      </c>
      <c r="C32" s="90"/>
      <c r="D32" s="28"/>
      <c r="E32" s="28"/>
      <c r="F32" s="28"/>
      <c r="G32" s="28"/>
      <c r="H32" s="28"/>
      <c r="I32" s="28"/>
      <c r="J32" s="28"/>
      <c r="K32" s="28"/>
      <c r="L32" s="28"/>
      <c r="M32" s="28"/>
      <c r="N32" s="28"/>
      <c r="O32" s="28"/>
      <c r="P32" s="28"/>
      <c r="Q32" s="22"/>
    </row>
    <row r="33" spans="2:18" ht="48" x14ac:dyDescent="0.2">
      <c r="B33" s="92" t="s">
        <v>77</v>
      </c>
      <c r="C33" s="92"/>
      <c r="D33" s="24"/>
      <c r="E33" s="24"/>
      <c r="F33" s="24"/>
      <c r="G33" s="24"/>
      <c r="H33" s="24"/>
      <c r="I33" s="24"/>
      <c r="J33" s="24"/>
      <c r="K33" s="24"/>
      <c r="L33" s="24"/>
      <c r="M33" s="24"/>
      <c r="N33" s="24"/>
      <c r="O33" s="24"/>
      <c r="P33" s="24"/>
    </row>
    <row r="34" spans="2:18" ht="12" x14ac:dyDescent="0.2">
      <c r="B34" s="92" t="s">
        <v>85</v>
      </c>
      <c r="C34" s="92"/>
      <c r="D34" s="24"/>
      <c r="E34" s="24"/>
      <c r="F34" s="24"/>
      <c r="G34" s="24"/>
      <c r="H34" s="24"/>
      <c r="I34" s="24"/>
      <c r="J34" s="24">
        <v>0</v>
      </c>
      <c r="K34" s="24"/>
      <c r="L34" s="24"/>
      <c r="M34" s="24"/>
      <c r="N34" s="24">
        <f>-J34</f>
        <v>0</v>
      </c>
      <c r="O34" s="24"/>
      <c r="P34" s="24">
        <f t="shared" ref="P34:P36" si="1">SUM(D34:O34)</f>
        <v>0</v>
      </c>
    </row>
    <row r="35" spans="2:18" ht="36" x14ac:dyDescent="0.2">
      <c r="B35" s="91" t="s">
        <v>86</v>
      </c>
      <c r="C35" s="91"/>
      <c r="D35" s="24"/>
      <c r="E35" s="24"/>
      <c r="F35" s="24"/>
      <c r="G35" s="24"/>
      <c r="H35" s="24">
        <v>140529</v>
      </c>
      <c r="I35" s="24"/>
      <c r="J35" s="24"/>
      <c r="K35" s="24"/>
      <c r="L35" s="24"/>
      <c r="M35" s="24"/>
      <c r="N35" s="24"/>
      <c r="O35" s="24"/>
      <c r="P35" s="24">
        <f t="shared" si="1"/>
        <v>140529</v>
      </c>
      <c r="Q35" s="26"/>
      <c r="R35" s="27">
        <f>IS!D30-SCE!P35</f>
        <v>0</v>
      </c>
    </row>
    <row r="36" spans="2:18" ht="48" x14ac:dyDescent="0.2">
      <c r="B36" s="91" t="s">
        <v>87</v>
      </c>
      <c r="C36" s="91"/>
      <c r="D36" s="24"/>
      <c r="E36" s="24"/>
      <c r="F36" s="24"/>
      <c r="G36" s="24"/>
      <c r="H36" s="24">
        <v>0</v>
      </c>
      <c r="I36" s="24"/>
      <c r="J36" s="24"/>
      <c r="K36" s="24"/>
      <c r="L36" s="24"/>
      <c r="M36" s="24"/>
      <c r="N36" s="24"/>
      <c r="O36" s="24"/>
      <c r="P36" s="24">
        <f t="shared" si="1"/>
        <v>0</v>
      </c>
      <c r="Q36" s="26"/>
      <c r="R36" s="27">
        <f>IS!D31-SCE!P36</f>
        <v>0</v>
      </c>
    </row>
    <row r="37" spans="2:18" ht="36" x14ac:dyDescent="0.2">
      <c r="B37" s="92" t="s">
        <v>88</v>
      </c>
      <c r="C37" s="92"/>
      <c r="D37" s="147">
        <f>SUM(D34:D36)</f>
        <v>0</v>
      </c>
      <c r="E37" s="24"/>
      <c r="F37" s="147">
        <f>SUM(F34:F36)</f>
        <v>0</v>
      </c>
      <c r="G37" s="24"/>
      <c r="H37" s="147">
        <f>SUM(H34:H36)</f>
        <v>140529</v>
      </c>
      <c r="I37" s="24"/>
      <c r="J37" s="147">
        <f>SUM(J34:J36)</f>
        <v>0</v>
      </c>
      <c r="K37" s="176"/>
      <c r="L37" s="147">
        <f>SUM(L34:L36)</f>
        <v>0</v>
      </c>
      <c r="M37" s="24"/>
      <c r="N37" s="147">
        <f>SUM(N34:N36)</f>
        <v>0</v>
      </c>
      <c r="O37" s="24"/>
      <c r="P37" s="147">
        <f>SUM(P34:P36)</f>
        <v>140529</v>
      </c>
    </row>
    <row r="38" spans="2:18" ht="12" x14ac:dyDescent="0.2">
      <c r="B38" s="88" t="s">
        <v>89</v>
      </c>
      <c r="C38" s="88"/>
      <c r="D38" s="170">
        <f>D31+D37</f>
        <v>0</v>
      </c>
      <c r="E38" s="171"/>
      <c r="F38" s="170">
        <f>F31+F37</f>
        <v>0</v>
      </c>
      <c r="G38" s="171"/>
      <c r="H38" s="170">
        <f>H31+H37</f>
        <v>140529</v>
      </c>
      <c r="I38" s="171"/>
      <c r="J38" s="170">
        <f>J31+J37</f>
        <v>0</v>
      </c>
      <c r="K38" s="171"/>
      <c r="L38" s="170">
        <f>L31+L37</f>
        <v>0</v>
      </c>
      <c r="M38" s="171"/>
      <c r="N38" s="170">
        <f>N31+N37</f>
        <v>924615</v>
      </c>
      <c r="O38" s="171"/>
      <c r="P38" s="170">
        <f>P31+P37</f>
        <v>1065144</v>
      </c>
    </row>
    <row r="39" spans="2:18" ht="48" x14ac:dyDescent="0.2">
      <c r="B39" s="94" t="s">
        <v>90</v>
      </c>
      <c r="C39" s="94"/>
      <c r="D39" s="172"/>
      <c r="E39" s="172"/>
      <c r="F39" s="172"/>
      <c r="G39" s="172"/>
      <c r="H39" s="172"/>
      <c r="I39" s="172"/>
      <c r="J39" s="172"/>
      <c r="K39" s="172"/>
      <c r="L39" s="172"/>
      <c r="M39" s="172"/>
      <c r="N39" s="172"/>
      <c r="O39" s="172"/>
      <c r="P39" s="172"/>
    </row>
    <row r="40" spans="2:18" ht="12" x14ac:dyDescent="0.2">
      <c r="B40" s="169" t="s">
        <v>176</v>
      </c>
      <c r="C40" s="31"/>
      <c r="D40" s="172"/>
      <c r="E40" s="172"/>
      <c r="F40" s="172"/>
      <c r="G40" s="172"/>
      <c r="H40" s="172"/>
      <c r="I40" s="172"/>
      <c r="J40" s="172"/>
      <c r="K40" s="172"/>
      <c r="L40" s="172"/>
      <c r="M40" s="172"/>
      <c r="N40" s="172">
        <v>-11830</v>
      </c>
      <c r="O40" s="172"/>
      <c r="P40" s="172">
        <f>SUM(D40:N40)</f>
        <v>-11830</v>
      </c>
    </row>
    <row r="41" spans="2:18" ht="12" x14ac:dyDescent="0.2">
      <c r="B41" s="91" t="s">
        <v>177</v>
      </c>
      <c r="C41" s="13"/>
      <c r="D41" s="172"/>
      <c r="E41" s="172"/>
      <c r="F41" s="172"/>
      <c r="G41" s="172"/>
      <c r="H41" s="172"/>
      <c r="I41" s="172"/>
      <c r="J41" s="172">
        <v>1070</v>
      </c>
      <c r="K41" s="172"/>
      <c r="L41" s="172"/>
      <c r="M41" s="172"/>
      <c r="N41" s="172">
        <f>-J41</f>
        <v>-1070</v>
      </c>
      <c r="O41" s="172"/>
      <c r="P41" s="172">
        <f>SUM(D41:N41)</f>
        <v>0</v>
      </c>
    </row>
    <row r="42" spans="2:18" ht="24" x14ac:dyDescent="0.2">
      <c r="B42" s="91" t="s">
        <v>189</v>
      </c>
      <c r="C42" s="13"/>
      <c r="D42" s="172"/>
      <c r="E42" s="172"/>
      <c r="F42" s="172"/>
      <c r="G42" s="172"/>
      <c r="H42" s="172"/>
      <c r="I42" s="172"/>
      <c r="J42" s="172"/>
      <c r="K42" s="172"/>
      <c r="L42" s="172">
        <v>265293</v>
      </c>
      <c r="M42" s="172"/>
      <c r="N42" s="172">
        <f>-L42</f>
        <v>-265293</v>
      </c>
      <c r="O42" s="172"/>
      <c r="P42" s="172">
        <f>SUM(D42:N42)</f>
        <v>0</v>
      </c>
    </row>
    <row r="43" spans="2:18" ht="12" x14ac:dyDescent="0.2">
      <c r="B43" s="88" t="s">
        <v>133</v>
      </c>
      <c r="C43" s="88"/>
      <c r="D43" s="171">
        <f>SUM(D40:D42)</f>
        <v>0</v>
      </c>
      <c r="E43" s="171"/>
      <c r="F43" s="171">
        <f>SUM(F40:F42)</f>
        <v>0</v>
      </c>
      <c r="G43" s="171"/>
      <c r="H43" s="171">
        <f>SUM(H40:H42)</f>
        <v>0</v>
      </c>
      <c r="I43" s="171"/>
      <c r="J43" s="171">
        <f>SUM(J40:J42)</f>
        <v>1070</v>
      </c>
      <c r="K43" s="171"/>
      <c r="L43" s="171">
        <f>SUM(L40:L42)</f>
        <v>265293</v>
      </c>
      <c r="M43" s="171"/>
      <c r="N43" s="171">
        <f>SUM(N40:N42)</f>
        <v>-278193</v>
      </c>
      <c r="O43" s="171"/>
      <c r="P43" s="171">
        <f>SUM(P40:P42)</f>
        <v>-11830</v>
      </c>
    </row>
    <row r="44" spans="2:18" ht="12.75" thickBot="1" x14ac:dyDescent="0.25">
      <c r="B44" s="93" t="s">
        <v>175</v>
      </c>
      <c r="C44" s="93"/>
      <c r="D44" s="173">
        <f>SUM(D29,D38,D43)</f>
        <v>2315000</v>
      </c>
      <c r="E44" s="174"/>
      <c r="F44" s="173">
        <f>SUM(F29,F38,F43)</f>
        <v>630011</v>
      </c>
      <c r="G44" s="174"/>
      <c r="H44" s="173">
        <f>SUM(H29,H38,H43)</f>
        <v>-821515</v>
      </c>
      <c r="I44" s="174"/>
      <c r="J44" s="173">
        <f>SUM(J29,J38,J43)</f>
        <v>1070</v>
      </c>
      <c r="K44" s="171"/>
      <c r="L44" s="173">
        <f>SUM(L29,L38,L43)</f>
        <v>265293</v>
      </c>
      <c r="M44" s="174"/>
      <c r="N44" s="173">
        <f>SUM(N29,N38,N43)</f>
        <v>2948462</v>
      </c>
      <c r="O44" s="174"/>
      <c r="P44" s="173">
        <f>SUM(P29,P38,P43)</f>
        <v>5338321</v>
      </c>
      <c r="Q44" s="32"/>
    </row>
    <row r="45" spans="2:18" ht="12" thickTop="1" x14ac:dyDescent="0.2">
      <c r="B45" s="25" t="s">
        <v>2</v>
      </c>
      <c r="C45" s="25"/>
      <c r="D45" s="27">
        <f>BS!D30-D44</f>
        <v>0</v>
      </c>
      <c r="E45" s="24"/>
      <c r="F45" s="27">
        <f>BS!D31-F44</f>
        <v>0</v>
      </c>
      <c r="G45" s="24"/>
      <c r="H45" s="27">
        <f>BS!D32-H44</f>
        <v>0</v>
      </c>
      <c r="I45" s="24"/>
      <c r="J45" s="27">
        <f>BS!D33-J44</f>
        <v>0</v>
      </c>
      <c r="K45" s="27"/>
      <c r="L45" s="27">
        <f>BS!D34-L44</f>
        <v>0</v>
      </c>
      <c r="M45" s="24"/>
      <c r="N45" s="27">
        <f>BS!D35-N44</f>
        <v>0</v>
      </c>
      <c r="O45" s="24"/>
      <c r="P45" s="27">
        <f>BS!D36-P44</f>
        <v>0</v>
      </c>
    </row>
    <row r="46" spans="2:18" x14ac:dyDescent="0.2">
      <c r="F46" s="24"/>
    </row>
    <row r="48" spans="2:18" ht="12.75" x14ac:dyDescent="0.2">
      <c r="B48" s="110" t="s">
        <v>187</v>
      </c>
      <c r="C48" s="110"/>
      <c r="D48" s="6"/>
      <c r="F48" s="24"/>
      <c r="G48" s="71"/>
      <c r="H48" s="72"/>
    </row>
    <row r="49" spans="2:4" ht="12.75" x14ac:dyDescent="0.2">
      <c r="B49" s="111" t="s">
        <v>131</v>
      </c>
      <c r="C49" s="111"/>
      <c r="D49" s="1"/>
    </row>
    <row r="50" spans="2:4" x14ac:dyDescent="0.2">
      <c r="B50" s="1"/>
      <c r="C50" s="1"/>
      <c r="D50" s="1"/>
    </row>
    <row r="51" spans="2:4" ht="12.75" x14ac:dyDescent="0.2">
      <c r="B51" s="107" t="s">
        <v>127</v>
      </c>
      <c r="C51" s="107"/>
      <c r="D51" s="106"/>
    </row>
    <row r="52" spans="2:4" ht="12.75" x14ac:dyDescent="0.2">
      <c r="B52" s="106" t="s">
        <v>126</v>
      </c>
      <c r="C52" s="106"/>
      <c r="D52" s="106" t="s">
        <v>128</v>
      </c>
    </row>
    <row r="53" spans="2:4" ht="12.75" x14ac:dyDescent="0.2">
      <c r="B53" s="106"/>
      <c r="C53" s="106"/>
      <c r="D53" s="106"/>
    </row>
    <row r="54" spans="2:4" x14ac:dyDescent="0.2">
      <c r="B54" s="1"/>
      <c r="C54" s="1"/>
    </row>
    <row r="55" spans="2:4" x14ac:dyDescent="0.2">
      <c r="B55" s="1"/>
      <c r="C55" s="1"/>
    </row>
    <row r="56" spans="2:4" ht="12.75" x14ac:dyDescent="0.2">
      <c r="B56" s="106"/>
      <c r="C56" s="106"/>
    </row>
    <row r="57" spans="2:4" ht="12.75" x14ac:dyDescent="0.2">
      <c r="B57" s="106"/>
      <c r="C57" s="106"/>
    </row>
  </sheetData>
  <mergeCells count="16">
    <mergeCell ref="B1:D1"/>
    <mergeCell ref="C6:C7"/>
    <mergeCell ref="P27:P28"/>
    <mergeCell ref="D5:D6"/>
    <mergeCell ref="F5:F6"/>
    <mergeCell ref="H5:H6"/>
    <mergeCell ref="J5:J6"/>
    <mergeCell ref="N5:N6"/>
    <mergeCell ref="P5:P6"/>
    <mergeCell ref="D27:D28"/>
    <mergeCell ref="F27:F28"/>
    <mergeCell ref="H27:H28"/>
    <mergeCell ref="J27:J28"/>
    <mergeCell ref="N27:N28"/>
    <mergeCell ref="L27:L28"/>
    <mergeCell ref="L5:L6"/>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dimension ref="A1:F62"/>
  <sheetViews>
    <sheetView workbookViewId="0">
      <selection activeCell="A42" sqref="A42"/>
    </sheetView>
  </sheetViews>
  <sheetFormatPr defaultColWidth="10.33203125" defaultRowHeight="12" x14ac:dyDescent="0.2"/>
  <cols>
    <col min="1" max="1" width="67.33203125" style="112" bestFit="1" customWidth="1"/>
    <col min="2" max="2" width="7" style="112" customWidth="1"/>
    <col min="3" max="3" width="15.83203125" style="112" customWidth="1"/>
    <col min="4" max="4" width="15.33203125" style="112" customWidth="1"/>
    <col min="5" max="16384" width="10.33203125" style="112"/>
  </cols>
  <sheetData>
    <row r="1" spans="1:4" ht="14.25" x14ac:dyDescent="0.2">
      <c r="A1" s="181" t="s">
        <v>159</v>
      </c>
      <c r="B1" s="181"/>
      <c r="C1" s="181"/>
    </row>
    <row r="2" spans="1:4" x14ac:dyDescent="0.2">
      <c r="A2" s="113" t="s">
        <v>160</v>
      </c>
      <c r="B2" s="113"/>
    </row>
    <row r="3" spans="1:4" x14ac:dyDescent="0.2">
      <c r="A3" s="113" t="s">
        <v>194</v>
      </c>
      <c r="B3" s="190"/>
    </row>
    <row r="4" spans="1:4" ht="45" x14ac:dyDescent="0.2">
      <c r="B4" s="191"/>
      <c r="C4" s="150" t="s">
        <v>188</v>
      </c>
      <c r="D4" s="150" t="s">
        <v>193</v>
      </c>
    </row>
    <row r="5" spans="1:4" ht="54" customHeight="1" x14ac:dyDescent="0.2">
      <c r="A5" s="131" t="s">
        <v>95</v>
      </c>
      <c r="B5" s="114"/>
      <c r="C5" s="138" t="s">
        <v>129</v>
      </c>
      <c r="D5" s="138" t="s">
        <v>129</v>
      </c>
    </row>
    <row r="6" spans="1:4" ht="12.75" x14ac:dyDescent="0.2">
      <c r="A6" s="131" t="s">
        <v>72</v>
      </c>
      <c r="B6" s="114"/>
      <c r="C6" s="139">
        <v>924615</v>
      </c>
      <c r="D6" s="159">
        <v>716519</v>
      </c>
    </row>
    <row r="7" spans="1:4" ht="12.75" x14ac:dyDescent="0.2">
      <c r="A7" s="132" t="s">
        <v>96</v>
      </c>
      <c r="B7" s="115"/>
      <c r="C7" s="140"/>
      <c r="D7" s="160"/>
    </row>
    <row r="8" spans="1:4" ht="12.75" x14ac:dyDescent="0.2">
      <c r="A8" s="133" t="s">
        <v>97</v>
      </c>
      <c r="B8" s="116"/>
      <c r="C8" s="161">
        <v>11706</v>
      </c>
      <c r="D8" s="178">
        <v>6761</v>
      </c>
    </row>
    <row r="9" spans="1:4" ht="25.5" x14ac:dyDescent="0.2">
      <c r="A9" s="133" t="s">
        <v>140</v>
      </c>
      <c r="B9" s="116"/>
      <c r="C9" s="161">
        <v>0</v>
      </c>
      <c r="D9" s="178">
        <v>-2267</v>
      </c>
    </row>
    <row r="10" spans="1:4" ht="25.5" x14ac:dyDescent="0.2">
      <c r="A10" s="133" t="s">
        <v>195</v>
      </c>
      <c r="B10" s="116"/>
      <c r="C10" s="161">
        <v>186354</v>
      </c>
      <c r="D10" s="178"/>
    </row>
    <row r="11" spans="1:4" ht="38.25" x14ac:dyDescent="0.2">
      <c r="A11" s="133" t="s">
        <v>162</v>
      </c>
      <c r="B11" s="116"/>
      <c r="C11" s="161">
        <v>-17553</v>
      </c>
      <c r="D11" s="178">
        <v>-5069</v>
      </c>
    </row>
    <row r="12" spans="1:4" ht="38.25" x14ac:dyDescent="0.2">
      <c r="A12" s="133" t="s">
        <v>183</v>
      </c>
      <c r="B12" s="116"/>
      <c r="C12" s="161">
        <v>5032</v>
      </c>
      <c r="D12" s="178" t="s">
        <v>180</v>
      </c>
    </row>
    <row r="13" spans="1:4" ht="25.5" x14ac:dyDescent="0.2">
      <c r="A13" s="133" t="s">
        <v>139</v>
      </c>
      <c r="B13" s="116"/>
      <c r="C13" s="161">
        <f>-184387+25145</f>
        <v>-159242</v>
      </c>
      <c r="D13" s="178">
        <v>-114236</v>
      </c>
    </row>
    <row r="14" spans="1:4" ht="25.5" x14ac:dyDescent="0.2">
      <c r="A14" s="133" t="s">
        <v>179</v>
      </c>
      <c r="B14" s="116"/>
      <c r="C14" s="161">
        <v>-25145</v>
      </c>
      <c r="D14" s="178" t="s">
        <v>180</v>
      </c>
    </row>
    <row r="15" spans="1:4" ht="12.75" x14ac:dyDescent="0.2">
      <c r="A15" s="133" t="s">
        <v>178</v>
      </c>
      <c r="B15" s="116"/>
      <c r="C15" s="161">
        <v>104191</v>
      </c>
      <c r="D15" s="178">
        <v>-412391</v>
      </c>
    </row>
    <row r="16" spans="1:4" ht="25.5" x14ac:dyDescent="0.2">
      <c r="A16" s="133" t="s">
        <v>181</v>
      </c>
      <c r="B16" s="116"/>
      <c r="C16" s="161">
        <v>-400344</v>
      </c>
      <c r="D16" s="178" t="s">
        <v>180</v>
      </c>
    </row>
    <row r="17" spans="1:4" ht="25.5" x14ac:dyDescent="0.2">
      <c r="A17" s="133" t="s">
        <v>196</v>
      </c>
      <c r="B17" s="116"/>
      <c r="C17" s="161">
        <f>7661-347</f>
        <v>7314</v>
      </c>
      <c r="D17" s="178"/>
    </row>
    <row r="18" spans="1:4" ht="25.5" x14ac:dyDescent="0.2">
      <c r="A18" s="133" t="s">
        <v>182</v>
      </c>
      <c r="B18" s="116"/>
      <c r="C18" s="161">
        <v>347</v>
      </c>
      <c r="D18" s="178"/>
    </row>
    <row r="19" spans="1:4" ht="12.75" x14ac:dyDescent="0.2">
      <c r="A19" s="133" t="s">
        <v>141</v>
      </c>
      <c r="B19" s="116"/>
      <c r="C19" s="161">
        <v>0</v>
      </c>
      <c r="D19" s="178">
        <v>-52515</v>
      </c>
    </row>
    <row r="20" spans="1:4" ht="12.75" x14ac:dyDescent="0.2">
      <c r="A20" s="133" t="s">
        <v>142</v>
      </c>
      <c r="B20" s="116"/>
      <c r="C20" s="161">
        <v>0</v>
      </c>
      <c r="D20" s="161">
        <v>0</v>
      </c>
    </row>
    <row r="21" spans="1:4" ht="12.75" x14ac:dyDescent="0.2">
      <c r="A21" s="133" t="s">
        <v>143</v>
      </c>
      <c r="B21" s="116"/>
      <c r="C21" s="161">
        <v>0</v>
      </c>
      <c r="D21" s="161">
        <v>0</v>
      </c>
    </row>
    <row r="22" spans="1:4" ht="25.5" x14ac:dyDescent="0.2">
      <c r="A22" s="135" t="s">
        <v>144</v>
      </c>
      <c r="B22" s="118"/>
      <c r="C22" s="162">
        <f>SUM(C6:C21)</f>
        <v>637275</v>
      </c>
      <c r="D22" s="162">
        <f>SUM(D6:D21)</f>
        <v>136802</v>
      </c>
    </row>
    <row r="23" spans="1:4" ht="7.15" customHeight="1" x14ac:dyDescent="0.2">
      <c r="A23" s="136"/>
      <c r="B23" s="119"/>
      <c r="C23" s="164"/>
      <c r="D23" s="163"/>
    </row>
    <row r="24" spans="1:4" ht="12.75" x14ac:dyDescent="0.2">
      <c r="A24" s="135" t="s">
        <v>101</v>
      </c>
      <c r="B24" s="118"/>
      <c r="C24" s="164"/>
      <c r="D24" s="163"/>
    </row>
    <row r="25" spans="1:4" ht="12.75" x14ac:dyDescent="0.2">
      <c r="A25" s="133" t="s">
        <v>34</v>
      </c>
      <c r="B25" s="116"/>
      <c r="C25" s="164">
        <v>-310056</v>
      </c>
      <c r="D25" s="164">
        <v>-306611</v>
      </c>
    </row>
    <row r="26" spans="1:4" ht="12.75" x14ac:dyDescent="0.2">
      <c r="A26" s="133" t="s">
        <v>35</v>
      </c>
      <c r="B26" s="116"/>
      <c r="C26" s="164">
        <v>-579325</v>
      </c>
      <c r="D26" s="164">
        <v>-674048</v>
      </c>
    </row>
    <row r="27" spans="1:4" ht="12.75" x14ac:dyDescent="0.2">
      <c r="A27" s="133" t="s">
        <v>36</v>
      </c>
      <c r="B27" s="116"/>
      <c r="C27" s="164">
        <v>-76507</v>
      </c>
      <c r="D27" s="164">
        <v>-143591</v>
      </c>
    </row>
    <row r="28" spans="1:4" ht="12.75" x14ac:dyDescent="0.2">
      <c r="A28" s="133" t="s">
        <v>40</v>
      </c>
      <c r="B28" s="116"/>
      <c r="C28" s="164">
        <v>-38444</v>
      </c>
      <c r="D28" s="164">
        <v>1272</v>
      </c>
    </row>
    <row r="29" spans="1:4" ht="12.75" x14ac:dyDescent="0.2">
      <c r="A29" s="135" t="s">
        <v>102</v>
      </c>
      <c r="B29" s="118"/>
      <c r="C29" s="164"/>
      <c r="D29" s="163"/>
    </row>
    <row r="30" spans="1:4" ht="12.75" x14ac:dyDescent="0.2">
      <c r="A30" s="133" t="s">
        <v>44</v>
      </c>
      <c r="B30" s="116"/>
      <c r="C30" s="164">
        <v>6321300</v>
      </c>
      <c r="D30" s="163">
        <v>2489402</v>
      </c>
    </row>
    <row r="31" spans="1:4" ht="12.75" x14ac:dyDescent="0.2">
      <c r="A31" s="133" t="s">
        <v>45</v>
      </c>
      <c r="B31" s="116"/>
      <c r="C31" s="164">
        <v>1000258</v>
      </c>
      <c r="D31" s="163">
        <v>726206</v>
      </c>
    </row>
    <row r="32" spans="1:4" ht="12.75" x14ac:dyDescent="0.2">
      <c r="A32" s="133" t="s">
        <v>46</v>
      </c>
      <c r="B32" s="116"/>
      <c r="C32" s="164">
        <v>-27373</v>
      </c>
      <c r="D32" s="163">
        <v>-17991</v>
      </c>
    </row>
    <row r="33" spans="1:4" ht="38.25" x14ac:dyDescent="0.2">
      <c r="A33" s="135" t="s">
        <v>145</v>
      </c>
      <c r="B33" s="118"/>
      <c r="C33" s="162">
        <f>SUM(C22:C32)</f>
        <v>6927128</v>
      </c>
      <c r="D33" s="162">
        <f>SUM(D22:D32)</f>
        <v>2211441</v>
      </c>
    </row>
    <row r="34" spans="1:4" ht="12.75" x14ac:dyDescent="0.2">
      <c r="A34" s="133" t="s">
        <v>104</v>
      </c>
      <c r="B34" s="116"/>
      <c r="C34" s="164">
        <v>558995</v>
      </c>
      <c r="D34" s="163">
        <v>144476</v>
      </c>
    </row>
    <row r="35" spans="1:4" ht="12.75" x14ac:dyDescent="0.2">
      <c r="A35" s="133" t="s">
        <v>105</v>
      </c>
      <c r="B35" s="116"/>
      <c r="C35" s="164">
        <v>-150377</v>
      </c>
      <c r="D35" s="163">
        <v>-40895</v>
      </c>
    </row>
    <row r="36" spans="1:4" ht="12.75" x14ac:dyDescent="0.2">
      <c r="A36" s="131" t="s">
        <v>146</v>
      </c>
      <c r="B36" s="114"/>
      <c r="C36" s="162">
        <f>SUM(C33:C35)</f>
        <v>7335746</v>
      </c>
      <c r="D36" s="162">
        <f>SUM(D33:D35)</f>
        <v>2315022</v>
      </c>
    </row>
    <row r="37" spans="1:4" ht="7.15" customHeight="1" x14ac:dyDescent="0.2">
      <c r="A37" s="136"/>
      <c r="B37" s="119"/>
      <c r="C37" s="164"/>
      <c r="D37" s="163"/>
    </row>
    <row r="38" spans="1:4" ht="26.25" customHeight="1" x14ac:dyDescent="0.2">
      <c r="A38" s="135" t="s">
        <v>107</v>
      </c>
      <c r="B38" s="118"/>
      <c r="C38" s="164"/>
      <c r="D38" s="163"/>
    </row>
    <row r="39" spans="1:4" ht="12.75" x14ac:dyDescent="0.2">
      <c r="A39" s="134" t="s">
        <v>108</v>
      </c>
      <c r="B39" s="117"/>
      <c r="C39" s="164">
        <v>-44173</v>
      </c>
      <c r="D39" s="163">
        <v>-3209</v>
      </c>
    </row>
    <row r="40" spans="1:4" ht="25.5" x14ac:dyDescent="0.2">
      <c r="A40" s="134" t="s">
        <v>110</v>
      </c>
      <c r="B40" s="117"/>
      <c r="C40" s="164">
        <f>-551627+97279</f>
        <v>-454348</v>
      </c>
      <c r="D40" s="163">
        <v>-1765361</v>
      </c>
    </row>
    <row r="41" spans="1:4" ht="38.25" x14ac:dyDescent="0.2">
      <c r="A41" s="134" t="s">
        <v>135</v>
      </c>
      <c r="B41" s="117"/>
      <c r="C41" s="163">
        <v>0</v>
      </c>
      <c r="D41" s="163">
        <v>0</v>
      </c>
    </row>
    <row r="42" spans="1:4" ht="25.5" x14ac:dyDescent="0.2">
      <c r="A42" s="134" t="s">
        <v>197</v>
      </c>
      <c r="B42" s="117"/>
      <c r="C42" s="163">
        <v>-97279</v>
      </c>
      <c r="D42" s="163"/>
    </row>
    <row r="43" spans="1:4" ht="12.75" x14ac:dyDescent="0.2">
      <c r="A43" s="133" t="s">
        <v>147</v>
      </c>
      <c r="B43" s="116"/>
      <c r="C43" s="163">
        <v>0</v>
      </c>
      <c r="D43" s="163">
        <v>0</v>
      </c>
    </row>
    <row r="44" spans="1:4" ht="25.5" x14ac:dyDescent="0.2">
      <c r="A44" s="133" t="s">
        <v>111</v>
      </c>
      <c r="B44" s="116"/>
      <c r="C44" s="164">
        <v>59541</v>
      </c>
      <c r="D44" s="163">
        <v>438295</v>
      </c>
    </row>
    <row r="45" spans="1:4" ht="38.25" x14ac:dyDescent="0.2">
      <c r="A45" s="133" t="s">
        <v>163</v>
      </c>
      <c r="B45" s="116"/>
      <c r="C45" s="141">
        <v>0</v>
      </c>
      <c r="D45" s="163">
        <v>-895</v>
      </c>
    </row>
    <row r="46" spans="1:4" ht="25.5" x14ac:dyDescent="0.2">
      <c r="A46" s="135" t="s">
        <v>115</v>
      </c>
      <c r="B46" s="118"/>
      <c r="C46" s="142">
        <f>SUM(C39:C45)</f>
        <v>-536259</v>
      </c>
      <c r="D46" s="162">
        <f>SUM(D39:D45)</f>
        <v>-1331170</v>
      </c>
    </row>
    <row r="47" spans="1:4" ht="6" customHeight="1" x14ac:dyDescent="0.2">
      <c r="A47" s="136"/>
      <c r="B47" s="119"/>
      <c r="C47" s="141"/>
      <c r="D47" s="163"/>
    </row>
    <row r="48" spans="1:4" ht="12.75" x14ac:dyDescent="0.2">
      <c r="A48" s="135" t="s">
        <v>116</v>
      </c>
      <c r="B48" s="118"/>
      <c r="C48" s="141"/>
      <c r="D48" s="163"/>
    </row>
    <row r="49" spans="1:6" ht="12.75" x14ac:dyDescent="0.2">
      <c r="A49" s="134" t="s">
        <v>92</v>
      </c>
      <c r="B49" s="120"/>
      <c r="C49" s="141">
        <v>0</v>
      </c>
      <c r="D49" s="163">
        <v>0</v>
      </c>
    </row>
    <row r="50" spans="1:6" ht="12.75" x14ac:dyDescent="0.2">
      <c r="A50" s="134" t="s">
        <v>184</v>
      </c>
      <c r="B50" s="117"/>
      <c r="C50" s="141">
        <v>-35489</v>
      </c>
      <c r="D50" s="163">
        <v>0</v>
      </c>
    </row>
    <row r="51" spans="1:6" ht="12.75" x14ac:dyDescent="0.2">
      <c r="A51" s="135" t="s">
        <v>118</v>
      </c>
      <c r="B51" s="118"/>
      <c r="C51" s="142">
        <f>SUM(C49:C50)</f>
        <v>-35489</v>
      </c>
      <c r="D51" s="162">
        <f>SUM(D49:D50)</f>
        <v>0</v>
      </c>
    </row>
    <row r="52" spans="1:6" ht="7.15" customHeight="1" x14ac:dyDescent="0.2">
      <c r="A52" s="136"/>
      <c r="B52" s="119"/>
      <c r="C52" s="141"/>
      <c r="D52" s="163"/>
    </row>
    <row r="53" spans="1:6" ht="25.5" x14ac:dyDescent="0.2">
      <c r="A53" s="131" t="s">
        <v>148</v>
      </c>
      <c r="B53" s="114"/>
      <c r="C53" s="142">
        <f>SUM(C36,C46,C51)</f>
        <v>6763998</v>
      </c>
      <c r="D53" s="162">
        <f>SUM(D36,D46,D51)</f>
        <v>983852</v>
      </c>
    </row>
    <row r="54" spans="1:6" ht="25.5" x14ac:dyDescent="0.2">
      <c r="A54" s="133" t="s">
        <v>120</v>
      </c>
      <c r="B54" s="116"/>
      <c r="C54" s="141">
        <v>-17285</v>
      </c>
      <c r="D54" s="163">
        <v>28822</v>
      </c>
    </row>
    <row r="55" spans="1:6" ht="12" customHeight="1" x14ac:dyDescent="0.2">
      <c r="A55" s="133" t="s">
        <v>121</v>
      </c>
      <c r="B55" s="116"/>
      <c r="C55" s="141">
        <v>3549654</v>
      </c>
      <c r="D55" s="163">
        <v>387911</v>
      </c>
    </row>
    <row r="56" spans="1:6" ht="31.5" customHeight="1" x14ac:dyDescent="0.2">
      <c r="A56" s="144" t="s">
        <v>136</v>
      </c>
      <c r="B56" s="121"/>
      <c r="C56" s="143">
        <f>C55+C53+C54</f>
        <v>10296367</v>
      </c>
      <c r="D56" s="165">
        <f>D55+D53+D54</f>
        <v>1400585</v>
      </c>
      <c r="E56" s="151"/>
      <c r="F56" s="151"/>
    </row>
    <row r="57" spans="1:6" ht="9.75" customHeight="1" x14ac:dyDescent="0.2">
      <c r="A57" s="137"/>
    </row>
    <row r="58" spans="1:6" ht="12.75" x14ac:dyDescent="0.2">
      <c r="A58" s="110" t="s">
        <v>187</v>
      </c>
      <c r="B58" s="122"/>
      <c r="C58" s="123"/>
    </row>
    <row r="59" spans="1:6" ht="11.25" customHeight="1" x14ac:dyDescent="0.2">
      <c r="A59" s="111" t="s">
        <v>131</v>
      </c>
      <c r="B59" s="124"/>
      <c r="C59" s="125"/>
    </row>
    <row r="60" spans="1:6" ht="6" customHeight="1" x14ac:dyDescent="0.2">
      <c r="A60" s="130"/>
      <c r="B60" s="125"/>
      <c r="C60" s="125"/>
    </row>
    <row r="61" spans="1:6" ht="12.75" x14ac:dyDescent="0.2">
      <c r="A61" s="107" t="s">
        <v>127</v>
      </c>
      <c r="B61" s="126"/>
      <c r="C61" s="127"/>
    </row>
    <row r="62" spans="1:6" ht="12.75" x14ac:dyDescent="0.2">
      <c r="A62" s="106" t="s">
        <v>126</v>
      </c>
      <c r="B62" s="127"/>
      <c r="C62" s="127" t="s">
        <v>128</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3" t="s">
        <v>3</v>
      </c>
      <c r="C5" s="34"/>
      <c r="D5" s="95" t="s">
        <v>32</v>
      </c>
      <c r="E5" s="96" t="s">
        <v>33</v>
      </c>
      <c r="F5" s="96" t="s">
        <v>34</v>
      </c>
      <c r="G5" s="96" t="s">
        <v>35</v>
      </c>
      <c r="H5" s="96" t="s">
        <v>36</v>
      </c>
      <c r="I5" s="95" t="s">
        <v>37</v>
      </c>
      <c r="J5" s="95" t="s">
        <v>39</v>
      </c>
      <c r="K5" s="96" t="s">
        <v>38</v>
      </c>
      <c r="L5" s="96" t="s">
        <v>40</v>
      </c>
      <c r="M5" s="96" t="s">
        <v>44</v>
      </c>
      <c r="N5" s="96" t="s">
        <v>45</v>
      </c>
      <c r="O5" s="97" t="s">
        <v>0</v>
      </c>
      <c r="P5" s="97" t="s">
        <v>1</v>
      </c>
      <c r="Q5" s="95" t="s">
        <v>46</v>
      </c>
      <c r="R5" s="95" t="s">
        <v>49</v>
      </c>
      <c r="S5" s="95" t="s">
        <v>50</v>
      </c>
      <c r="T5" s="96" t="s">
        <v>51</v>
      </c>
      <c r="U5" s="96" t="s">
        <v>52</v>
      </c>
      <c r="V5" s="96" t="s">
        <v>53</v>
      </c>
      <c r="W5" s="35" t="s">
        <v>2</v>
      </c>
    </row>
    <row r="6" spans="2:23" x14ac:dyDescent="0.2">
      <c r="C6" s="36">
        <v>43921</v>
      </c>
      <c r="D6" s="24">
        <f>VLOOKUP(D5,BS!$B$7:$D$37,3,0)</f>
        <v>10296367</v>
      </c>
      <c r="E6" s="24">
        <f>VLOOKUP(E5,BS!$B$7:$D$37,3,0)</f>
        <v>5404682</v>
      </c>
      <c r="F6" s="24">
        <f>VLOOKUP(F5,BS!$B$7:$D$37,3,0)</f>
        <v>584339</v>
      </c>
      <c r="G6" s="24">
        <f>VLOOKUP(G5,BS!$B$7:$D$37,3,0)</f>
        <v>815628</v>
      </c>
      <c r="H6" s="24">
        <f>VLOOKUP(H5,BS!$B$7:$D$37,3,0)</f>
        <v>1010695</v>
      </c>
      <c r="I6" s="24">
        <f>BS!D14</f>
        <v>71558</v>
      </c>
      <c r="J6" s="24">
        <f>VLOOKUP(J5,BS!$B$7:$D$37,3,0)</f>
        <v>0</v>
      </c>
      <c r="K6" s="24">
        <f>VLOOKUP(K5,BS!$B$7:$D$37,3,0)</f>
        <v>159999</v>
      </c>
      <c r="L6" s="24">
        <f>VLOOKUP(L5,BS!$B$7:$D$37,3,0)</f>
        <v>72086</v>
      </c>
      <c r="M6" s="24">
        <f>(VLOOKUP(M5,BS!$B$7:$D$37,3,0)) * -1</f>
        <v>-12326478</v>
      </c>
      <c r="N6" s="24">
        <f>(VLOOKUP(N5,BS!$B$7:$D$37,3,0)) * -1</f>
        <v>-1491521</v>
      </c>
      <c r="O6" s="24">
        <v>0</v>
      </c>
      <c r="P6" s="24">
        <v>0</v>
      </c>
      <c r="Q6" s="24">
        <f>(VLOOKUP(Q5,BS!$B$7:$D$37,3,0)) * -1</f>
        <v>-34895</v>
      </c>
      <c r="R6" s="24">
        <f>(VLOOKUP(R5,BS!$B$7:$D$37,3,0)) * -1</f>
        <v>-2315000</v>
      </c>
      <c r="S6" s="24">
        <f>(VLOOKUP(S5,BS!$B$7:$D$37,3,0)) * -1</f>
        <v>-630011</v>
      </c>
      <c r="T6" s="24">
        <f>(VLOOKUP(T5,BS!$B$7:$D$37,3,0)) * -1</f>
        <v>821515</v>
      </c>
      <c r="U6" s="24" t="e">
        <f>(VLOOKUP(U5,BS!$B$7:$D$37,3,0)) * -1</f>
        <v>#N/A</v>
      </c>
      <c r="V6" s="24">
        <f>(VLOOKUP(V5,BS!$B$7:$D$37,3,0)) * -1</f>
        <v>-2948462</v>
      </c>
      <c r="W6" s="27" t="e">
        <f>SUM(D6:V6)</f>
        <v>#N/A</v>
      </c>
    </row>
    <row r="7" spans="2:23" x14ac:dyDescent="0.2">
      <c r="C7" s="36">
        <v>43830</v>
      </c>
      <c r="D7" s="24">
        <f>VLOOKUP(D5,BS!$B$7:$F$37,5,0)</f>
        <v>3549654</v>
      </c>
      <c r="E7" s="24">
        <f>VLOOKUP(E5,BS!$B$7:$F$37,5,0)</f>
        <v>5628287</v>
      </c>
      <c r="F7" s="24">
        <f>VLOOKUP(F5,BS!$B$7:$F$37,5,0)</f>
        <v>279972</v>
      </c>
      <c r="G7" s="24">
        <f>VLOOKUP(G5,BS!$B$7:$F$37,5,0)</f>
        <v>236303</v>
      </c>
      <c r="H7" s="24">
        <f>VLOOKUP(H5,BS!$B$7:$F$37,5,0)</f>
        <v>934188</v>
      </c>
      <c r="I7" s="24">
        <f>VLOOKUP(I5,BS!$B$7:$F$37,5,0)</f>
        <v>39091</v>
      </c>
      <c r="J7" s="24">
        <f>VLOOKUP(J5,BS!$B$7:$F$37,5,0)</f>
        <v>0</v>
      </c>
      <c r="K7" s="24">
        <f>VLOOKUP(K5,BS!$B$7:$F$37,5,0)</f>
        <v>1621</v>
      </c>
      <c r="L7" s="24">
        <f>VLOOKUP(L5,BS!$B$7:$F$37,5,0)</f>
        <v>42095</v>
      </c>
      <c r="M7" s="24">
        <f>(VLOOKUP(M5,BS!$B$7:$F$37,5,0)) * -1</f>
        <v>-6005178</v>
      </c>
      <c r="N7" s="24">
        <f>(VLOOKUP(N5,BS!$B$7:$F$37,5,0)) * -1</f>
        <v>-531735</v>
      </c>
      <c r="O7" s="24">
        <v>0</v>
      </c>
      <c r="P7" s="24">
        <v>0</v>
      </c>
      <c r="Q7" s="24">
        <f>(VLOOKUP(Q5,BS!$B$7:$F$37,5,0)) * -1</f>
        <v>-63343</v>
      </c>
      <c r="R7" s="24">
        <f>(VLOOKUP(R5,BS!$B$7:$F$37,5,0)) * -1</f>
        <v>-2315000</v>
      </c>
      <c r="S7" s="24">
        <f>(VLOOKUP(S5,BS!$B$7:$F$37,5,0)) * -1</f>
        <v>-630011</v>
      </c>
      <c r="T7" s="24">
        <f>(VLOOKUP(T5,BS!$B$7:$F$37,5,0)) * -1</f>
        <v>962044</v>
      </c>
      <c r="U7" s="24" t="e">
        <f>(VLOOKUP(U5,BS!$B$7:$F$37,5,0)) * -1</f>
        <v>#N/A</v>
      </c>
      <c r="V7" s="24">
        <f>(VLOOKUP(V5,BS!$B$7:$F$37,5,0)) * -1</f>
        <v>-2302040</v>
      </c>
      <c r="W7" s="27" t="e">
        <f>SUM(D7:V7)</f>
        <v>#N/A</v>
      </c>
    </row>
    <row r="8" spans="2:23" x14ac:dyDescent="0.2">
      <c r="B8" s="37"/>
      <c r="C8" s="38" t="s">
        <v>4</v>
      </c>
      <c r="D8" s="23">
        <f>D6-D7</f>
        <v>6746713</v>
      </c>
      <c r="E8" s="23">
        <f t="shared" ref="E8:V8" si="0">E6-E7</f>
        <v>-223605</v>
      </c>
      <c r="F8" s="23">
        <f t="shared" si="0"/>
        <v>304367</v>
      </c>
      <c r="G8" s="23">
        <f t="shared" si="0"/>
        <v>579325</v>
      </c>
      <c r="H8" s="23">
        <f t="shared" si="0"/>
        <v>76507</v>
      </c>
      <c r="I8" s="23">
        <f t="shared" si="0"/>
        <v>32467</v>
      </c>
      <c r="J8" s="23">
        <f t="shared" si="0"/>
        <v>0</v>
      </c>
      <c r="K8" s="23">
        <f t="shared" si="0"/>
        <v>158378</v>
      </c>
      <c r="L8" s="23">
        <f t="shared" si="0"/>
        <v>29991</v>
      </c>
      <c r="M8" s="23">
        <f t="shared" si="0"/>
        <v>-6321300</v>
      </c>
      <c r="N8" s="23">
        <f t="shared" si="0"/>
        <v>-959786</v>
      </c>
      <c r="O8" s="23">
        <f t="shared" si="0"/>
        <v>0</v>
      </c>
      <c r="P8" s="23">
        <f t="shared" si="0"/>
        <v>0</v>
      </c>
      <c r="Q8" s="23">
        <f t="shared" si="0"/>
        <v>28448</v>
      </c>
      <c r="R8" s="23">
        <f t="shared" si="0"/>
        <v>0</v>
      </c>
      <c r="S8" s="23">
        <f t="shared" si="0"/>
        <v>0</v>
      </c>
      <c r="T8" s="23">
        <f t="shared" si="0"/>
        <v>-140529</v>
      </c>
      <c r="U8" s="23" t="e">
        <f t="shared" si="0"/>
        <v>#N/A</v>
      </c>
      <c r="V8" s="23">
        <f t="shared" si="0"/>
        <v>-646422</v>
      </c>
    </row>
    <row r="9" spans="2:23" x14ac:dyDescent="0.2">
      <c r="B9" s="39" t="s">
        <v>2</v>
      </c>
      <c r="D9" s="27"/>
      <c r="E9" s="27">
        <f t="shared" ref="E9:P9" si="1">SUM(E12:E49)+E8</f>
        <v>0</v>
      </c>
      <c r="F9" s="27">
        <f t="shared" si="1"/>
        <v>0</v>
      </c>
      <c r="G9" s="27">
        <f t="shared" si="1"/>
        <v>0</v>
      </c>
      <c r="H9" s="27">
        <f t="shared" si="1"/>
        <v>0</v>
      </c>
      <c r="I9" s="27">
        <f t="shared" si="1"/>
        <v>16239</v>
      </c>
      <c r="J9" s="27">
        <f t="shared" si="1"/>
        <v>0</v>
      </c>
      <c r="K9" s="27">
        <f t="shared" si="1"/>
        <v>0</v>
      </c>
      <c r="L9" s="27">
        <f t="shared" si="1"/>
        <v>0</v>
      </c>
      <c r="M9" s="27">
        <f t="shared" si="1"/>
        <v>0</v>
      </c>
      <c r="N9" s="27">
        <f t="shared" si="1"/>
        <v>0</v>
      </c>
      <c r="O9" s="27">
        <f t="shared" si="1"/>
        <v>0</v>
      </c>
      <c r="P9" s="27">
        <f t="shared" si="1"/>
        <v>0</v>
      </c>
      <c r="Q9" s="27">
        <f t="shared" ref="Q9:V9" si="2">SUM(Q12:Q49)+Q8</f>
        <v>0</v>
      </c>
      <c r="R9" s="27">
        <f t="shared" si="2"/>
        <v>0</v>
      </c>
      <c r="S9" s="27">
        <f t="shared" si="2"/>
        <v>0</v>
      </c>
      <c r="T9" s="27">
        <f t="shared" si="2"/>
        <v>0</v>
      </c>
      <c r="U9" s="27" t="e">
        <f t="shared" si="2"/>
        <v>#N/A</v>
      </c>
      <c r="V9" s="27">
        <f t="shared" si="2"/>
        <v>278193</v>
      </c>
    </row>
    <row r="11" spans="2:23" ht="12.75" x14ac:dyDescent="0.2">
      <c r="B11" s="98" t="s">
        <v>95</v>
      </c>
    </row>
    <row r="12" spans="2:23" ht="12.75" x14ac:dyDescent="0.2">
      <c r="B12" s="98" t="s">
        <v>72</v>
      </c>
      <c r="C12" s="24">
        <f>ROUND(SUM(D12:V12),0)</f>
        <v>924615</v>
      </c>
      <c r="V12" s="24">
        <f>IS!D24</f>
        <v>924615</v>
      </c>
    </row>
    <row r="13" spans="2:23" ht="12.75" x14ac:dyDescent="0.2">
      <c r="B13" s="99" t="s">
        <v>96</v>
      </c>
    </row>
    <row r="14" spans="2:23" ht="12.75" x14ac:dyDescent="0.2">
      <c r="B14" s="100" t="s">
        <v>97</v>
      </c>
      <c r="C14" s="24">
        <f t="shared" ref="C14:C19" si="3">ROUND(SUM(D14:V14),0)</f>
        <v>2248</v>
      </c>
      <c r="E14" s="24"/>
      <c r="I14" s="24">
        <v>2248</v>
      </c>
    </row>
    <row r="15" spans="2:23" ht="12.75" x14ac:dyDescent="0.2">
      <c r="B15" s="101" t="s">
        <v>98</v>
      </c>
      <c r="C15" s="24">
        <f t="shared" si="3"/>
        <v>-62217</v>
      </c>
      <c r="D15" s="24">
        <v>-12302</v>
      </c>
      <c r="E15" s="24">
        <v>-49915</v>
      </c>
    </row>
    <row r="16" spans="2:23" ht="12.75" x14ac:dyDescent="0.2">
      <c r="B16" s="101" t="s">
        <v>62</v>
      </c>
      <c r="C16" s="24">
        <f t="shared" si="3"/>
        <v>-454069</v>
      </c>
      <c r="D16" s="24">
        <v>0</v>
      </c>
      <c r="E16" s="24">
        <v>-454069</v>
      </c>
    </row>
    <row r="17" spans="2:22" ht="12.75" x14ac:dyDescent="0.2">
      <c r="B17" s="103" t="s">
        <v>52</v>
      </c>
      <c r="C17" s="24" t="e">
        <f t="shared" si="3"/>
        <v>#N/A</v>
      </c>
      <c r="E17" s="24"/>
      <c r="U17" s="24" t="e">
        <f>-U8</f>
        <v>#N/A</v>
      </c>
      <c r="V17" s="24">
        <f>E87</f>
        <v>0</v>
      </c>
    </row>
    <row r="18" spans="2:22" ht="12.75" x14ac:dyDescent="0.2">
      <c r="B18" s="103" t="s">
        <v>5</v>
      </c>
      <c r="C18" s="24">
        <f t="shared" si="3"/>
        <v>0</v>
      </c>
      <c r="E18" s="24"/>
    </row>
    <row r="19" spans="2:22" ht="25.5" x14ac:dyDescent="0.2">
      <c r="B19" s="103" t="s">
        <v>99</v>
      </c>
      <c r="C19" s="24">
        <f t="shared" si="3"/>
        <v>0</v>
      </c>
      <c r="E19" s="24"/>
    </row>
    <row r="20" spans="2:22" s="22" customFormat="1" ht="25.5" x14ac:dyDescent="0.2">
      <c r="B20" s="102" t="s">
        <v>100</v>
      </c>
      <c r="C20" s="28" t="e">
        <f>SUM(C12:C19)</f>
        <v>#N/A</v>
      </c>
      <c r="E20" s="28"/>
    </row>
    <row r="21" spans="2:22" x14ac:dyDescent="0.2">
      <c r="B21" s="29"/>
      <c r="E21" s="24"/>
    </row>
    <row r="22" spans="2:22" s="22" customFormat="1" ht="25.5" x14ac:dyDescent="0.2">
      <c r="B22" s="102" t="s">
        <v>101</v>
      </c>
      <c r="E22" s="28"/>
    </row>
    <row r="23" spans="2:22" ht="25.5" x14ac:dyDescent="0.2">
      <c r="B23" s="104" t="s">
        <v>34</v>
      </c>
      <c r="C23" s="24">
        <f t="shared" ref="C23:C26" si="4">ROUND(SUM(D23:V23),0)</f>
        <v>-304367</v>
      </c>
      <c r="E23" s="24"/>
      <c r="F23" s="24">
        <f>-F8-F19</f>
        <v>-304367</v>
      </c>
    </row>
    <row r="24" spans="2:22" ht="25.5" x14ac:dyDescent="0.2">
      <c r="B24" s="104" t="s">
        <v>35</v>
      </c>
      <c r="C24" s="24">
        <f t="shared" si="4"/>
        <v>-579325</v>
      </c>
      <c r="E24" s="24"/>
      <c r="G24" s="24">
        <f>-G8</f>
        <v>-579325</v>
      </c>
    </row>
    <row r="25" spans="2:22" ht="25.5" x14ac:dyDescent="0.2">
      <c r="B25" s="104" t="s">
        <v>36</v>
      </c>
      <c r="C25" s="24">
        <f t="shared" si="4"/>
        <v>-76507</v>
      </c>
      <c r="E25" s="24"/>
      <c r="H25" s="24">
        <f>-H8</f>
        <v>-76507</v>
      </c>
    </row>
    <row r="26" spans="2:22" ht="12.75" x14ac:dyDescent="0.2">
      <c r="B26" s="104" t="s">
        <v>40</v>
      </c>
      <c r="C26" s="24">
        <f t="shared" si="4"/>
        <v>-29991</v>
      </c>
      <c r="E26" s="24"/>
      <c r="L26" s="24">
        <f>-L8</f>
        <v>-29991</v>
      </c>
    </row>
    <row r="27" spans="2:22" s="22" customFormat="1" ht="25.5" x14ac:dyDescent="0.2">
      <c r="B27" s="102" t="s">
        <v>102</v>
      </c>
      <c r="E27" s="28"/>
    </row>
    <row r="28" spans="2:22" ht="12.75" x14ac:dyDescent="0.2">
      <c r="B28" s="104" t="s">
        <v>44</v>
      </c>
      <c r="C28" s="24">
        <f t="shared" ref="C28:C33" si="5">ROUND(SUM(D28:V28),0)</f>
        <v>6321300</v>
      </c>
      <c r="E28" s="24"/>
      <c r="M28" s="24">
        <f>-M8</f>
        <v>6321300</v>
      </c>
    </row>
    <row r="29" spans="2:22" ht="25.5" x14ac:dyDescent="0.2">
      <c r="B29" s="104" t="s">
        <v>45</v>
      </c>
      <c r="C29" s="24">
        <f t="shared" si="5"/>
        <v>959786</v>
      </c>
      <c r="E29" s="24"/>
      <c r="N29" s="24">
        <f>-N8-N19</f>
        <v>959786</v>
      </c>
    </row>
    <row r="30" spans="2:22" ht="12.75" x14ac:dyDescent="0.2">
      <c r="B30" s="100" t="s">
        <v>46</v>
      </c>
      <c r="C30" s="24">
        <f t="shared" si="5"/>
        <v>-28448</v>
      </c>
      <c r="E30" s="24"/>
      <c r="Q30" s="24">
        <f>-Q8</f>
        <v>-28448</v>
      </c>
    </row>
    <row r="31" spans="2:22" s="22" customFormat="1" ht="51" x14ac:dyDescent="0.2">
      <c r="B31" s="102" t="s">
        <v>103</v>
      </c>
      <c r="C31" s="28" t="e">
        <f>SUM(C20:C30)</f>
        <v>#N/A</v>
      </c>
      <c r="E31" s="28"/>
    </row>
    <row r="32" spans="2:22" ht="12.75" x14ac:dyDescent="0.2">
      <c r="B32" s="100" t="s">
        <v>104</v>
      </c>
      <c r="C32" s="24">
        <f t="shared" si="5"/>
        <v>28537</v>
      </c>
      <c r="E32" s="24">
        <f>D74-F72-K73</f>
        <v>28537.345769999993</v>
      </c>
    </row>
    <row r="33" spans="2:22" ht="12.75" x14ac:dyDescent="0.2">
      <c r="B33" s="100" t="s">
        <v>105</v>
      </c>
      <c r="C33" s="24">
        <f t="shared" si="5"/>
        <v>-158378</v>
      </c>
      <c r="E33" s="24"/>
      <c r="J33" s="24">
        <f>-J8</f>
        <v>0</v>
      </c>
      <c r="K33" s="24">
        <f>-K8</f>
        <v>-158378</v>
      </c>
      <c r="V33" s="24">
        <f>IS!D25</f>
        <v>0</v>
      </c>
    </row>
    <row r="34" spans="2:22" s="22" customFormat="1" ht="38.25" x14ac:dyDescent="0.2">
      <c r="B34" s="105" t="s">
        <v>106</v>
      </c>
      <c r="C34" s="28" t="e">
        <f>SUM(C31:C33)</f>
        <v>#N/A</v>
      </c>
      <c r="E34" s="28"/>
    </row>
    <row r="35" spans="2:22" x14ac:dyDescent="0.2">
      <c r="B35" s="29"/>
      <c r="E35" s="24"/>
    </row>
    <row r="36" spans="2:22" s="22" customFormat="1" ht="25.5" x14ac:dyDescent="0.2">
      <c r="B36" s="102" t="s">
        <v>107</v>
      </c>
      <c r="E36" s="28"/>
    </row>
    <row r="37" spans="2:22" ht="12.75" x14ac:dyDescent="0.2">
      <c r="B37" s="103" t="s">
        <v>113</v>
      </c>
      <c r="C37" s="24">
        <f t="shared" ref="C37:C43" si="6">ROUND(SUM(D37:V37),0)</f>
        <v>0</v>
      </c>
      <c r="E37" s="24"/>
    </row>
    <row r="38" spans="2:22" ht="12.75" x14ac:dyDescent="0.2">
      <c r="B38" s="103" t="s">
        <v>114</v>
      </c>
      <c r="C38" s="24">
        <f t="shared" si="6"/>
        <v>0</v>
      </c>
      <c r="E38" s="24"/>
    </row>
    <row r="39" spans="2:22" ht="25.5" x14ac:dyDescent="0.2">
      <c r="B39" s="103" t="s">
        <v>108</v>
      </c>
      <c r="C39" s="24">
        <f t="shared" si="6"/>
        <v>-18476</v>
      </c>
      <c r="E39" s="24"/>
      <c r="I39" s="24">
        <v>-18476</v>
      </c>
    </row>
    <row r="40" spans="2:22" ht="25.5" x14ac:dyDescent="0.2">
      <c r="B40" s="104" t="s">
        <v>109</v>
      </c>
      <c r="C40" s="24">
        <f t="shared" si="6"/>
        <v>0</v>
      </c>
      <c r="E40" s="24"/>
    </row>
    <row r="41" spans="2:22" ht="25.5" x14ac:dyDescent="0.2">
      <c r="B41" s="104" t="s">
        <v>110</v>
      </c>
      <c r="C41" s="24">
        <f t="shared" si="6"/>
        <v>361949</v>
      </c>
      <c r="E41" s="24">
        <f>-E8-E15-E16-E19-E32-E42</f>
        <v>221419.65422999999</v>
      </c>
      <c r="T41" s="24">
        <f>-T8</f>
        <v>140529</v>
      </c>
    </row>
    <row r="42" spans="2:22" ht="25.5" x14ac:dyDescent="0.2">
      <c r="B42" s="104" t="s">
        <v>111</v>
      </c>
      <c r="C42" s="24">
        <f t="shared" si="6"/>
        <v>477632</v>
      </c>
      <c r="E42" s="24">
        <v>477632</v>
      </c>
    </row>
    <row r="43" spans="2:22" ht="12.75" x14ac:dyDescent="0.2">
      <c r="B43" s="103" t="s">
        <v>112</v>
      </c>
      <c r="C43" s="24">
        <f t="shared" si="6"/>
        <v>0</v>
      </c>
      <c r="E43" s="24"/>
    </row>
    <row r="44" spans="2:22" s="22" customFormat="1" ht="38.25" x14ac:dyDescent="0.2">
      <c r="B44" s="102" t="s">
        <v>115</v>
      </c>
      <c r="C44" s="28">
        <f>SUM(C37:C43)</f>
        <v>821105</v>
      </c>
    </row>
    <row r="45" spans="2:22" x14ac:dyDescent="0.2">
      <c r="B45" s="29"/>
    </row>
    <row r="46" spans="2:22" s="22" customFormat="1" ht="25.5" x14ac:dyDescent="0.2">
      <c r="B46" s="102" t="s">
        <v>116</v>
      </c>
    </row>
    <row r="47" spans="2:22" ht="12.75" x14ac:dyDescent="0.2">
      <c r="B47" s="101" t="s">
        <v>92</v>
      </c>
      <c r="C47" s="24">
        <f t="shared" ref="C47:C48" si="7">ROUND(SUM(D47:V47),0)</f>
        <v>0</v>
      </c>
      <c r="R47" s="24">
        <f>-R8</f>
        <v>0</v>
      </c>
      <c r="S47" s="24">
        <f>-S8</f>
        <v>0</v>
      </c>
    </row>
    <row r="48" spans="2:22" ht="12.75" x14ac:dyDescent="0.2">
      <c r="B48" s="103" t="s">
        <v>117</v>
      </c>
      <c r="C48" s="24">
        <f t="shared" si="7"/>
        <v>0</v>
      </c>
    </row>
    <row r="49" spans="2:22" s="22" customFormat="1" ht="25.5" x14ac:dyDescent="0.2">
      <c r="B49" s="102" t="s">
        <v>118</v>
      </c>
      <c r="C49" s="28">
        <f>SUM(C47:C48)</f>
        <v>0</v>
      </c>
    </row>
    <row r="50" spans="2:22" x14ac:dyDescent="0.2">
      <c r="B50" s="29"/>
    </row>
    <row r="51" spans="2:22" s="22" customFormat="1" ht="25.5" x14ac:dyDescent="0.2">
      <c r="B51" s="105" t="s">
        <v>119</v>
      </c>
      <c r="C51" s="23" t="e">
        <f>ROUND(C34+C44+C49,0)</f>
        <v>#N/A</v>
      </c>
      <c r="D51" s="40"/>
      <c r="E51" s="40"/>
      <c r="F51" s="40"/>
      <c r="G51" s="40"/>
      <c r="H51" s="40"/>
      <c r="I51" s="40"/>
      <c r="J51" s="40"/>
      <c r="K51" s="40"/>
      <c r="L51" s="40"/>
      <c r="M51" s="40"/>
      <c r="N51" s="40"/>
      <c r="O51" s="40"/>
      <c r="P51" s="40"/>
      <c r="Q51" s="40"/>
      <c r="R51" s="40"/>
      <c r="S51" s="40"/>
      <c r="T51" s="40"/>
      <c r="U51" s="40"/>
      <c r="V51" s="40"/>
    </row>
    <row r="52" spans="2:22" ht="38.25" x14ac:dyDescent="0.2">
      <c r="B52" s="104" t="s">
        <v>120</v>
      </c>
      <c r="C52" s="24">
        <f t="shared" ref="C52" si="8">ROUND(SUM(D52:V52),0)</f>
        <v>12302</v>
      </c>
      <c r="D52" s="24">
        <f>-D15</f>
        <v>12302</v>
      </c>
    </row>
    <row r="53" spans="2:22" ht="25.5" x14ac:dyDescent="0.2">
      <c r="B53" s="104" t="s">
        <v>121</v>
      </c>
      <c r="C53" s="24">
        <f>D7</f>
        <v>3549654</v>
      </c>
    </row>
    <row r="54" spans="2:22" s="22" customFormat="1" ht="33.75" x14ac:dyDescent="0.2">
      <c r="B54" s="30" t="s">
        <v>122</v>
      </c>
      <c r="C54" s="28">
        <f>D6</f>
        <v>10296367</v>
      </c>
    </row>
    <row r="55" spans="2:22" x14ac:dyDescent="0.2">
      <c r="B55" s="37"/>
      <c r="C55" s="37"/>
      <c r="D55" s="37"/>
      <c r="E55" s="37"/>
      <c r="F55" s="37"/>
      <c r="G55" s="37"/>
      <c r="H55" s="37"/>
      <c r="I55" s="37"/>
      <c r="J55" s="37"/>
      <c r="K55" s="37"/>
      <c r="L55" s="37"/>
      <c r="M55" s="37"/>
      <c r="N55" s="37"/>
      <c r="O55" s="37"/>
      <c r="P55" s="37"/>
      <c r="Q55" s="37"/>
      <c r="R55" s="37"/>
      <c r="S55" s="37"/>
      <c r="T55" s="37"/>
      <c r="U55" s="37"/>
      <c r="V55" s="37"/>
    </row>
    <row r="56" spans="2:22" x14ac:dyDescent="0.2">
      <c r="C56" s="24" t="e">
        <f>SUM(C51:C53)</f>
        <v>#N/A</v>
      </c>
    </row>
    <row r="57" spans="2:22" x14ac:dyDescent="0.2">
      <c r="C57" s="24">
        <f>C54</f>
        <v>10296367</v>
      </c>
    </row>
    <row r="58" spans="2:22" x14ac:dyDescent="0.2">
      <c r="B58" s="41" t="s">
        <v>2</v>
      </c>
      <c r="C58" s="27" t="e">
        <f>C56-C57</f>
        <v>#N/A</v>
      </c>
    </row>
    <row r="60" spans="2:22" ht="12.75" x14ac:dyDescent="0.2">
      <c r="B60" s="106" t="s">
        <v>123</v>
      </c>
    </row>
    <row r="61" spans="2:22" ht="12.75" x14ac:dyDescent="0.2">
      <c r="B61" s="106" t="s">
        <v>124</v>
      </c>
    </row>
    <row r="62" spans="2:22" x14ac:dyDescent="0.2">
      <c r="B62" s="1"/>
      <c r="F62" s="24"/>
    </row>
    <row r="63" spans="2:22" x14ac:dyDescent="0.2">
      <c r="B63" s="1"/>
      <c r="F63" s="24"/>
    </row>
    <row r="64" spans="2:22" ht="12.75" x14ac:dyDescent="0.2">
      <c r="B64" s="106" t="s">
        <v>125</v>
      </c>
      <c r="F64" s="24"/>
    </row>
    <row r="65" spans="2:11" ht="12.75" x14ac:dyDescent="0.2">
      <c r="B65" s="106" t="s">
        <v>126</v>
      </c>
    </row>
    <row r="68" spans="2:11" ht="12.75" x14ac:dyDescent="0.2">
      <c r="B68" s="42" t="s">
        <v>6</v>
      </c>
      <c r="C68" s="43"/>
      <c r="D68" s="43"/>
      <c r="E68" s="43"/>
      <c r="G68" s="42" t="s">
        <v>6</v>
      </c>
      <c r="H68" s="43"/>
      <c r="I68" s="43"/>
      <c r="J68" s="43"/>
    </row>
    <row r="69" spans="2:11" ht="15.75" x14ac:dyDescent="0.25">
      <c r="B69" s="44" t="s">
        <v>7</v>
      </c>
      <c r="C69" s="43"/>
      <c r="D69" s="43"/>
      <c r="E69" s="43"/>
      <c r="G69" s="44" t="s">
        <v>8</v>
      </c>
      <c r="H69" s="43"/>
      <c r="I69" s="43"/>
      <c r="J69" s="43"/>
    </row>
    <row r="70" spans="2:11" x14ac:dyDescent="0.2">
      <c r="B70" s="43" t="s">
        <v>9</v>
      </c>
      <c r="C70" s="43" t="s">
        <v>10</v>
      </c>
      <c r="D70" s="43"/>
      <c r="E70" s="43"/>
      <c r="G70" s="43" t="s">
        <v>9</v>
      </c>
      <c r="H70" s="43" t="s">
        <v>10</v>
      </c>
      <c r="I70" s="43"/>
      <c r="J70" s="43"/>
    </row>
    <row r="71" spans="2:11" ht="12.75" x14ac:dyDescent="0.2">
      <c r="B71" s="45" t="s">
        <v>11</v>
      </c>
      <c r="C71" s="46" t="s">
        <v>12</v>
      </c>
      <c r="D71" s="46" t="s">
        <v>13</v>
      </c>
      <c r="E71" s="46" t="s">
        <v>14</v>
      </c>
      <c r="G71" s="45" t="s">
        <v>11</v>
      </c>
      <c r="H71" s="192" t="s">
        <v>12</v>
      </c>
      <c r="I71" s="192" t="s">
        <v>13</v>
      </c>
      <c r="J71" s="192" t="s">
        <v>14</v>
      </c>
    </row>
    <row r="72" spans="2:11" ht="24" x14ac:dyDescent="0.2">
      <c r="B72" s="47">
        <v>2170.0100000000002</v>
      </c>
      <c r="C72" s="48" t="s">
        <v>15</v>
      </c>
      <c r="D72" s="49">
        <v>29517.696809999998</v>
      </c>
      <c r="E72" s="49"/>
      <c r="F72" s="24">
        <f>D78-D72</f>
        <v>7383.557380000002</v>
      </c>
      <c r="G72" s="45" t="s">
        <v>16</v>
      </c>
      <c r="H72" s="193"/>
      <c r="I72" s="193"/>
      <c r="J72" s="193"/>
    </row>
    <row r="73" spans="2:11" ht="12" x14ac:dyDescent="0.2">
      <c r="B73" s="50"/>
      <c r="C73" s="51">
        <v>1060</v>
      </c>
      <c r="D73" s="52"/>
      <c r="E73" s="52">
        <v>35084.559099999999</v>
      </c>
      <c r="F73" s="24"/>
      <c r="G73" s="47">
        <v>2170.04</v>
      </c>
      <c r="H73" s="48" t="s">
        <v>15</v>
      </c>
      <c r="I73" s="49">
        <v>6670.2653600000003</v>
      </c>
      <c r="J73" s="49"/>
      <c r="K73" s="24">
        <f>I81-I73</f>
        <v>26.009359999999106</v>
      </c>
    </row>
    <row r="74" spans="2:11" ht="24" x14ac:dyDescent="0.2">
      <c r="B74" s="50"/>
      <c r="C74" s="53">
        <v>6110.01</v>
      </c>
      <c r="D74" s="52">
        <v>35946.912509999995</v>
      </c>
      <c r="E74" s="52"/>
      <c r="G74" s="54" t="s">
        <v>17</v>
      </c>
      <c r="H74" s="54" t="s">
        <v>15</v>
      </c>
      <c r="I74" s="55">
        <v>6670.2653600000003</v>
      </c>
      <c r="J74" s="55"/>
    </row>
    <row r="75" spans="2:11" ht="12" x14ac:dyDescent="0.2">
      <c r="B75" s="50"/>
      <c r="C75" s="51">
        <v>6250</v>
      </c>
      <c r="D75" s="52">
        <v>6864.1776399999999</v>
      </c>
      <c r="E75" s="52"/>
      <c r="G75" s="56"/>
      <c r="H75" s="51">
        <v>1060</v>
      </c>
      <c r="I75" s="52">
        <v>7571.2949600000002</v>
      </c>
      <c r="J75" s="52">
        <v>8951.2475099999992</v>
      </c>
      <c r="K75" s="24"/>
    </row>
    <row r="76" spans="2:11" ht="12" x14ac:dyDescent="0.2">
      <c r="B76" s="50"/>
      <c r="C76" s="51">
        <v>7430</v>
      </c>
      <c r="D76" s="52"/>
      <c r="E76" s="52">
        <v>342.97366999999997</v>
      </c>
      <c r="G76" s="56"/>
      <c r="H76" s="51">
        <v>6250</v>
      </c>
      <c r="I76" s="52">
        <v>1476.4915100000001</v>
      </c>
      <c r="J76" s="52"/>
    </row>
    <row r="77" spans="2:11" ht="12" x14ac:dyDescent="0.2">
      <c r="B77" s="57"/>
      <c r="C77" s="48" t="s">
        <v>18</v>
      </c>
      <c r="D77" s="49">
        <v>42811.090149999996</v>
      </c>
      <c r="E77" s="49">
        <v>35427.532770000005</v>
      </c>
      <c r="G77" s="56"/>
      <c r="H77" s="51">
        <v>7430</v>
      </c>
      <c r="I77" s="52"/>
      <c r="J77" s="52">
        <v>70.529600000000002</v>
      </c>
    </row>
    <row r="78" spans="2:11" ht="12" x14ac:dyDescent="0.2">
      <c r="B78" s="57"/>
      <c r="C78" s="48" t="s">
        <v>19</v>
      </c>
      <c r="D78" s="49">
        <v>36901.25419</v>
      </c>
      <c r="E78" s="49"/>
      <c r="G78" s="58"/>
      <c r="H78" s="54" t="s">
        <v>18</v>
      </c>
      <c r="I78" s="55">
        <v>9047.7864700000009</v>
      </c>
      <c r="J78" s="55">
        <v>9021.7771099999991</v>
      </c>
    </row>
    <row r="79" spans="2:11" ht="24" x14ac:dyDescent="0.2">
      <c r="G79" s="58"/>
      <c r="H79" s="54" t="s">
        <v>19</v>
      </c>
      <c r="I79" s="55">
        <v>6696.2747199999994</v>
      </c>
      <c r="J79" s="55"/>
    </row>
    <row r="80" spans="2:11" ht="12" x14ac:dyDescent="0.2">
      <c r="G80" s="57"/>
      <c r="H80" s="48" t="s">
        <v>18</v>
      </c>
      <c r="I80" s="49">
        <v>9047.7864700000009</v>
      </c>
      <c r="J80" s="49">
        <v>9021.7771099999991</v>
      </c>
    </row>
    <row r="81" spans="2:10" ht="12" x14ac:dyDescent="0.2">
      <c r="G81" s="57"/>
      <c r="H81" s="48" t="s">
        <v>19</v>
      </c>
      <c r="I81" s="49">
        <v>6696.2747199999994</v>
      </c>
      <c r="J81" s="49"/>
    </row>
    <row r="82" spans="2:10" ht="12.75" x14ac:dyDescent="0.2">
      <c r="B82" s="42" t="s">
        <v>6</v>
      </c>
      <c r="C82" s="43"/>
      <c r="D82" s="43"/>
      <c r="E82" s="43"/>
    </row>
    <row r="83" spans="2:10" ht="15.75" x14ac:dyDescent="0.25">
      <c r="B83" s="44" t="s">
        <v>20</v>
      </c>
      <c r="C83" s="43"/>
      <c r="D83" s="43"/>
      <c r="E83" s="43"/>
    </row>
    <row r="84" spans="2:10" x14ac:dyDescent="0.2">
      <c r="B84" s="43" t="s">
        <v>9</v>
      </c>
      <c r="C84" s="43" t="s">
        <v>10</v>
      </c>
      <c r="D84" s="43"/>
      <c r="E84" s="43"/>
    </row>
    <row r="85" spans="2:10" ht="12.75" x14ac:dyDescent="0.2">
      <c r="B85" s="45" t="s">
        <v>11</v>
      </c>
      <c r="C85" s="46" t="s">
        <v>12</v>
      </c>
      <c r="D85" s="46" t="s">
        <v>13</v>
      </c>
      <c r="E85" s="46" t="s">
        <v>14</v>
      </c>
    </row>
    <row r="86" spans="2:10" ht="24" x14ac:dyDescent="0.2">
      <c r="B86" s="59">
        <v>5510</v>
      </c>
      <c r="C86" s="48" t="s">
        <v>15</v>
      </c>
      <c r="D86" s="49"/>
      <c r="E86" s="49">
        <v>106048.10427</v>
      </c>
    </row>
    <row r="87" spans="2:10" ht="12" x14ac:dyDescent="0.2">
      <c r="B87" s="50"/>
      <c r="C87" s="53">
        <v>5490.4</v>
      </c>
      <c r="D87" s="52"/>
      <c r="E87" s="52"/>
    </row>
    <row r="88" spans="2:10" ht="12" x14ac:dyDescent="0.2">
      <c r="B88" s="50"/>
      <c r="C88" s="51">
        <v>5520</v>
      </c>
      <c r="D88" s="52">
        <v>113532.24127</v>
      </c>
      <c r="E88" s="52"/>
    </row>
    <row r="89" spans="2:10" ht="12" x14ac:dyDescent="0.2">
      <c r="B89" s="50"/>
      <c r="C89" s="51">
        <v>5610</v>
      </c>
      <c r="D89" s="52"/>
      <c r="E89" s="52">
        <v>469352.63460000005</v>
      </c>
    </row>
    <row r="90" spans="2:10" ht="12" x14ac:dyDescent="0.2">
      <c r="B90" s="57"/>
      <c r="C90" s="48" t="s">
        <v>18</v>
      </c>
      <c r="D90" s="49"/>
      <c r="E90" s="49">
        <v>469352.63459999999</v>
      </c>
    </row>
    <row r="91" spans="2:10" ht="12" x14ac:dyDescent="0.2">
      <c r="B91" s="57"/>
      <c r="C91" s="48" t="s">
        <v>19</v>
      </c>
      <c r="D91" s="49"/>
      <c r="E91" s="49">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60" t="s">
        <v>21</v>
      </c>
    </row>
    <row r="2" spans="1:8" ht="15.75" x14ac:dyDescent="0.25">
      <c r="A2" s="60" t="s">
        <v>22</v>
      </c>
    </row>
    <row r="5" spans="1:8" x14ac:dyDescent="0.2">
      <c r="A5" t="s">
        <v>23</v>
      </c>
    </row>
    <row r="6" spans="1:8" x14ac:dyDescent="0.2">
      <c r="A6" t="s">
        <v>24</v>
      </c>
    </row>
    <row r="9" spans="1:8" x14ac:dyDescent="0.2">
      <c r="A9" s="61" t="s">
        <v>25</v>
      </c>
      <c r="B9">
        <f>BS!D30*1000/10000</f>
        <v>231500</v>
      </c>
    </row>
    <row r="11" spans="1:8" ht="45" x14ac:dyDescent="0.2">
      <c r="A11" s="200" t="s">
        <v>31</v>
      </c>
      <c r="B11" s="201"/>
      <c r="C11" s="63" t="s">
        <v>26</v>
      </c>
      <c r="D11" s="64" t="s">
        <v>29</v>
      </c>
      <c r="E11" s="64" t="s">
        <v>28</v>
      </c>
      <c r="F11" s="64" t="s">
        <v>27</v>
      </c>
      <c r="G11" s="64" t="s">
        <v>30</v>
      </c>
    </row>
    <row r="12" spans="1:8" x14ac:dyDescent="0.2">
      <c r="A12" s="202">
        <v>2017</v>
      </c>
      <c r="B12" s="203"/>
      <c r="C12" s="65">
        <v>365</v>
      </c>
      <c r="D12" s="65">
        <f>937000000/10000</f>
        <v>93700</v>
      </c>
      <c r="E12" s="65">
        <f t="shared" ref="E12:E17" si="0">C12/365*D12</f>
        <v>93700</v>
      </c>
      <c r="F12" s="65">
        <v>33811000</v>
      </c>
      <c r="G12" s="66">
        <f>F12/E12</f>
        <v>360.84311632870862</v>
      </c>
      <c r="H12" s="62"/>
    </row>
    <row r="13" spans="1:8" x14ac:dyDescent="0.2">
      <c r="A13" s="202">
        <v>2018</v>
      </c>
      <c r="B13" s="203"/>
      <c r="C13" s="65">
        <v>365</v>
      </c>
      <c r="D13" s="65">
        <f>937000000/10000</f>
        <v>93700</v>
      </c>
      <c r="E13" s="65">
        <f t="shared" si="0"/>
        <v>93700</v>
      </c>
      <c r="F13" s="65">
        <v>184175000</v>
      </c>
      <c r="G13" s="66">
        <f>F13/E13</f>
        <v>1965.581643543223</v>
      </c>
      <c r="H13" s="62"/>
    </row>
    <row r="14" spans="1:8" x14ac:dyDescent="0.2">
      <c r="A14" s="68">
        <v>43465</v>
      </c>
      <c r="B14" s="68">
        <v>43468</v>
      </c>
      <c r="C14" s="67">
        <f>B14-A14</f>
        <v>3</v>
      </c>
      <c r="D14" s="65">
        <v>93700</v>
      </c>
      <c r="E14" s="65">
        <f t="shared" si="0"/>
        <v>770.1369863013698</v>
      </c>
      <c r="F14" s="197">
        <v>105481000</v>
      </c>
      <c r="G14" s="194">
        <f>F14/SUM(E14:E17)</f>
        <v>792.40302467115771</v>
      </c>
    </row>
    <row r="15" spans="1:8" x14ac:dyDescent="0.2">
      <c r="A15" s="68">
        <v>43468</v>
      </c>
      <c r="B15" s="68">
        <v>43480</v>
      </c>
      <c r="C15" s="67">
        <f t="shared" ref="C15:C20" si="1">B15-A15</f>
        <v>12</v>
      </c>
      <c r="D15" s="65">
        <f>93700+1300</f>
        <v>95000</v>
      </c>
      <c r="E15" s="65">
        <f t="shared" si="0"/>
        <v>3123.2876712328766</v>
      </c>
      <c r="F15" s="198"/>
      <c r="G15" s="195"/>
    </row>
    <row r="16" spans="1:8" x14ac:dyDescent="0.2">
      <c r="A16" s="68">
        <v>43480</v>
      </c>
      <c r="B16" s="68">
        <v>43761</v>
      </c>
      <c r="C16" s="67">
        <f t="shared" si="1"/>
        <v>281</v>
      </c>
      <c r="D16" s="65">
        <f>95000+37000</f>
        <v>132000</v>
      </c>
      <c r="E16" s="65">
        <f t="shared" si="0"/>
        <v>101621.91780821916</v>
      </c>
      <c r="F16" s="198"/>
      <c r="G16" s="195"/>
    </row>
    <row r="17" spans="1:7" x14ac:dyDescent="0.2">
      <c r="A17" s="68">
        <v>43761</v>
      </c>
      <c r="B17" s="68">
        <v>43830</v>
      </c>
      <c r="C17" s="67">
        <f t="shared" si="1"/>
        <v>69</v>
      </c>
      <c r="D17" s="65">
        <f>132000+14000</f>
        <v>146000</v>
      </c>
      <c r="E17" s="65">
        <f t="shared" si="0"/>
        <v>27600</v>
      </c>
      <c r="F17" s="199"/>
      <c r="G17" s="196"/>
    </row>
    <row r="18" spans="1:7" x14ac:dyDescent="0.2">
      <c r="A18" s="68">
        <v>43830</v>
      </c>
      <c r="B18" s="69">
        <v>43858</v>
      </c>
      <c r="C18" s="65">
        <f t="shared" si="1"/>
        <v>28</v>
      </c>
      <c r="D18" s="70">
        <f>D17</f>
        <v>146000</v>
      </c>
      <c r="E18" s="65">
        <f>C18/91*D18</f>
        <v>44923.076923076922</v>
      </c>
      <c r="F18" s="197">
        <v>469352000</v>
      </c>
      <c r="G18" s="194">
        <f>F18/SUM(E18:E20)</f>
        <v>2978.0387672570073</v>
      </c>
    </row>
    <row r="19" spans="1:7" x14ac:dyDescent="0.2">
      <c r="A19" s="69">
        <v>43858</v>
      </c>
      <c r="B19" s="68">
        <v>43888</v>
      </c>
      <c r="C19" s="67">
        <f t="shared" si="1"/>
        <v>30</v>
      </c>
      <c r="D19" s="70">
        <f>D18+11000</f>
        <v>157000</v>
      </c>
      <c r="E19" s="65">
        <f>C19/91*D19</f>
        <v>51758.241758241755</v>
      </c>
      <c r="F19" s="198"/>
      <c r="G19" s="195"/>
    </row>
    <row r="20" spans="1:7" x14ac:dyDescent="0.2">
      <c r="A20" s="68">
        <v>43888</v>
      </c>
      <c r="B20" s="68">
        <v>43921</v>
      </c>
      <c r="C20" s="67">
        <f t="shared" si="1"/>
        <v>33</v>
      </c>
      <c r="D20" s="70">
        <f>D19+11000</f>
        <v>168000</v>
      </c>
      <c r="E20" s="65">
        <f>C20/91*D20</f>
        <v>60923.076923076922</v>
      </c>
      <c r="F20" s="199"/>
      <c r="G20" s="196"/>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Ruslan Ibrayev</cp:lastModifiedBy>
  <cp:lastPrinted>2023-08-13T11:14:15Z</cp:lastPrinted>
  <dcterms:created xsi:type="dcterms:W3CDTF">2020-06-17T09:42:51Z</dcterms:created>
  <dcterms:modified xsi:type="dcterms:W3CDTF">2023-08-14T10:45:03Z</dcterms:modified>
</cp:coreProperties>
</file>