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0" yWindow="0" windowWidth="19095" windowHeight="11910" firstSheet="1" activeTab="1"/>
  </bookViews>
  <sheets>
    <sheet name="5610" sheetId="126" state="hidden" r:id="rId1"/>
    <sheet name="Баланс " sheetId="34" r:id="rId2"/>
    <sheet name="ОПУ" sheetId="37" r:id="rId3"/>
    <sheet name="ОДД " sheetId="115" r:id="rId4"/>
    <sheet name="СК" sheetId="57" r:id="rId5"/>
    <sheet name="ОДД прямой" sheetId="120" state="hidden" r:id="rId6"/>
    <sheet name="ОДД" sheetId="135" state="hidden" r:id="rId7"/>
    <sheet name="курсовая" sheetId="134" state="hidden" r:id="rId8"/>
    <sheet name="разницы" sheetId="133" state="hidden" r:id="rId9"/>
    <sheet name="пр расх" sheetId="131" state="hidden" r:id="rId10"/>
    <sheet name="пр дох" sheetId="130" state="hidden" r:id="rId11"/>
    <sheet name="Коррек текущего периода" sheetId="14" state="hidden" r:id="rId12"/>
    <sheet name="Элим дох расх" sheetId="88" state="hidden" r:id="rId13"/>
    <sheet name="Элиминир ДЗ и КЗ" sheetId="90" state="hidden" r:id="rId14"/>
    <sheet name="облигации" sheetId="89" state="hidden" r:id="rId15"/>
    <sheet name="РБП Бонды" sheetId="91" state="hidden" r:id="rId16"/>
    <sheet name="Переоценка" sheetId="125" state="hidden" r:id="rId17"/>
    <sheet name="Резервы" sheetId="124" state="hidden" r:id="rId18"/>
    <sheet name="Курсовая Ташкент" sheetId="128" state="hidden" r:id="rId19"/>
    <sheet name="ОБЛИГАЦИИ 7 вып" sheetId="129" state="hidden" r:id="rId20"/>
    <sheet name="зачет" sheetId="132" state="hidden" r:id="rId21"/>
  </sheets>
  <externalReferences>
    <externalReference r:id="rId22"/>
  </externalReferences>
  <definedNames>
    <definedName name="_xlnm._FilterDatabase" localSheetId="17" hidden="1">Резервы!$B$8:$H$232</definedName>
    <definedName name="_xlnm.Print_Area" localSheetId="1">'Баланс '!$A$1:$H$77</definedName>
    <definedName name="_xlnm.Print_Area" localSheetId="2">ОПУ!$A$1:$H$40</definedName>
    <definedName name="_xlnm.Print_Area" localSheetId="4">СК!$A$1:$AA$33</definedName>
    <definedName name="_xlnm.Print_Area" localSheetId="12">'Элим дох расх'!$B$1:$I$43</definedName>
  </definedNames>
  <calcPr calcId="124519"/>
  <smartTagPr embed="1"/>
</workbook>
</file>

<file path=xl/calcChain.xml><?xml version="1.0" encoding="utf-8"?>
<calcChain xmlns="http://schemas.openxmlformats.org/spreadsheetml/2006/main">
  <c r="S10" i="57"/>
  <c r="AA4"/>
  <c r="G13" i="115"/>
  <c r="O22" i="57"/>
  <c r="E14"/>
  <c r="C159" i="14"/>
  <c r="D152"/>
  <c r="H40" i="34"/>
  <c r="D175" i="14"/>
  <c r="C177"/>
  <c r="C178"/>
  <c r="D176" l="1"/>
  <c r="J43" i="126"/>
  <c r="D154" i="14"/>
  <c r="W21" i="57"/>
  <c r="G176" i="14" l="1"/>
  <c r="I63" i="115"/>
  <c r="G63"/>
  <c r="C60"/>
  <c r="I49"/>
  <c r="G49"/>
  <c r="I22"/>
  <c r="I31" s="1"/>
  <c r="I34" s="1"/>
  <c r="I66" l="1"/>
  <c r="I68" s="1"/>
  <c r="C15" i="134" l="1"/>
  <c r="C7"/>
  <c r="C8"/>
  <c r="C9"/>
  <c r="C10"/>
  <c r="C11"/>
  <c r="C12"/>
  <c r="C13"/>
  <c r="C14"/>
  <c r="C5"/>
  <c r="C6"/>
  <c r="C4"/>
  <c r="D6"/>
  <c r="I50"/>
  <c r="I68"/>
  <c r="I140"/>
  <c r="I60"/>
  <c r="D14"/>
  <c r="D13"/>
  <c r="D12"/>
  <c r="D11"/>
  <c r="D10"/>
  <c r="I158"/>
  <c r="D8"/>
  <c r="D7"/>
  <c r="D5"/>
  <c r="D4"/>
  <c r="I146"/>
  <c r="I154"/>
  <c r="I150"/>
  <c r="I142"/>
  <c r="I137"/>
  <c r="I130" l="1"/>
  <c r="I128"/>
  <c r="I121"/>
  <c r="I112"/>
  <c r="I106"/>
  <c r="I88"/>
  <c r="I66"/>
  <c r="I74"/>
  <c r="I79"/>
  <c r="I64"/>
  <c r="I52"/>
  <c r="I43"/>
  <c r="I34"/>
  <c r="I28"/>
  <c r="D61" i="135"/>
  <c r="D60"/>
  <c r="D59"/>
  <c r="D58"/>
  <c r="D53"/>
  <c r="D52"/>
  <c r="D51"/>
  <c r="D50"/>
  <c r="D49"/>
  <c r="D48"/>
  <c r="D47"/>
  <c r="D42"/>
  <c r="D41"/>
  <c r="D37"/>
  <c r="D38"/>
  <c r="D33"/>
  <c r="D34"/>
  <c r="D35"/>
  <c r="D36"/>
  <c r="D32"/>
  <c r="D31"/>
  <c r="D21"/>
  <c r="D22"/>
  <c r="D20"/>
  <c r="D19"/>
  <c r="D18"/>
  <c r="D15"/>
  <c r="D16"/>
  <c r="D17"/>
  <c r="D13"/>
  <c r="D14"/>
  <c r="D12"/>
  <c r="AA1"/>
  <c r="AD1"/>
  <c r="AE1"/>
  <c r="AF1"/>
  <c r="AG1"/>
  <c r="W1"/>
  <c r="X1"/>
  <c r="J1"/>
  <c r="T3"/>
  <c r="K3"/>
  <c r="AC3"/>
  <c r="H3"/>
  <c r="AG3"/>
  <c r="AB3"/>
  <c r="Z3"/>
  <c r="W5"/>
  <c r="X5"/>
  <c r="AA5"/>
  <c r="Y3"/>
  <c r="V3"/>
  <c r="U3"/>
  <c r="S3"/>
  <c r="R3"/>
  <c r="Q3"/>
  <c r="P3"/>
  <c r="O3"/>
  <c r="J5"/>
  <c r="N3"/>
  <c r="M3"/>
  <c r="L3"/>
  <c r="I3"/>
  <c r="B28" i="128"/>
  <c r="Y15" i="37"/>
  <c r="E134" i="133"/>
  <c r="S13" i="37"/>
  <c r="X9"/>
  <c r="W7"/>
  <c r="T10"/>
  <c r="Q10"/>
  <c r="P10"/>
  <c r="E135" i="133"/>
  <c r="E133"/>
  <c r="E132"/>
  <c r="E47"/>
  <c r="E45"/>
  <c r="E44"/>
  <c r="E43"/>
  <c r="E42"/>
  <c r="D244" i="124"/>
  <c r="D248"/>
  <c r="E245"/>
  <c r="E244"/>
  <c r="E249"/>
  <c r="E236"/>
  <c r="E123" i="90"/>
  <c r="C11" i="14" s="1"/>
  <c r="G23" i="88"/>
  <c r="G19"/>
  <c r="D41"/>
  <c r="F19"/>
  <c r="D21"/>
  <c r="D19"/>
  <c r="D3"/>
  <c r="D200" i="14"/>
  <c r="I161" i="134" l="1"/>
  <c r="I96" s="1"/>
  <c r="D15"/>
  <c r="E137" i="133"/>
  <c r="G41" i="88"/>
  <c r="G39"/>
  <c r="D129" i="14"/>
  <c r="D128"/>
  <c r="D126"/>
  <c r="D125"/>
  <c r="C121"/>
  <c r="C120"/>
  <c r="C118"/>
  <c r="E620" i="132"/>
  <c r="E622"/>
  <c r="E624"/>
  <c r="D617"/>
  <c r="D615"/>
  <c r="D624"/>
  <c r="D620"/>
  <c r="H334"/>
  <c r="H582"/>
  <c r="H556"/>
  <c r="H551"/>
  <c r="H445"/>
  <c r="H434"/>
  <c r="H596" s="1"/>
  <c r="F144" i="90"/>
  <c r="F152" s="1"/>
  <c r="F142"/>
  <c r="E131"/>
  <c r="E152" s="1"/>
  <c r="F135"/>
  <c r="F140"/>
  <c r="F133"/>
  <c r="F132"/>
  <c r="E127"/>
  <c r="E124"/>
  <c r="H116"/>
  <c r="H118" s="1"/>
  <c r="C108" i="14"/>
  <c r="E13" i="126"/>
  <c r="E15" l="1"/>
  <c r="C116" i="131"/>
  <c r="C25"/>
  <c r="H156" i="130" l="1"/>
  <c r="D158"/>
  <c r="D154"/>
  <c r="D81"/>
  <c r="D11"/>
  <c r="C117" i="131"/>
  <c r="D117" s="1"/>
  <c r="C115"/>
  <c r="C112"/>
  <c r="G111"/>
  <c r="E110"/>
  <c r="C108"/>
  <c r="D108" s="1"/>
  <c r="C104"/>
  <c r="D104" s="1"/>
  <c r="C101"/>
  <c r="D101" s="1"/>
  <c r="C98"/>
  <c r="H98" s="1"/>
  <c r="C92"/>
  <c r="F92" s="1"/>
  <c r="E84"/>
  <c r="E83"/>
  <c r="E82"/>
  <c r="C85"/>
  <c r="E81"/>
  <c r="D80"/>
  <c r="C78"/>
  <c r="D77"/>
  <c r="D76"/>
  <c r="D75"/>
  <c r="H74"/>
  <c r="H118" s="1"/>
  <c r="I73"/>
  <c r="D72"/>
  <c r="E71"/>
  <c r="F70"/>
  <c r="F118" s="1"/>
  <c r="F122" s="1"/>
  <c r="E69"/>
  <c r="D68"/>
  <c r="D67"/>
  <c r="D66"/>
  <c r="E65"/>
  <c r="E64"/>
  <c r="D63"/>
  <c r="E62"/>
  <c r="D61"/>
  <c r="D60"/>
  <c r="D59"/>
  <c r="C57"/>
  <c r="D57" s="1"/>
  <c r="C54"/>
  <c r="G54" s="1"/>
  <c r="C49"/>
  <c r="D49" s="1"/>
  <c r="C46"/>
  <c r="I46" s="1"/>
  <c r="C43"/>
  <c r="D43" s="1"/>
  <c r="C40"/>
  <c r="D40" s="1"/>
  <c r="C37"/>
  <c r="I36"/>
  <c r="I35"/>
  <c r="D34"/>
  <c r="I33"/>
  <c r="C31"/>
  <c r="D31" s="1"/>
  <c r="C28"/>
  <c r="D28" s="1"/>
  <c r="C22"/>
  <c r="D22" s="1"/>
  <c r="C19"/>
  <c r="E19" s="1"/>
  <c r="E118" s="1"/>
  <c r="C16"/>
  <c r="D16" s="1"/>
  <c r="C13"/>
  <c r="D13" s="1"/>
  <c r="C10"/>
  <c r="G10" s="1"/>
  <c r="G118" s="1"/>
  <c r="K152" i="130"/>
  <c r="D152"/>
  <c r="D149"/>
  <c r="H148"/>
  <c r="H147"/>
  <c r="H146"/>
  <c r="H145"/>
  <c r="H144"/>
  <c r="H143"/>
  <c r="F142"/>
  <c r="D140"/>
  <c r="E140" s="1"/>
  <c r="D136"/>
  <c r="C136"/>
  <c r="F135"/>
  <c r="E134"/>
  <c r="F133"/>
  <c r="D131"/>
  <c r="G131" s="1"/>
  <c r="D127"/>
  <c r="F127" s="1"/>
  <c r="D124"/>
  <c r="F124" s="1"/>
  <c r="D121"/>
  <c r="E121" s="1"/>
  <c r="D117"/>
  <c r="L117" s="1"/>
  <c r="D111"/>
  <c r="C111"/>
  <c r="E110"/>
  <c r="E109"/>
  <c r="E108"/>
  <c r="E107"/>
  <c r="E106"/>
  <c r="E105"/>
  <c r="E99"/>
  <c r="E98"/>
  <c r="D96"/>
  <c r="C96"/>
  <c r="F96" s="1"/>
  <c r="L95"/>
  <c r="L94"/>
  <c r="L93"/>
  <c r="L92"/>
  <c r="L91"/>
  <c r="L90"/>
  <c r="L89"/>
  <c r="L88"/>
  <c r="L86"/>
  <c r="L85"/>
  <c r="I84"/>
  <c r="I83"/>
  <c r="I82"/>
  <c r="L81"/>
  <c r="L156" s="1"/>
  <c r="F80"/>
  <c r="E79"/>
  <c r="E78"/>
  <c r="F77"/>
  <c r="F76"/>
  <c r="G75"/>
  <c r="D71"/>
  <c r="H71" s="1"/>
  <c r="H153" s="1"/>
  <c r="D61"/>
  <c r="E61" s="1"/>
  <c r="D56"/>
  <c r="J56" s="1"/>
  <c r="J153" s="1"/>
  <c r="C56"/>
  <c r="L49"/>
  <c r="L153" s="1"/>
  <c r="D49"/>
  <c r="D44"/>
  <c r="G44" s="1"/>
  <c r="D40"/>
  <c r="C40"/>
  <c r="F39"/>
  <c r="I38"/>
  <c r="F38"/>
  <c r="I37"/>
  <c r="I153" s="1"/>
  <c r="F37"/>
  <c r="F36"/>
  <c r="F35"/>
  <c r="F34"/>
  <c r="F33"/>
  <c r="F32"/>
  <c r="F31"/>
  <c r="F30"/>
  <c r="D28"/>
  <c r="G28" s="1"/>
  <c r="D23"/>
  <c r="K23" s="1"/>
  <c r="K153" s="1"/>
  <c r="D19"/>
  <c r="D15"/>
  <c r="F15" s="1"/>
  <c r="G11"/>
  <c r="D118" i="131" l="1"/>
  <c r="L155" i="130"/>
  <c r="L157" s="1"/>
  <c r="E153"/>
  <c r="G153"/>
  <c r="C153"/>
  <c r="D153" s="1"/>
  <c r="D155" s="1"/>
  <c r="C118" i="131"/>
  <c r="I115"/>
  <c r="I118" s="1"/>
  <c r="F19" i="130"/>
  <c r="F153" s="1"/>
  <c r="G120" i="131" l="1"/>
  <c r="C119"/>
  <c r="C123" s="1"/>
  <c r="C120" l="1"/>
  <c r="E129" i="126"/>
  <c r="E110"/>
  <c r="E101"/>
  <c r="E96"/>
  <c r="E95"/>
  <c r="C180" i="14" l="1"/>
  <c r="H62" i="34" l="1"/>
  <c r="AF3" i="135" s="1"/>
  <c r="AH3" s="1"/>
  <c r="Y11" i="57"/>
  <c r="AA11" s="1"/>
  <c r="L57" i="14"/>
  <c r="L62"/>
  <c r="H11" i="135" l="1"/>
  <c r="D11" s="1"/>
  <c r="C243" i="124"/>
  <c r="G128"/>
  <c r="H19" i="88" l="1"/>
  <c r="D90" i="14" s="1"/>
  <c r="H65" i="34"/>
  <c r="H53"/>
  <c r="H42"/>
  <c r="H26"/>
  <c r="H15"/>
  <c r="D324" i="14"/>
  <c r="C322"/>
  <c r="C324" s="1"/>
  <c r="E324" s="1"/>
  <c r="C15"/>
  <c r="H120" i="90"/>
  <c r="F151" i="124"/>
  <c r="E151"/>
  <c r="F32" i="88"/>
  <c r="D202" i="14"/>
  <c r="D158"/>
  <c r="Y13" i="57"/>
  <c r="AA13" s="1"/>
  <c r="C22"/>
  <c r="C72" i="14"/>
  <c r="H21" i="88"/>
  <c r="D73" i="14" s="1"/>
  <c r="G125" i="124"/>
  <c r="G108"/>
  <c r="G85"/>
  <c r="F23" i="37"/>
  <c r="F26"/>
  <c r="I264" i="14"/>
  <c r="G145" i="90"/>
  <c r="J167" i="14"/>
  <c r="J170" s="1"/>
  <c r="D133"/>
  <c r="D38" i="88"/>
  <c r="D173" i="14"/>
  <c r="B122" i="89"/>
  <c r="I8" i="129"/>
  <c r="O9"/>
  <c r="C78" i="91"/>
  <c r="C121" i="89"/>
  <c r="B124" s="1"/>
  <c r="C65" i="14" s="1"/>
  <c r="C66" s="1"/>
  <c r="F80" i="91"/>
  <c r="F81" s="1"/>
  <c r="C75" i="89"/>
  <c r="C74" s="1"/>
  <c r="C65"/>
  <c r="C62"/>
  <c r="C248" i="124"/>
  <c r="D238"/>
  <c r="G60" i="89"/>
  <c r="C245" i="124"/>
  <c r="D245"/>
  <c r="U22" i="57"/>
  <c r="D211" i="14"/>
  <c r="D212" s="1"/>
  <c r="D233"/>
  <c r="C223"/>
  <c r="C234"/>
  <c r="F9" i="91"/>
  <c r="F249" i="14"/>
  <c r="I263" s="1"/>
  <c r="H171"/>
  <c r="H209" s="1"/>
  <c r="H211"/>
  <c r="I203"/>
  <c r="K202"/>
  <c r="J201" s="1"/>
  <c r="J203" s="1"/>
  <c r="H170"/>
  <c r="H179" s="1"/>
  <c r="I181"/>
  <c r="H167"/>
  <c r="H175" s="1"/>
  <c r="H198" s="1"/>
  <c r="I172"/>
  <c r="D162"/>
  <c r="D164" s="1"/>
  <c r="C10" i="120"/>
  <c r="C164" i="14"/>
  <c r="E164" s="1"/>
  <c r="C43" i="120"/>
  <c r="C38"/>
  <c r="C28"/>
  <c r="C20"/>
  <c r="C5"/>
  <c r="D148" i="14"/>
  <c r="F23" i="88"/>
  <c r="D42" i="14"/>
  <c r="D44"/>
  <c r="D45"/>
  <c r="D46"/>
  <c r="D64"/>
  <c r="C23" i="91"/>
  <c r="E62" i="89"/>
  <c r="D64"/>
  <c r="D61" i="125"/>
  <c r="D55"/>
  <c r="D60" s="1"/>
  <c r="E50"/>
  <c r="D50"/>
  <c r="E45"/>
  <c r="D45"/>
  <c r="D59" s="1"/>
  <c r="D68" i="89" s="1"/>
  <c r="D43" i="14" s="1"/>
  <c r="E31" i="125"/>
  <c r="E30"/>
  <c r="E25"/>
  <c r="D25"/>
  <c r="E20"/>
  <c r="D20"/>
  <c r="E14"/>
  <c r="D14"/>
  <c r="D151" i="124"/>
  <c r="C155"/>
  <c r="C156"/>
  <c r="D156" s="1"/>
  <c r="C157"/>
  <c r="C158"/>
  <c r="C159"/>
  <c r="C160"/>
  <c r="C162"/>
  <c r="C163"/>
  <c r="C164"/>
  <c r="C165"/>
  <c r="C166"/>
  <c r="C167"/>
  <c r="C236"/>
  <c r="D236" s="1"/>
  <c r="C237"/>
  <c r="D237" s="1"/>
  <c r="C239"/>
  <c r="C240"/>
  <c r="C241"/>
  <c r="D241" s="1"/>
  <c r="C244"/>
  <c r="C246"/>
  <c r="D246" s="1"/>
  <c r="F7" i="91"/>
  <c r="F8"/>
  <c r="D103" i="14"/>
  <c r="C11" i="91"/>
  <c r="D33"/>
  <c r="D43"/>
  <c r="B13" i="89"/>
  <c r="B15" s="1"/>
  <c r="C13"/>
  <c r="C15" s="1"/>
  <c r="D13"/>
  <c r="E13"/>
  <c r="E15"/>
  <c r="F13"/>
  <c r="G13"/>
  <c r="B14"/>
  <c r="B16"/>
  <c r="D14"/>
  <c r="E14"/>
  <c r="F14"/>
  <c r="D15"/>
  <c r="F15"/>
  <c r="G15"/>
  <c r="D25"/>
  <c r="E25"/>
  <c r="F25"/>
  <c r="B29"/>
  <c r="B31" s="1"/>
  <c r="D29"/>
  <c r="D31" s="1"/>
  <c r="E29"/>
  <c r="B30"/>
  <c r="E30"/>
  <c r="C31"/>
  <c r="E31"/>
  <c r="B32"/>
  <c r="B47"/>
  <c r="B48"/>
  <c r="B49"/>
  <c r="B50"/>
  <c r="F64"/>
  <c r="D40" i="14" s="1"/>
  <c r="E65" i="89"/>
  <c r="C81"/>
  <c r="C53" i="14" s="1"/>
  <c r="C99" i="89"/>
  <c r="D99"/>
  <c r="C100" s="1"/>
  <c r="C106"/>
  <c r="D106"/>
  <c r="C112"/>
  <c r="D147"/>
  <c r="D148" s="1"/>
  <c r="C158"/>
  <c r="D158"/>
  <c r="D170"/>
  <c r="D188"/>
  <c r="D190" s="1"/>
  <c r="C202"/>
  <c r="H3" i="88"/>
  <c r="C71" i="14" s="1"/>
  <c r="H4" i="88"/>
  <c r="H5"/>
  <c r="H6"/>
  <c r="H7"/>
  <c r="H8"/>
  <c r="D83" i="14" s="1"/>
  <c r="H9" i="88"/>
  <c r="H10"/>
  <c r="H11"/>
  <c r="H12"/>
  <c r="D78" i="14" s="1"/>
  <c r="H13" i="88"/>
  <c r="H14"/>
  <c r="H15"/>
  <c r="H16"/>
  <c r="H17"/>
  <c r="H18"/>
  <c r="D88" i="14" s="1"/>
  <c r="H20" i="88"/>
  <c r="H23"/>
  <c r="D95" i="14" s="1"/>
  <c r="H24" i="88"/>
  <c r="H25"/>
  <c r="H26"/>
  <c r="H27"/>
  <c r="H28"/>
  <c r="F29"/>
  <c r="H30"/>
  <c r="H31"/>
  <c r="H32"/>
  <c r="D80" i="14" s="1"/>
  <c r="H33" i="88"/>
  <c r="H34"/>
  <c r="H35"/>
  <c r="H36"/>
  <c r="H37"/>
  <c r="H38"/>
  <c r="D89" i="14"/>
  <c r="H40" i="88"/>
  <c r="C12" i="14"/>
  <c r="C17"/>
  <c r="C18"/>
  <c r="D19"/>
  <c r="D20"/>
  <c r="D21"/>
  <c r="D22"/>
  <c r="D23"/>
  <c r="D24"/>
  <c r="D27"/>
  <c r="D28"/>
  <c r="D29"/>
  <c r="C30"/>
  <c r="C31"/>
  <c r="D32"/>
  <c r="D33"/>
  <c r="C60"/>
  <c r="D63"/>
  <c r="C98"/>
  <c r="C105"/>
  <c r="C109"/>
  <c r="C110"/>
  <c r="C133"/>
  <c r="E133" s="1"/>
  <c r="C139"/>
  <c r="C140"/>
  <c r="D143"/>
  <c r="C149"/>
  <c r="C160"/>
  <c r="C169" s="1"/>
  <c r="D180"/>
  <c r="C186"/>
  <c r="C189" s="1"/>
  <c r="D189"/>
  <c r="C193"/>
  <c r="D194"/>
  <c r="C202"/>
  <c r="C212"/>
  <c r="E212" s="1"/>
  <c r="C217"/>
  <c r="D218"/>
  <c r="D224"/>
  <c r="C229"/>
  <c r="D229"/>
  <c r="Y15" i="57"/>
  <c r="AA15" s="1"/>
  <c r="Y16"/>
  <c r="AA16" s="1"/>
  <c r="Y17"/>
  <c r="AA17" s="1"/>
  <c r="Y18"/>
  <c r="AA18" s="1"/>
  <c r="Y19"/>
  <c r="AA19" s="1"/>
  <c r="Y20"/>
  <c r="AA20" s="1"/>
  <c r="E22"/>
  <c r="F22"/>
  <c r="F24" s="1"/>
  <c r="G22"/>
  <c r="H22"/>
  <c r="H24" s="1"/>
  <c r="I22"/>
  <c r="K22"/>
  <c r="K24" s="1"/>
  <c r="M22"/>
  <c r="Q22"/>
  <c r="X22"/>
  <c r="O18" i="37"/>
  <c r="C106" i="14"/>
  <c r="D203" i="89"/>
  <c r="C189"/>
  <c r="C192" s="1"/>
  <c r="C39" i="14"/>
  <c r="K180"/>
  <c r="K203"/>
  <c r="C38"/>
  <c r="D41"/>
  <c r="H29" i="88"/>
  <c r="D86" i="14" s="1"/>
  <c r="F41" i="88"/>
  <c r="D243" i="124"/>
  <c r="D155"/>
  <c r="C104" i="14"/>
  <c r="E29" i="125"/>
  <c r="E27"/>
  <c r="H39" i="88"/>
  <c r="D169" i="14"/>
  <c r="C194"/>
  <c r="E194" s="1"/>
  <c r="C107"/>
  <c r="E14" i="91"/>
  <c r="D207" i="14"/>
  <c r="K171"/>
  <c r="K209" s="1"/>
  <c r="C206"/>
  <c r="E72" i="89"/>
  <c r="K181" i="14"/>
  <c r="D57" i="125"/>
  <c r="C242" i="124"/>
  <c r="D242" s="1"/>
  <c r="C161"/>
  <c r="D161" s="1"/>
  <c r="E22" i="88"/>
  <c r="H22" s="1"/>
  <c r="D94" i="14" s="1"/>
  <c r="C218"/>
  <c r="E218" s="1"/>
  <c r="D27" i="125"/>
  <c r="E28" s="1"/>
  <c r="E41" i="88"/>
  <c r="J207" i="14"/>
  <c r="J172"/>
  <c r="K172"/>
  <c r="C72" i="89"/>
  <c r="F154" i="90"/>
  <c r="D114" i="89"/>
  <c r="D149" i="14"/>
  <c r="E149" s="1"/>
  <c r="C51" i="120"/>
  <c r="C224" i="14"/>
  <c r="E224" s="1"/>
  <c r="D163" i="124"/>
  <c r="C205" i="89"/>
  <c r="G24" i="57"/>
  <c r="I24"/>
  <c r="C24"/>
  <c r="C35" i="14" l="1"/>
  <c r="AB11" i="57"/>
  <c r="C74" i="14"/>
  <c r="H207"/>
  <c r="O17" i="37"/>
  <c r="O9"/>
  <c r="E180" i="14"/>
  <c r="C49"/>
  <c r="D66"/>
  <c r="E189"/>
  <c r="D159" i="89"/>
  <c r="C18" i="120"/>
  <c r="D234" i="14"/>
  <c r="E234" s="1"/>
  <c r="C247" i="124"/>
  <c r="C107" i="89"/>
  <c r="C79" s="1"/>
  <c r="C114"/>
  <c r="C115" s="1"/>
  <c r="E57" i="125"/>
  <c r="D58" s="1"/>
  <c r="C36" i="120"/>
  <c r="G152" i="124"/>
  <c r="G235" s="1"/>
  <c r="H28" i="34"/>
  <c r="H68" s="1"/>
  <c r="C168" i="124"/>
  <c r="C170" s="1"/>
  <c r="D157"/>
  <c r="D168" s="1"/>
  <c r="E202" i="14"/>
  <c r="D91"/>
  <c r="H41" i="88"/>
  <c r="D74" i="14"/>
  <c r="E74" s="1"/>
  <c r="C207"/>
  <c r="E207" s="1"/>
  <c r="J179"/>
  <c r="K211"/>
  <c r="E74" i="89"/>
  <c r="D58" i="14"/>
  <c r="C138"/>
  <c r="K212"/>
  <c r="E229"/>
  <c r="E169"/>
  <c r="D102"/>
  <c r="D112" s="1"/>
  <c r="D35"/>
  <c r="E35" s="1"/>
  <c r="D49"/>
  <c r="E49" s="1"/>
  <c r="H201"/>
  <c r="H210"/>
  <c r="E66"/>
  <c r="C112"/>
  <c r="E112" s="1"/>
  <c r="J9" i="37"/>
  <c r="M24" i="57"/>
  <c r="H67" i="34"/>
  <c r="D17" i="134" l="1"/>
  <c r="D19" s="1"/>
  <c r="I89"/>
  <c r="I91" s="1"/>
  <c r="I163"/>
  <c r="I165" s="1"/>
  <c r="J10" i="37"/>
  <c r="I4" i="135"/>
  <c r="I5" s="1"/>
  <c r="I1" s="1"/>
  <c r="C249" i="124"/>
  <c r="D249" s="1"/>
  <c r="D247"/>
  <c r="E79" i="89"/>
  <c r="C52" i="14"/>
  <c r="C80" i="89"/>
  <c r="C52" i="120"/>
  <c r="C54" s="1"/>
  <c r="E24" i="57"/>
  <c r="D98" i="14"/>
  <c r="E98" s="1"/>
  <c r="J181"/>
  <c r="J210"/>
  <c r="J212" s="1"/>
  <c r="C143"/>
  <c r="E143" s="1"/>
  <c r="D160"/>
  <c r="E160" s="1"/>
  <c r="D59"/>
  <c r="O10" i="37"/>
  <c r="Y21" i="57"/>
  <c r="AA21" s="1"/>
  <c r="AC11"/>
  <c r="T4" i="135" l="1"/>
  <c r="T5" s="1"/>
  <c r="T1" s="1"/>
  <c r="K4"/>
  <c r="K5" s="1"/>
  <c r="K1" s="1"/>
  <c r="Y14" i="57"/>
  <c r="AA14" s="1"/>
  <c r="U4" i="135"/>
  <c r="U5" s="1"/>
  <c r="U1" s="1"/>
  <c r="U24" i="57"/>
  <c r="O4" i="135"/>
  <c r="O5" s="1"/>
  <c r="O1" s="1"/>
  <c r="Y4"/>
  <c r="Y5" s="1"/>
  <c r="Y1" s="1"/>
  <c r="C55" i="14"/>
  <c r="D54"/>
  <c r="G11" i="115"/>
  <c r="D60" i="14"/>
  <c r="E60" s="1"/>
  <c r="O6" i="37"/>
  <c r="J6"/>
  <c r="O24" i="57"/>
  <c r="G9" i="115" l="1"/>
  <c r="O13" i="37"/>
  <c r="J13"/>
  <c r="Z4" i="135"/>
  <c r="Z5" s="1"/>
  <c r="Z1" s="1"/>
  <c r="O15" i="37"/>
  <c r="G29" i="115"/>
  <c r="AF4" i="135"/>
  <c r="F15" i="34"/>
  <c r="H4" i="135"/>
  <c r="H5" s="1"/>
  <c r="H1" s="1"/>
  <c r="G30" i="115"/>
  <c r="AG4" i="135"/>
  <c r="G25" i="115"/>
  <c r="M4" i="135"/>
  <c r="M5" s="1"/>
  <c r="M1" s="1"/>
  <c r="J15" i="37"/>
  <c r="D55" i="14"/>
  <c r="E55" s="1"/>
  <c r="Q4" i="135"/>
  <c r="Q5" s="1"/>
  <c r="Q1" s="1"/>
  <c r="O7" i="37"/>
  <c r="L4" i="135" l="1"/>
  <c r="L5" s="1"/>
  <c r="L1" s="1"/>
  <c r="G26" i="115"/>
  <c r="N4" i="135"/>
  <c r="N5" s="1"/>
  <c r="N1" s="1"/>
  <c r="G28" i="115"/>
  <c r="F53" i="34"/>
  <c r="R4" i="135"/>
  <c r="R5" s="1"/>
  <c r="R1" s="1"/>
  <c r="S4"/>
  <c r="S5" s="1"/>
  <c r="S1" s="1"/>
  <c r="O8" i="37"/>
  <c r="M10" s="1"/>
  <c r="J7"/>
  <c r="F8"/>
  <c r="G14" i="115"/>
  <c r="G24" l="1"/>
  <c r="K8" i="37"/>
  <c r="K10"/>
  <c r="K12" s="1"/>
  <c r="G27" i="115"/>
  <c r="AB4" i="135"/>
  <c r="AB5" s="1"/>
  <c r="AB1" s="1"/>
  <c r="G8" i="115"/>
  <c r="F26" i="34"/>
  <c r="J8" i="37"/>
  <c r="F11"/>
  <c r="J11" s="1"/>
  <c r="O11"/>
  <c r="J14"/>
  <c r="O14"/>
  <c r="P4" i="135" l="1"/>
  <c r="P5" s="1"/>
  <c r="P1" s="1"/>
  <c r="F28" i="34"/>
  <c r="F40"/>
  <c r="F42" s="1"/>
  <c r="O12" i="37"/>
  <c r="O16" s="1"/>
  <c r="O19" s="1"/>
  <c r="J12"/>
  <c r="F16"/>
  <c r="G5" i="115" s="1"/>
  <c r="G22" l="1"/>
  <c r="G31" s="1"/>
  <c r="G34" s="1"/>
  <c r="G66" s="1"/>
  <c r="G68" s="1"/>
  <c r="V4" i="135"/>
  <c r="V5" s="1"/>
  <c r="V1" s="1"/>
  <c r="F65" i="34"/>
  <c r="F68" s="1"/>
  <c r="AC4" i="135"/>
  <c r="N16" i="37"/>
  <c r="F19"/>
  <c r="J16"/>
  <c r="W22" i="57" l="1"/>
  <c r="W26"/>
  <c r="AC5" i="135"/>
  <c r="AC1" s="1"/>
  <c r="AH4"/>
  <c r="AH6" s="1"/>
  <c r="F29" i="37"/>
  <c r="F31" s="1"/>
  <c r="F32" s="1"/>
  <c r="F67" i="34"/>
  <c r="F27" i="37"/>
  <c r="N19"/>
  <c r="J19"/>
  <c r="Y12" i="57" l="1"/>
  <c r="W24"/>
  <c r="W27" l="1"/>
  <c r="Y22"/>
  <c r="AA12"/>
  <c r="AA22" s="1"/>
  <c r="AA24" s="1"/>
  <c r="AB22" l="1"/>
</calcChain>
</file>

<file path=xl/comments1.xml><?xml version="1.0" encoding="utf-8"?>
<comments xmlns="http://schemas.openxmlformats.org/spreadsheetml/2006/main">
  <authors>
    <author>elena.chumicheva</author>
  </authors>
  <commentList>
    <comment ref="N1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идет с Отчетом разницы</t>
        </r>
      </text>
    </comment>
  </commentList>
</comments>
</file>

<file path=xl/comments2.xml><?xml version="1.0" encoding="utf-8"?>
<comments xmlns="http://schemas.openxmlformats.org/spreadsheetml/2006/main">
  <authors>
    <author>elena.chumicheva</author>
  </authors>
  <commentList>
    <comment ref="O18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переоценка 31.03.2014</t>
        </r>
      </text>
    </comment>
  </commentList>
</comments>
</file>

<file path=xl/comments3.xml><?xml version="1.0" encoding="utf-8"?>
<comments xmlns="http://schemas.openxmlformats.org/spreadsheetml/2006/main">
  <authors>
    <author>elena.chumicheva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Элиминация</t>
        </r>
      </text>
    </commen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элиминация</t>
        </r>
      </text>
    </comment>
  </commentList>
</comments>
</file>

<file path=xl/comments4.xml><?xml version="1.0" encoding="utf-8"?>
<comments xmlns="http://schemas.openxmlformats.org/spreadsheetml/2006/main">
  <authors>
    <author>elena.chumicheva</author>
  </authors>
  <commentList>
    <comment ref="D28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услуги ИФД за продажу акций проспекты и эмиссии</t>
        </r>
      </text>
    </comment>
    <comment ref="C4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разница в ст-ти</t>
        </r>
      </text>
    </comment>
    <comment ref="D4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Биржа</t>
        </r>
      </text>
    </comment>
    <comment ref="D60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перерасчет % по депозиту БТА</t>
        </r>
      </text>
    </comment>
    <comment ref="E6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Бочки</t>
        </r>
      </text>
    </comment>
    <comment ref="E6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стаканчики</t>
        </r>
      </text>
    </comment>
    <comment ref="H7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Энергосбыт при приходе сч.7470 при продаже на сч.6280</t>
        </r>
      </text>
    </comment>
    <comment ref="E8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канистры СО2</t>
        </r>
      </text>
    </comment>
    <comment ref="E8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крышки стаканы  на KFS
СО2</t>
        </r>
      </text>
    </comment>
    <comment ref="E83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Крышечки на Берикап</t>
        </r>
      </text>
    </comment>
    <comment ref="F9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перевыставление АО ЗП, облигации, EBRD 7470/6280</t>
        </r>
      </text>
    </comment>
    <comment ref="D10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Либор списание прочие услуги по отчетам</t>
        </r>
      </text>
    </comment>
    <comment ref="G11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возврат чая поставщику
Оставить в НОД т.к. был возврат некачественного сырья, сделали возвратом чтобы разница села не обесценением а прочими расходами 7470</t>
        </r>
      </text>
    </comment>
    <comment ref="H118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оставить в НОД</t>
        </r>
      </text>
    </comment>
  </commentList>
</comments>
</file>

<file path=xl/comments5.xml><?xml version="1.0" encoding="utf-8"?>
<comments xmlns="http://schemas.openxmlformats.org/spreadsheetml/2006/main">
  <authors>
    <author>elena.chumicheva</author>
    <author>gulnara.sadibekova</author>
  </authors>
  <commentList>
    <comment ref="I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приход сырья для дальнейшей реализации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Уменьшаем СС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Уменьшаем 7110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Уменьшаем 7110</t>
        </r>
      </text>
    </comment>
    <comment ref="A63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приход ГП по инвентам</t>
        </r>
      </text>
    </comment>
    <comment ref="G7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60 млн транспортные на Кыргыстан-элиминируются</t>
        </r>
      </text>
    </comment>
    <comment ref="F7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бочки</t>
        </r>
      </text>
    </comment>
    <comment ref="K7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КАЗНЕКС</t>
        </r>
      </text>
    </comment>
    <comment ref="F77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аренда офиса-элиминируется</t>
        </r>
      </text>
    </comment>
    <comment ref="E7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услуги по каточным счетам
По претензии БТА заплатили в ТОО и перевыставлили на Ресми с 7470 на 6280</t>
        </r>
      </text>
    </comment>
    <comment ref="L8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претензии складам и транспортным компаниям. По сопровождению груза против списания ГП на 7110</t>
        </r>
      </text>
    </comment>
    <comment ref="I8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приход по инвентам канистры. Бочки. Картон для дальнейшей реализации</t>
        </r>
      </text>
    </comment>
    <comment ref="I83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возврат ГП от рекламного агенства. Ранее списано по акции</t>
        </r>
      </text>
    </comment>
    <comment ref="I8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целофан. ЗЧ. с СО2 
</t>
        </r>
      </text>
    </comment>
    <comment ref="L8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страховые возмещения</t>
        </r>
      </text>
    </comment>
    <comment ref="L90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образцы: холодильники. Соки. прочее </t>
        </r>
      </text>
    </comment>
    <comment ref="L9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удержания из ЗП, по ГП и сырью по недостачам</t>
        </r>
      </text>
    </comment>
    <comment ref="L9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Акт сверки с таможней, ранее в СС сырья. ГП, теперь списание зад-ти </t>
        </r>
      </text>
    </comment>
    <comment ref="L9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списание КЗ по МОЛ входит в прочее списание (Хвосты Юника)</t>
        </r>
      </text>
    </comment>
    <comment ref="E106" authorId="1">
      <text>
        <r>
          <rPr>
            <b/>
            <sz val="8"/>
            <color indexed="81"/>
            <rFont val="Tahoma"/>
            <family val="2"/>
            <charset val="204"/>
          </rPr>
          <t>gulnara.sadibekova:</t>
        </r>
        <r>
          <rPr>
            <sz val="8"/>
            <color indexed="81"/>
            <rFont val="Tahoma"/>
            <family val="2"/>
            <charset val="204"/>
          </rPr>
          <t xml:space="preserve">
elena.chumicheva:
списание зад-тей по ЗП</t>
        </r>
      </text>
    </comment>
    <comment ref="L117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возмещение страходой премии в АО</t>
        </r>
      </text>
    </comment>
    <comment ref="D13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Интернет на Ресми</t>
        </r>
      </text>
    </comment>
    <comment ref="A14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приход прочих материалов(канистры, гофролист, дрова, целофан, бочки и т.д.</t>
        </r>
      </text>
    </comment>
    <comment ref="L15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страховые возмещения против расходов на 7210</t>
        </r>
      </text>
    </comment>
    <comment ref="H15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ранее списали ГП теперь приходуем  против ранее признанного убытка в 7110
</t>
        </r>
      </text>
    </comment>
    <comment ref="L15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претензии возмещаемые против недостач на 7110</t>
        </r>
      </text>
    </comment>
    <comment ref="L157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списали КЗ Ванриз против недостачи(реализации по экспорту чая) на 7470</t>
        </r>
      </text>
    </comment>
  </commentList>
</comments>
</file>

<file path=xl/comments6.xml><?xml version="1.0" encoding="utf-8"?>
<comments xmlns="http://schemas.openxmlformats.org/spreadsheetml/2006/main">
  <authors>
    <author>elena.chumicheva</author>
    <author>gulnara.sadibekova</author>
    <author>svetlana.legotkina</author>
    <author>olga.poznyakova</author>
  </authors>
  <commentLis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elena.chumicheva
</t>
        </r>
        <r>
          <rPr>
            <sz val="8"/>
            <color indexed="81"/>
            <rFont val="Tahoma"/>
            <family val="2"/>
            <charset val="204"/>
          </rPr>
          <t>Юник как покупатель у ТОО</t>
        </r>
      </text>
    </comment>
    <comment ref="D2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элиминация на дивиденды по префам в ТОО и Юнике</t>
        </r>
      </text>
    </comment>
    <comment ref="D2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перебить на 3320</t>
        </r>
      </text>
    </comment>
    <comment ref="B5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купон по облигациям 6 вып.</t>
        </r>
      </text>
    </comment>
    <comment ref="B57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корректируется доход в ТОО и Юнике т.к. в АО обязат. по % облигаций</t>
        </r>
      </text>
    </comment>
    <comment ref="B6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по облигациям</t>
        </r>
      </text>
    </comment>
    <comment ref="B12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зачет по НДС</t>
        </r>
      </text>
    </comment>
    <comment ref="C13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Земля Райимбека+ДНН</t>
        </r>
      </text>
    </comment>
    <comment ref="C140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по доп.№1 Тиленд в ОС на 31.03.2014
по решения Алибека У. Райымбека остается в АдП</t>
        </r>
      </text>
    </comment>
    <comment ref="D147" authorId="1">
      <text>
        <r>
          <rPr>
            <b/>
            <sz val="8"/>
            <color indexed="81"/>
            <rFont val="Tahoma"/>
            <family val="2"/>
            <charset val="204"/>
          </rPr>
          <t>gulnara.sadibekova:</t>
        </r>
        <r>
          <rPr>
            <sz val="8"/>
            <color indexed="81"/>
            <rFont val="Tahoma"/>
            <family val="2"/>
            <charset val="204"/>
          </rPr>
          <t xml:space="preserve">
с плюсом, т.к. в ОСВ 7210 с минусом</t>
        </r>
      </text>
    </comment>
    <comment ref="D15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корректировка переоценки ОС в СК д.б. =0</t>
        </r>
      </text>
    </comment>
    <comment ref="D153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в Уставном фонде
987 изменение  по 9 месяцам</t>
        </r>
      </text>
    </comment>
    <comment ref="D154" authorId="2">
      <text>
        <r>
          <rPr>
            <b/>
            <sz val="8"/>
            <color indexed="81"/>
            <rFont val="Tahoma"/>
            <family val="2"/>
            <charset val="204"/>
          </rPr>
          <t>svetlana.legotkina:</t>
        </r>
        <r>
          <rPr>
            <sz val="8"/>
            <color indexed="81"/>
            <rFont val="Tahoma"/>
            <family val="2"/>
            <charset val="204"/>
          </rPr>
          <t xml:space="preserve">
резерв КР Бишкек 2015 г.</t>
        </r>
      </text>
    </comment>
    <comment ref="D15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Увеличение переносимого убытка Бишкека из-за пересчета по курсу после девольвации (в сомах убыток 168млн. Fix)</t>
        </r>
      </text>
    </comment>
    <comment ref="D15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сторно Отсроченного Кыргыстана на сч.2810</t>
        </r>
      </text>
    </comment>
    <comment ref="C17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начисленные дивиденды в ТОО и Юнике корректируются с обязательствами по префам  вАО</t>
        </r>
      </text>
    </comment>
    <comment ref="D17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сторнируем начисление дивидендов в АО т.к. НЕТ начисления в ТОО</t>
        </r>
      </text>
    </comment>
    <comment ref="C17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сторнируем начисление дивидендов в АО т.к. НЕТ начисления в ТОО</t>
        </r>
      </text>
    </comment>
    <comment ref="B18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предварительно</t>
        </r>
      </text>
    </comment>
    <comment ref="C198" authorId="3">
      <text>
        <r>
          <rPr>
            <b/>
            <sz val="9"/>
            <color indexed="81"/>
            <rFont val="Tahoma"/>
            <family val="2"/>
            <charset val="204"/>
          </rPr>
          <t>olga.poznyakova:</t>
        </r>
        <r>
          <rPr>
            <sz val="9"/>
            <color indexed="81"/>
            <rFont val="Tahoma"/>
            <family val="2"/>
            <charset val="204"/>
          </rPr>
          <t xml:space="preserve">
расходы Бишкека март</t>
        </r>
      </text>
    </comment>
    <comment ref="C199" authorId="3">
      <text>
        <r>
          <rPr>
            <b/>
            <sz val="9"/>
            <color indexed="81"/>
            <rFont val="Tahoma"/>
            <family val="2"/>
            <charset val="204"/>
          </rPr>
          <t>olga.poznyakova:</t>
        </r>
        <r>
          <rPr>
            <sz val="9"/>
            <color indexed="81"/>
            <rFont val="Tahoma"/>
            <family val="2"/>
            <charset val="204"/>
          </rPr>
          <t xml:space="preserve">
тикеты от ИФД</t>
        </r>
      </text>
    </comment>
    <comment ref="A20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не будем отражать в учете, через корректировку</t>
        </r>
      </text>
    </comment>
    <comment ref="B20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подушка- доступна к использованию</t>
        </r>
      </text>
    </comment>
    <comment ref="B21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Аудиторы настаивают НЕ Торговую ДЗ перевести в Прочую</t>
        </r>
      </text>
    </comment>
    <comment ref="B220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т.к. за оборудование в долгосрочку</t>
        </r>
      </text>
    </comment>
    <comment ref="B222" authorId="1">
      <text>
        <r>
          <rPr>
            <b/>
            <sz val="8"/>
            <color indexed="81"/>
            <rFont val="Tahoma"/>
            <family val="2"/>
            <charset val="204"/>
          </rPr>
          <t>gulnara.sadibekova:</t>
        </r>
        <r>
          <rPr>
            <sz val="8"/>
            <color indexed="81"/>
            <rFont val="Tahoma"/>
            <family val="2"/>
            <charset val="204"/>
          </rPr>
          <t xml:space="preserve">
в базе перенесен в долгосрочную</t>
        </r>
      </text>
    </comment>
  </commentList>
</comments>
</file>

<file path=xl/comments7.xml><?xml version="1.0" encoding="utf-8"?>
<comments xmlns="http://schemas.openxmlformats.org/spreadsheetml/2006/main">
  <authors>
    <author>elena.chumicheva</author>
  </authors>
  <commentList>
    <comment ref="E1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суммы маркетинговых расходов Бишкека возмещаются ТОО, поэтому расходы элиминируем(доход Бишкека против расхода ТОО)</t>
        </r>
      </text>
    </comment>
    <comment ref="E2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кредит-ноты, услуги по раздаче рекл материала, купленного у ТОО (маркетинговые)</t>
        </r>
      </text>
    </comment>
    <comment ref="F23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аренда помещения</t>
        </r>
      </text>
    </comment>
    <comment ref="E3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КН октябрь-декбрь Бишкек+ маркетинг</t>
        </r>
      </text>
    </comment>
  </commentList>
</comments>
</file>

<file path=xl/comments8.xml><?xml version="1.0" encoding="utf-8"?>
<comments xmlns="http://schemas.openxmlformats.org/spreadsheetml/2006/main">
  <authors>
    <author>elena.chumicheva</author>
    <author>olga.poznyakova</author>
  </authors>
  <commentList>
    <comment ref="B6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номинал 1тг. Корректируется на дисконт и премию</t>
        </r>
      </text>
    </comment>
    <comment ref="A6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реальная ст-ть инвестиций</t>
        </r>
      </text>
    </comment>
    <comment ref="D67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по году 26,5 млн.тг.</t>
        </r>
      </text>
    </comment>
    <comment ref="A68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разница между доходом и расходом по переоценке</t>
        </r>
      </text>
    </comment>
    <comment ref="C72" authorId="1">
      <text>
        <r>
          <rPr>
            <b/>
            <sz val="9"/>
            <color indexed="81"/>
            <rFont val="Tahoma"/>
            <family val="2"/>
            <charset val="204"/>
          </rPr>
          <t>olga.poznyakova:</t>
        </r>
        <r>
          <rPr>
            <sz val="9"/>
            <color indexed="81"/>
            <rFont val="Tahoma"/>
            <family val="2"/>
            <charset val="204"/>
          </rPr>
          <t xml:space="preserve">
разница в 6100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1270
</t>
        </r>
      </text>
    </comment>
    <comment ref="C8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1280</t>
        </r>
      </text>
    </comment>
  </commentList>
</comments>
</file>

<file path=xl/sharedStrings.xml><?xml version="1.0" encoding="utf-8"?>
<sst xmlns="http://schemas.openxmlformats.org/spreadsheetml/2006/main" count="2437" uniqueCount="1234">
  <si>
    <t>Приобретение ОС</t>
  </si>
  <si>
    <t>Дополнительно оплаченный капитал</t>
  </si>
  <si>
    <t xml:space="preserve">Элиминация </t>
  </si>
  <si>
    <t xml:space="preserve">   Кредит-Нот </t>
  </si>
  <si>
    <t xml:space="preserve"> ТОО "RGBrands Казахстан", UniCommerce Ltd, </t>
  </si>
  <si>
    <t xml:space="preserve"> UniCommerce Ltd, </t>
  </si>
  <si>
    <t>7330 Расход от переоценки ЦБ</t>
  </si>
  <si>
    <t>6110.03 Доход по вторичному выкупу облигаций  RG Br ТОО</t>
  </si>
  <si>
    <t>Рекласс активов в активы для реализации</t>
  </si>
  <si>
    <t>1520 Активы для продажи</t>
  </si>
  <si>
    <t>1210.01</t>
  </si>
  <si>
    <t>2210.01</t>
  </si>
  <si>
    <t>3310.02</t>
  </si>
  <si>
    <t>3310.03</t>
  </si>
  <si>
    <t>1270.26</t>
  </si>
  <si>
    <t>ДБП 3520</t>
  </si>
  <si>
    <t>Корпоративный подоходный налог</t>
  </si>
  <si>
    <t>С/с</t>
  </si>
  <si>
    <t>7110</t>
  </si>
  <si>
    <t>Расходы по реал</t>
  </si>
  <si>
    <t>7200</t>
  </si>
  <si>
    <t>Адм расх</t>
  </si>
  <si>
    <t>7311</t>
  </si>
  <si>
    <t xml:space="preserve">% по кредиту </t>
  </si>
  <si>
    <t>Торговые дебиторы</t>
  </si>
  <si>
    <t>Виды субконто: Контрагенты</t>
  </si>
  <si>
    <t>Доход от реализ.гот.продукции (работ, услуг)</t>
  </si>
  <si>
    <t>Краткоср вознагр к выплате прочие</t>
  </si>
  <si>
    <t>Краткоср кредит задолж дочерним организациям</t>
  </si>
  <si>
    <t>Расчеты с кредиторами по ЦБ</t>
  </si>
  <si>
    <t>Долгосрочная доходы будущих периодов</t>
  </si>
  <si>
    <t>Краткоср деб задолж по аренде</t>
  </si>
  <si>
    <t>% по фин аренде</t>
  </si>
  <si>
    <t>7333</t>
  </si>
  <si>
    <t>Не реал расх ст ЦБ</t>
  </si>
  <si>
    <t>7410</t>
  </si>
  <si>
    <t>расход по выб актив</t>
  </si>
  <si>
    <t>7411</t>
  </si>
  <si>
    <t>Расход по ОС</t>
  </si>
  <si>
    <t>7412</t>
  </si>
  <si>
    <t>Расход по НМА</t>
  </si>
  <si>
    <t>7413</t>
  </si>
  <si>
    <t>Доходы будущих периодов</t>
  </si>
  <si>
    <t>Прочая краткоср дебиторская задолженность</t>
  </si>
  <si>
    <t>Долгоср дебиторская задолж по вознаграждению</t>
  </si>
  <si>
    <t>Долгосроч доходы будущих</t>
  </si>
  <si>
    <t>Задолженность поставщикам и подрядчикам</t>
  </si>
  <si>
    <t>Краткоср деб задолж дочерних организаций</t>
  </si>
  <si>
    <t>Виды субконто: Ценные бумаги</t>
  </si>
  <si>
    <t>Выводимые данные: сумма, количество</t>
  </si>
  <si>
    <t>Купонные облигации четвертого выпуска АО "RG Brands"</t>
  </si>
  <si>
    <t>Вознаграждение по купону</t>
  </si>
  <si>
    <t>прочие доходы UC</t>
  </si>
  <si>
    <t>расходы по вознаграждению RGB</t>
  </si>
  <si>
    <t>Проценты к оплате RGB</t>
  </si>
  <si>
    <t>AO RG Brands (HO)</t>
  </si>
  <si>
    <t>6010</t>
  </si>
  <si>
    <t>Реализация материала (6280)</t>
  </si>
  <si>
    <t>Корректировка ДЗ, КЗ внутри группы (элиминация)</t>
  </si>
  <si>
    <t>Корректировки по облигациям (элиминация)</t>
  </si>
  <si>
    <t>Корректировка % по облигациям, прочие активы(элиминация)</t>
  </si>
  <si>
    <t>Корректировка дохода/расхода % по облигациям(элиминация)</t>
  </si>
  <si>
    <t>Корректировка продаж (элиминация)</t>
  </si>
  <si>
    <t>Корректировка прочего дохода(элиминация)</t>
  </si>
  <si>
    <t>Резерв переоценки инвестиций</t>
  </si>
  <si>
    <t>Отбор: Ценные бумаги в списке  Купонные облигации четвертого выпуска АО "RG Brands"; купонные облигации пятого выпуска RG Brands АО RGBRb5; Купонные облигации шестого выпуска АО RG Brands</t>
  </si>
  <si>
    <t xml:space="preserve"> </t>
  </si>
  <si>
    <t>Отбор: Ценные бумаги в списке Купонные облигации RG Brands  RGBRb3-1; Купонные облигации четвертого выпуска АО "RG Brands"; купонные облигации пятого выпуска RG Brands АО RGBRb5; Купонные облигации шестого выпуска АО RG Brands</t>
  </si>
  <si>
    <t>купонные облигации пятого выпуска RG Brands АО RGBRb5</t>
  </si>
  <si>
    <t>Купонные облигации шестого выпуска АО RG Brands</t>
  </si>
  <si>
    <t>Детализация по  субконто: Ценные бумаги</t>
  </si>
  <si>
    <t>Итого</t>
  </si>
  <si>
    <t>Типовой</t>
  </si>
  <si>
    <t>1122.01</t>
  </si>
  <si>
    <t>KZT</t>
  </si>
  <si>
    <t>Элиминация ФИ</t>
  </si>
  <si>
    <t>Корректировка Дисконт премии</t>
  </si>
  <si>
    <t>6113 Доход по ЦБ</t>
  </si>
  <si>
    <t>7314 Расход по ЦБ</t>
  </si>
  <si>
    <t>7413 Расход по ЦБ</t>
  </si>
  <si>
    <t>Корректировка дохода/расхода по дисконту премии (элиминация)</t>
  </si>
  <si>
    <t>Реализ услуг</t>
  </si>
  <si>
    <t>7010</t>
  </si>
  <si>
    <t>Отбор: Ценные бумаги в иерархии Корпорации</t>
  </si>
  <si>
    <t>1122.02</t>
  </si>
  <si>
    <t>1122.04</t>
  </si>
  <si>
    <t>1122.05</t>
  </si>
  <si>
    <t>1122.03</t>
  </si>
  <si>
    <t>Анализ счета 1122.02</t>
  </si>
  <si>
    <t>Детализация по  субсчетам, субконто: Ценные бумаги, кор.субсчетам и субконто</t>
  </si>
  <si>
    <t>Отсроченный налог связанный с переоценкой</t>
  </si>
  <si>
    <t>Итого АКТИВЫ/ПАССИВЫ</t>
  </si>
  <si>
    <t>Анализ субконто</t>
  </si>
  <si>
    <t>Краткосрочная задолженность по аренде</t>
  </si>
  <si>
    <t>Краткоср вознагр к выплате по договорам лизинга</t>
  </si>
  <si>
    <t>Долгосрочная деб задолж дочерних</t>
  </si>
  <si>
    <t>Кол-во:</t>
  </si>
  <si>
    <t>Итого количество:</t>
  </si>
  <si>
    <t>3100</t>
  </si>
  <si>
    <t>Контрагенты:Космис Филиал ТОО RGBrands Казахстан г.Кустанай</t>
  </si>
  <si>
    <t>Кредиторская задолженность</t>
  </si>
  <si>
    <t>Прочая кредиторская задолженность и начисленные обязательства</t>
  </si>
  <si>
    <t>Облигационные займы</t>
  </si>
  <si>
    <t>6210</t>
  </si>
  <si>
    <t>Доход от выб актива</t>
  </si>
  <si>
    <t>6211</t>
  </si>
  <si>
    <t>Доход от ОС</t>
  </si>
  <si>
    <t>6212</t>
  </si>
  <si>
    <t>3100.3110</t>
  </si>
  <si>
    <t>Счета к оплате за товары и услуги</t>
  </si>
  <si>
    <t>Прочая краткоср кредиторская задолженность</t>
  </si>
  <si>
    <t>Долгосрочная кредиторская задолженность</t>
  </si>
  <si>
    <r>
      <t>Резерв по вознаграждению работников в форме акций</t>
    </r>
    <r>
      <rPr>
        <b/>
        <sz val="9"/>
        <rFont val="Times New Roman"/>
        <family val="1"/>
        <charset val="204"/>
      </rPr>
      <t xml:space="preserve"> </t>
    </r>
  </si>
  <si>
    <t>Относящийся к акционерам материнской компании</t>
  </si>
  <si>
    <t>минус сальдо</t>
  </si>
  <si>
    <t>Реализ материала</t>
  </si>
  <si>
    <t>Доход от НМА</t>
  </si>
  <si>
    <t>6213</t>
  </si>
  <si>
    <t>Доход от фин инвест</t>
  </si>
  <si>
    <t>6250</t>
  </si>
  <si>
    <t>Авансы полученные</t>
  </si>
  <si>
    <t xml:space="preserve">Uni Commerce LTD </t>
  </si>
  <si>
    <t>Прочие материалы</t>
  </si>
  <si>
    <t>Выводимые данные: сумма</t>
  </si>
  <si>
    <t>Счет</t>
  </si>
  <si>
    <t>Резерв курсовых разниц</t>
  </si>
  <si>
    <t>Нераспределенный доход (убыток) предыдущих лет</t>
  </si>
  <si>
    <t/>
  </si>
  <si>
    <t xml:space="preserve">   Возмещение расходов </t>
  </si>
  <si>
    <t>Доход от опер аренды 6260</t>
  </si>
  <si>
    <t>Name</t>
  </si>
  <si>
    <t>Debit</t>
  </si>
  <si>
    <t>Credit</t>
  </si>
  <si>
    <t>CHECK</t>
  </si>
  <si>
    <t>Доход от реализации</t>
  </si>
  <si>
    <t>6020</t>
  </si>
  <si>
    <t>Возврат</t>
  </si>
  <si>
    <t>6113</t>
  </si>
  <si>
    <t>доход по ЦБ</t>
  </si>
  <si>
    <t>6114</t>
  </si>
  <si>
    <t>доход по РЕПО</t>
  </si>
  <si>
    <t>6115</t>
  </si>
  <si>
    <t>доход от прочих вознаг</t>
  </si>
  <si>
    <t>6130</t>
  </si>
  <si>
    <t>Доход от фин.аренды</t>
  </si>
  <si>
    <t>6152</t>
  </si>
  <si>
    <t>Расходы будущих периодов</t>
  </si>
  <si>
    <t>ДБП 4420</t>
  </si>
  <si>
    <t>Кор.счет</t>
  </si>
  <si>
    <t>С кред. счетов</t>
  </si>
  <si>
    <t>В дебет счетов</t>
  </si>
  <si>
    <t>Нач.сальдо</t>
  </si>
  <si>
    <t>Оборот</t>
  </si>
  <si>
    <t>Кон.сальдо</t>
  </si>
  <si>
    <t>Сальдо на начало периода</t>
  </si>
  <si>
    <t>Обороты за период</t>
  </si>
  <si>
    <t>Сальдо на конец периода</t>
  </si>
  <si>
    <t>4420 Доходы будущих периодов</t>
  </si>
  <si>
    <t>Прочие</t>
  </si>
  <si>
    <t>Доход по приобретеннымЦБ</t>
  </si>
  <si>
    <t>Прочие текущие активы</t>
  </si>
  <si>
    <t>ИТОГО</t>
  </si>
  <si>
    <t>Авансы выданные</t>
  </si>
  <si>
    <t>Себест. Реализованных товаров, услуг</t>
  </si>
  <si>
    <t xml:space="preserve">1) Реализация ОС внутри группы </t>
  </si>
  <si>
    <t>Себестоимость реализованного материала (7470)</t>
  </si>
  <si>
    <t>Стоимость услуг для перевыставления (7470)</t>
  </si>
  <si>
    <t>Зачет по Дебиторке Кредиторке по всей Группе.</t>
  </si>
  <si>
    <t>Total</t>
  </si>
  <si>
    <t>Доход от курсовой</t>
  </si>
  <si>
    <t>6260</t>
  </si>
  <si>
    <t>Итого:</t>
  </si>
  <si>
    <t>Расходы по реализации ОС</t>
  </si>
  <si>
    <t xml:space="preserve">RGBrands </t>
  </si>
  <si>
    <t>Оборотно-сальдовая ведомость по счету 4420</t>
  </si>
  <si>
    <t>Не реал доход по ЦБ</t>
  </si>
  <si>
    <t>6153</t>
  </si>
  <si>
    <t>Прочие от изм ст ЦБ</t>
  </si>
  <si>
    <t>Доход по вознаграждение</t>
  </si>
  <si>
    <t>Себестоимость реализованной готовой продукции</t>
  </si>
  <si>
    <t>В стоимость готовой продукции</t>
  </si>
  <si>
    <t>Деньги в пути (Оплата Бишкека на UniC)</t>
  </si>
  <si>
    <t>Денежные средства</t>
  </si>
  <si>
    <t>Депозиты</t>
  </si>
  <si>
    <t>Прочие от неосновной (7470)</t>
  </si>
  <si>
    <t>(в тысячах тенге)</t>
  </si>
  <si>
    <t>Доход от фин. Аренды ( вознаграждение)</t>
  </si>
  <si>
    <t>Расход по % по фин. Аренде</t>
  </si>
  <si>
    <t>Субконто</t>
  </si>
  <si>
    <t>Дебет</t>
  </si>
  <si>
    <t>Кредит</t>
  </si>
  <si>
    <t>RG Brands Алматы</t>
  </si>
  <si>
    <t>Пр. текущие активы UС</t>
  </si>
  <si>
    <t>Выводимые данные: сумма, валютная сумма, количество</t>
  </si>
  <si>
    <t>Анализ счета 1122.03</t>
  </si>
  <si>
    <t>ИТОГО дебиторская</t>
  </si>
  <si>
    <t>Итого кредиторская</t>
  </si>
  <si>
    <t>СДП</t>
  </si>
  <si>
    <t>Расход по выб фин.инвест</t>
  </si>
  <si>
    <t>7430</t>
  </si>
  <si>
    <t>Расход по курсовой разнице</t>
  </si>
  <si>
    <t>7440</t>
  </si>
  <si>
    <t>Резерв по безнад долгам</t>
  </si>
  <si>
    <t>7470</t>
  </si>
  <si>
    <t>Прочие расходы</t>
  </si>
  <si>
    <t>Доход от выбытия НМА</t>
  </si>
  <si>
    <t>Расход по реализации НМА</t>
  </si>
  <si>
    <t xml:space="preserve">3) Прочая реализация внутри группы </t>
  </si>
  <si>
    <t>2) Прочая доходы</t>
  </si>
  <si>
    <t>7312</t>
  </si>
  <si>
    <t>% по облиг</t>
  </si>
  <si>
    <t>7313</t>
  </si>
  <si>
    <t>%аккредитивы</t>
  </si>
  <si>
    <t>7314</t>
  </si>
  <si>
    <t>% по ЦБ</t>
  </si>
  <si>
    <t>7320</t>
  </si>
  <si>
    <t>Доход от операцион</t>
  </si>
  <si>
    <t>6280</t>
  </si>
  <si>
    <t>Прочие доходы</t>
  </si>
  <si>
    <t>Текущая часть обязательств по финансовой аренде</t>
  </si>
  <si>
    <t>1622 Расходы буд периодов</t>
  </si>
  <si>
    <t>4030 Долгоср задолж по облигационным займам</t>
  </si>
  <si>
    <t>Прибыль от инвестиций, имеющихся в наличии для продажи</t>
  </si>
  <si>
    <t>Активы по отсроченному подоходному налогу</t>
  </si>
  <si>
    <t>Задолженность по облигациям</t>
  </si>
  <si>
    <t>Текущая часть обязательств по облигациям</t>
  </si>
  <si>
    <t>Оборотно-сальдовая ведомость по счету 3520</t>
  </si>
  <si>
    <t xml:space="preserve">Корректировки по учету </t>
  </si>
  <si>
    <t>3383 Проценты к уплате</t>
  </si>
  <si>
    <t>1270 Начисленные доходы в виде вознаграждения по операц</t>
  </si>
  <si>
    <t>7312 Расходы по процентам</t>
  </si>
  <si>
    <t>7333 Нереализованный расход по переоценке</t>
  </si>
  <si>
    <t>RG Brands Kazakhstan ТОО</t>
  </si>
  <si>
    <t>Обязательства по финансовой аренде</t>
  </si>
  <si>
    <t>Долгосрочные займы</t>
  </si>
  <si>
    <t>Доход будущих периодов</t>
  </si>
  <si>
    <t>RG Brands Kazakhstan ТОРГОВЛЯ</t>
  </si>
  <si>
    <t>Доходы, связанные с получением вознаграждения по ЦБ</t>
  </si>
  <si>
    <t>Доход от реализации ОС</t>
  </si>
  <si>
    <t>4) Расходы по реализации (7110)</t>
  </si>
  <si>
    <t>5) Общие Адм расходы (7210)</t>
  </si>
  <si>
    <t>Корректировка  по ЦБ</t>
  </si>
  <si>
    <t>Обязательства и требования по купону</t>
  </si>
  <si>
    <t>Краткосрочные вознаграждения к получению</t>
  </si>
  <si>
    <t>РБП 1622</t>
  </si>
  <si>
    <t>РБП 2920</t>
  </si>
  <si>
    <t>6150.03</t>
  </si>
  <si>
    <t>7310.01</t>
  </si>
  <si>
    <t>7470.10</t>
  </si>
  <si>
    <t>7470.09</t>
  </si>
  <si>
    <t>1280.10</t>
  </si>
  <si>
    <t>1620.03</t>
  </si>
  <si>
    <t>1620.04</t>
  </si>
  <si>
    <t>1310.12</t>
  </si>
  <si>
    <t>1310.13</t>
  </si>
  <si>
    <t>1330.31</t>
  </si>
  <si>
    <t>1350.51</t>
  </si>
  <si>
    <t>1350.54</t>
  </si>
  <si>
    <t>2410.05</t>
  </si>
  <si>
    <t>3380.26</t>
  </si>
  <si>
    <t>3510.03</t>
  </si>
  <si>
    <t>3390.11</t>
  </si>
  <si>
    <t>3390.07</t>
  </si>
  <si>
    <t>3390.09</t>
  </si>
  <si>
    <t>3540.01</t>
  </si>
  <si>
    <t>3380.25</t>
  </si>
  <si>
    <t>3380.01</t>
  </si>
  <si>
    <t>3380.27</t>
  </si>
  <si>
    <t>3130.01</t>
  </si>
  <si>
    <t>3040.02</t>
  </si>
  <si>
    <t>Оборотно-сальдовая ведомость по счету 2920</t>
  </si>
  <si>
    <t>2920 расходы будущих периодов</t>
  </si>
  <si>
    <t>3520 Доходы будущих периодов</t>
  </si>
  <si>
    <t>1280.13</t>
  </si>
  <si>
    <t>ОС Здание Гринфилд</t>
  </si>
  <si>
    <t>ЕБИТ</t>
  </si>
  <si>
    <t>ЕБИТДА</t>
  </si>
  <si>
    <t>Прибыль от инвестиций, имеющихся в наличиии для продажи</t>
  </si>
  <si>
    <t>ОПЕРАЦИОННАЯ ДЕЯТЕЛЬНОСТЬ:</t>
  </si>
  <si>
    <t>Возмещение расходов по реализации методом зачета</t>
  </si>
  <si>
    <t>Убыток от списания товарно-материальных активов</t>
  </si>
  <si>
    <t xml:space="preserve">(Востановление)/начисление резерва по труднореализуемым и устаревшим запасам </t>
  </si>
  <si>
    <t>Амортизацию доходов будущих периодов</t>
  </si>
  <si>
    <t>Резерв по отпускам и прочие оценочные расходы</t>
  </si>
  <si>
    <t>(Востановление)/начисление резерва по сомнительным долгам</t>
  </si>
  <si>
    <t>ФИНАНСОВАЯ ДЕЯТЕЛЬНОСТЬ:</t>
  </si>
  <si>
    <t xml:space="preserve">Погашение заемных средств </t>
  </si>
  <si>
    <t>ЧИСТОЕ УВЕЛИЧЕНИЕ ДЕНЕЖНЫХ СРЕДСТВ И ИХ ЭКВИВАЛЕНТОВ</t>
  </si>
  <si>
    <t>Долгосрочная задол-ть дочерних</t>
  </si>
  <si>
    <t>6110.03 Амортизация дисконта</t>
  </si>
  <si>
    <t>7310.01 Вознагр по ЦБ (дисконт/премия перевыст на ТОО)</t>
  </si>
  <si>
    <t>Рекласс статей затрат</t>
  </si>
  <si>
    <t>Себестоимость ГП</t>
  </si>
  <si>
    <t>7210 Отклонение от стандартной себестоимости</t>
  </si>
  <si>
    <t>Рекласс резерва в СК</t>
  </si>
  <si>
    <t>5420 Реезерв по переоценке</t>
  </si>
  <si>
    <t>Нераспределенная прибыль прошлого года</t>
  </si>
  <si>
    <t>Актив по отсроченному (курсовая Бишкек)</t>
  </si>
  <si>
    <t>Обязательство по отсроченному</t>
  </si>
  <si>
    <t>Резерв по курсовой</t>
  </si>
  <si>
    <t>RG Brands Tashkent ООО</t>
  </si>
  <si>
    <t>Брандс Кыргыстан</t>
  </si>
  <si>
    <t>Облигационный займ (АО)</t>
  </si>
  <si>
    <t>Финансовые инвестиции (дочках)</t>
  </si>
  <si>
    <t>Пр. текущие активы UС Центральный депозит</t>
  </si>
  <si>
    <t>Анализ счета 1270.01</t>
  </si>
  <si>
    <t>Дисконт</t>
  </si>
  <si>
    <t>Премия</t>
  </si>
  <si>
    <t>минус доход</t>
  </si>
  <si>
    <t>%</t>
  </si>
  <si>
    <t>Дивиденды</t>
  </si>
  <si>
    <t>Уставный (курсовая дочек)</t>
  </si>
  <si>
    <t>Приме- чание</t>
  </si>
  <si>
    <t>6,7,8</t>
  </si>
  <si>
    <t>(Востановление)/начисление резерва по обесценению авансов выданных</t>
  </si>
  <si>
    <t>7, 30</t>
  </si>
  <si>
    <t xml:space="preserve">  1. ОПЕРАЦИОННАЯ ДЕЯТЕЛЬНОСТЬ:</t>
  </si>
  <si>
    <t xml:space="preserve">  1/1.Поступление денежных средств</t>
  </si>
  <si>
    <t>Доход(выручка) от реализации</t>
  </si>
  <si>
    <t>Прочие поступления</t>
  </si>
  <si>
    <t xml:space="preserve">  1/2.Выбытие Денежных средств</t>
  </si>
  <si>
    <t>Расчеты с поставщиками</t>
  </si>
  <si>
    <t>Расчеты по заработной плате</t>
  </si>
  <si>
    <t>В накопительные ПФ</t>
  </si>
  <si>
    <t>Выплаты в бюджет</t>
  </si>
  <si>
    <t>Вознаграждения по займам</t>
  </si>
  <si>
    <t>Прочие выплаты</t>
  </si>
  <si>
    <t>Чистые денежные средства, полученные от операционной деятельности</t>
  </si>
  <si>
    <t>2. ИНВЕСТИЦИОННАЯ   ДЕЯТЕЛЬНОСТЬ:</t>
  </si>
  <si>
    <t xml:space="preserve">  2/1.Поступление денежных средств</t>
  </si>
  <si>
    <t>От реализации основных средств</t>
  </si>
  <si>
    <t>От  реализации НМА</t>
  </si>
  <si>
    <t xml:space="preserve">  2/2.Выбытие денежных средств</t>
  </si>
  <si>
    <t>Чистые денежные средства, использованные в инвестиционной деятельности</t>
  </si>
  <si>
    <t xml:space="preserve">  3. ФИНАНСОВАЯ ДЕЯТЕЛЬНОСТЬ:</t>
  </si>
  <si>
    <t xml:space="preserve">  3/1.Поступление денежных средств</t>
  </si>
  <si>
    <t>Выпуск акций и других ценных бумаг</t>
  </si>
  <si>
    <t>Получение банковских кредитов</t>
  </si>
  <si>
    <t xml:space="preserve">  3/2.Выбытие денежных средств</t>
  </si>
  <si>
    <t>Погашение банковских кредитов</t>
  </si>
  <si>
    <t>Выплата дивидендов</t>
  </si>
  <si>
    <t>Чистые денежные средства, полученные от финансовой деятельности</t>
  </si>
  <si>
    <t>ДЕНЕЖНЫЕ СРЕДСТВА И ИХ ЭКВИВАЛЕНТЫ, начало периода</t>
  </si>
  <si>
    <t>ДЕНЕЖНЫЕ СРЕДСТВА И ИХ ЭКВИВАЛЕНТЫ, конец периода</t>
  </si>
  <si>
    <t>6100 Корректировка стоимость облиг займа</t>
  </si>
  <si>
    <t>1280 Прочая Дт зад-ть</t>
  </si>
  <si>
    <t>3040 текущая часть облиг займа</t>
  </si>
  <si>
    <t>Прочие финансовые  обязательства</t>
  </si>
  <si>
    <t>Эффект выбытия активов имеющихся в наличии для продажи за год</t>
  </si>
  <si>
    <t>Текущая часть прочих финансовых обязательств</t>
  </si>
  <si>
    <t>Поступление от выбытия основных средств, нематериальных активов и активов, классифицируемых как удерживаемые для продажи</t>
  </si>
  <si>
    <t xml:space="preserve">RG Brands </t>
  </si>
  <si>
    <t xml:space="preserve">RG Brands Kazakhstan </t>
  </si>
  <si>
    <t>Корректировка по преф акциям внутри группы</t>
  </si>
  <si>
    <t>5010 Преф акции</t>
  </si>
  <si>
    <t>ЭМИССИОННЫЙ УБЫТОК</t>
  </si>
  <si>
    <t>Поступление от выпуска  акций(выкуп)</t>
  </si>
  <si>
    <t>Оборотно-сальдовая ведомость по счету 1290</t>
  </si>
  <si>
    <t>Детализация по субсчетам, субконто: Дебиторы</t>
  </si>
  <si>
    <t>Оборот за период</t>
  </si>
  <si>
    <t xml:space="preserve"> НЕДОСТАЧА</t>
  </si>
  <si>
    <t>EAT-Cargo ТОО</t>
  </si>
  <si>
    <t>S T COMPANY ТОО</t>
  </si>
  <si>
    <t>АлматыгорНПЦзем ДГП</t>
  </si>
  <si>
    <t>АлТим транс ТОО</t>
  </si>
  <si>
    <t>Деко ТОО</t>
  </si>
  <si>
    <t>Дуйсекеев ЧП</t>
  </si>
  <si>
    <t>ДХЛ Интернешнл Казахстан ТОО</t>
  </si>
  <si>
    <t>Жапарбаев Арман Кендебаевич</t>
  </si>
  <si>
    <t>Жумабаев Нурман Зейнегабиденович</t>
  </si>
  <si>
    <t>Жумагулов Айдос Болатович</t>
  </si>
  <si>
    <t>Иманали ТОО</t>
  </si>
  <si>
    <t>Инокс ЛТД ТОО</t>
  </si>
  <si>
    <t>К/Х Николай</t>
  </si>
  <si>
    <t xml:space="preserve">Казахстан Темир Жолы АО </t>
  </si>
  <si>
    <t>КАЗАХТЕЛЕКОМ АО</t>
  </si>
  <si>
    <t>Казнефтехим эмитент</t>
  </si>
  <si>
    <t>Кар-Тел ТОО</t>
  </si>
  <si>
    <t>Карстен Владимир Валерьевич</t>
  </si>
  <si>
    <t>Катшыбаев Д.</t>
  </si>
  <si>
    <t>Кольб Андрей Александрович</t>
  </si>
  <si>
    <t>НаЦЭкС АО</t>
  </si>
  <si>
    <t>НУ по  Алмалинскому р-ну</t>
  </si>
  <si>
    <t>Сандыбаева Асемгуль Айтказиевна</t>
  </si>
  <si>
    <t>Тен Николай Андреевич</t>
  </si>
  <si>
    <t>Шаяхметов Жанат Канатханович</t>
  </si>
  <si>
    <t>Шын, ТОО</t>
  </si>
  <si>
    <t>1270 Начислен. дивиденды по преф. акц. ТОО и UC</t>
  </si>
  <si>
    <t>Долгосрочные финансовые активы</t>
  </si>
  <si>
    <t>Долгосрочная ВФП</t>
  </si>
  <si>
    <t>1121  Прочие финансовые активы (UC и ТОО)</t>
  </si>
  <si>
    <t>Финансовая помощь от связанной стороны</t>
  </si>
  <si>
    <t>Добавочный капитал</t>
  </si>
  <si>
    <t>штук</t>
  </si>
  <si>
    <t>на сумму</t>
  </si>
  <si>
    <t>Убыток от обесценения применительно к списанию актива, предназначенных для продажи до справедливой стоимости за вычетом затрат на продаж</t>
  </si>
  <si>
    <t>Абданбаев Марат Сагинбекович ИП</t>
  </si>
  <si>
    <t>Винс Людмила Анатольевна</t>
  </si>
  <si>
    <t>Илийский Картонно-Бумажный Комбинат АО</t>
  </si>
  <si>
    <t>НУ по  Жетысускому району</t>
  </si>
  <si>
    <t>Сулпак ТОО ЮРТК</t>
  </si>
  <si>
    <t>Тукым ТОО</t>
  </si>
  <si>
    <t>1290.01</t>
  </si>
  <si>
    <t>3380 Дивиденды по прив акциям</t>
  </si>
  <si>
    <t>6120 Доход по дивидендам</t>
  </si>
  <si>
    <t>Мительская Галина Викторовна</t>
  </si>
  <si>
    <t>ИТОГО:</t>
  </si>
  <si>
    <t>Облигационные займы 5, 4 краткоср</t>
  </si>
  <si>
    <t>SM market retail</t>
  </si>
  <si>
    <t>Аташбеков Максат Айдарбекович</t>
  </si>
  <si>
    <t>Возврат займа от материнской компании</t>
  </si>
  <si>
    <t>Получение займа от материнской компании</t>
  </si>
  <si>
    <t>7310,01 Расходы по дивидендам</t>
  </si>
  <si>
    <t>KHS AG</t>
  </si>
  <si>
    <t>NEW IDEAL PARTNER ТОО</t>
  </si>
  <si>
    <t>Tecnogiara</t>
  </si>
  <si>
    <t>Слуцкий Сахарорафинадный комбинат ОАО</t>
  </si>
  <si>
    <t>Хойфт Евразия ООО</t>
  </si>
  <si>
    <t>Выкуп собственных акций</t>
  </si>
  <si>
    <t>Погашение задолженности по облигациям</t>
  </si>
  <si>
    <t>Погашение обязательств  по финансовой аренде</t>
  </si>
  <si>
    <t>Таможенное управление Солтустык</t>
  </si>
  <si>
    <t>ТОО RG Brands  Kazahstan</t>
  </si>
  <si>
    <t>Uni Commerce</t>
  </si>
  <si>
    <t>Кишкина Е. ИП</t>
  </si>
  <si>
    <t>РПК Идея</t>
  </si>
  <si>
    <t>Хакимов ИП</t>
  </si>
  <si>
    <t xml:space="preserve">РГП на ПХВ Национальный институт интеллектувльной </t>
  </si>
  <si>
    <t>ОСОО "RG Brands Кыргызстан"</t>
  </si>
  <si>
    <t>Долговой компонент привилегированных акций</t>
  </si>
  <si>
    <t xml:space="preserve">Express Trading  LTD OCOO,  Филиал "Аксенгир "  ТОО" RG Brands Kazakhstan",  ТOO "RG Brands Kazakhstan", ASD филиал ТОО RGBrands Казахстан,  Филиал "InterJuice "ТОО" RGBrands Казахстан", Филиал "PRGBottlers" ТОО "RGBrands Казахстан ", Филиал "Tealand " ТОО "RG Brands Кazakhstan", Филиал "Алматы Снэк Фуд" ТОО "RG Brands Kazakhstan" , Филиал  "Космис" ТОО "RG Brands Казахстан" г.Кустанай,  ТОО RGBrands Kazakhstan торговля, Филиал ТОО "RG  Brands Kazakhstan " в 
г. Алматы
, филиал ТОО "RG Brands Kazakhstan" в г. Астана, филиал ТОО "RG Brands Kazakhstan" в г. Караганда, филиал ТОО "RG Brands Kazakhstan" в г. Костанай, филиал ТОО "RG Brands Kazakhstan" в г. Кызылорда, филиал ТОО "RG Brands Kazakhstan" в г. Павлодар, филиал ТОО "RG Brands Kazakhstan" в г. Талдыкорган, филиал ТОО "RG Brands Kazakhstan" в г. Уральск, филиал ТОО "RG Brands Kazakhstan" в г. Шымкент, филиал ТОО "RG Brands Kazakhstan" в г. Усть-Каменогорск, Консолидация RGBrands, АО "RG Brands ", RGBrands Алматы, UniCommerce Aktau, UniCommerce Almaty, UniCommerce Astana , UniCommerce Karaganda, UniCommerce Kostanay, UniCommerce KzylOrda, UniCommerce Pavlodar, UniCommerce Shimkent, UniCommerce T-Kurgan, UniCommerce Uralsk, UniCommerce UstKaman, UniCommerce Ltd, </t>
  </si>
  <si>
    <t>Отбор: Контрагенты в списке по иерархии RG Brands; RG Brands Kazakhstan; RG Brands Kazakhstan  Филиал GF; RG Brands Kazakhstan  филиал в г.Алматы; RG Brands Kazakhstan ТОРГОВЛЯ; RG BRANDS KAZAKHSTAN ФИЛИАЛ г.КОСТАНАЙ; RG Brands Tashkent ООО; RG Brands Алматы; Uni Commerce LTD; Космис ТОО; ОСОО "RG Brands Кыргызстан"; Филиал " Аксенгир" TOO "RG Brands Kazakhstan"; Филиал "Алматы Снэк Фуд" ТОО"RG Brands Kazakhstan"; Филиал ASD ТОО RGBrands Казахстан; Филиал InterJuice ТОО RGBrands Kazakhstan; Филиал PRG Bottlers ТОО Brands Kazakhstan; Филиал Tealand ТОО RG Brands Kazakhstan; Филиал АО PRG Bottlers в г.Костанай; Филиал Космис ТОО RGBrands Kazakhstan</t>
  </si>
  <si>
    <t xml:space="preserve"> Филиал "Аксенгир "  ТОО" RG Brands Kazakhstan",  ТОО "RG Brands Kazakhstan", ASD филиал ТОО RGBrands Казахстан,  Филиал "InterJuice "ТОО" RGBrands Казахстан", Филиал "PRGBottlers" ТОО "RGBrands Казахстан ", Филиал "Tealand " ТОО "RG Brands Кazakhstan", Филиал "Алматы Снэк Фуд" ТОО "RG Brands Kazakhstan" , Филиал  "Космис" ТОО "RG Brands Казахстан" г.Кустанай,  ТОО RGBrands Kazakhstan торговля, Филиал ТОО "RG  Brands Kazakhstan " в 
г. Алматы
, филиал ТОО "RG Brands Kazakhstan" в г. Астана, филиал ТОО "RG Brands Kazakhstan" в г. Караганда, филиал ТОО "RG Brands Kazakhstan" в г. Костанай, филиал ТОО "RG Brands Kazakhstan" в г. Кызылорда, филиал ТОО "RG Brands Kazakhstan" в г. Павлодар, филиал ТОО "RG Brands Kazakhstan" в г. Талдыкорган, филиал ТОО "RG Brands Kazakhstan" в г. Уральск, филиал ТОО "RG Brands Kazakhstan" в г. Шымкент, филиал ТОО "RG Brands Kazakhstan" в г. Усть-Каменогорск, Консолидация RGBrands, АО "RG Brands ", RGBrands Алматы, UniCommerce Aktau, UniCommerce Almaty, UniCommerce Astana , UniCommerce Karaganda, UniCommerce Kostanay, UniCommerce KzylOrda, UniCommerce Pavlodar, UniCommerce Shimkent, UniCommerce T-Kurgan, UniCommerce Uralsk, UniCommerce UstKaman, UniCommerce Ltd, </t>
  </si>
  <si>
    <t>Казэкспоаудит ТОО</t>
  </si>
  <si>
    <t>ТРАНСИНТЕР ТОО</t>
  </si>
  <si>
    <t>Перевыстваление от внешних контрагентов</t>
  </si>
  <si>
    <t>Мараховская Татьяна Николаевна</t>
  </si>
  <si>
    <t>Руш Константин Константинович</t>
  </si>
  <si>
    <t xml:space="preserve">Травкин Сергей Юрьевич </t>
  </si>
  <si>
    <t>Химин  Иван Николаевич</t>
  </si>
  <si>
    <t>Выкуп префакций</t>
  </si>
  <si>
    <t>ДТК по Костанайской области</t>
  </si>
  <si>
    <t>Казахтелеком  Караганда</t>
  </si>
  <si>
    <t>Отсроченный налог связанный с переоценкой основных средств</t>
  </si>
  <si>
    <t xml:space="preserve">Отсроченный подоходный налог </t>
  </si>
  <si>
    <t>MAS Agro (Ivanhoe Invest b.v.)</t>
  </si>
  <si>
    <t>SV ART media.kz</t>
  </si>
  <si>
    <t>Бектибаева Айнур Мейрхановна</t>
  </si>
  <si>
    <t>Дастархан-Той ТОО</t>
  </si>
  <si>
    <t>Ильин Илья Александрович</t>
  </si>
  <si>
    <t>Каженова А.Н. ИП</t>
  </si>
  <si>
    <t>ТМА-СпецСервис ТОО</t>
  </si>
  <si>
    <t>Энергоспектр ЮГ ТОО</t>
  </si>
  <si>
    <t>Звонцова Екатерина Андреевна</t>
  </si>
  <si>
    <t>SC AMRAZ  ROMANIA SRL</t>
  </si>
  <si>
    <t>TEXAR ТОО</t>
  </si>
  <si>
    <t>Алмата</t>
  </si>
  <si>
    <t>Даулетханов Сымбат Райманулы</t>
  </si>
  <si>
    <t>Жихарев Иван Михайлович</t>
  </si>
  <si>
    <t>Зырянов Александр Георгиевич ИП</t>
  </si>
  <si>
    <t>Иволин Леонид Константинович</t>
  </si>
  <si>
    <t>КРК ASSORTI ТОО</t>
  </si>
  <si>
    <t>КР</t>
  </si>
  <si>
    <t>Желдорсервис - XX1 ТОО</t>
  </si>
  <si>
    <t xml:space="preserve">Sanatel ТОО </t>
  </si>
  <si>
    <t>Нутритест ТОО</t>
  </si>
  <si>
    <t>Telman offset&amp;print ТОО</t>
  </si>
  <si>
    <t>АСЭМ ТОО</t>
  </si>
  <si>
    <t>Ауэзовское РУВД г. Алматы</t>
  </si>
  <si>
    <t>Дире-я процессинга и расч-в за перевозки АО НК КТЖ</t>
  </si>
  <si>
    <t>Казахтелеком АО Жамб.обл.дирекция телекоммуникаций</t>
  </si>
  <si>
    <t xml:space="preserve">Кызылорда-Нефтесервис ТОО </t>
  </si>
  <si>
    <t>РГКП "Дезинфекционная станция г.Алматы"</t>
  </si>
  <si>
    <t xml:space="preserve">РТС ЛТД </t>
  </si>
  <si>
    <t>Сейтенов Р.Г. ЧП</t>
  </si>
  <si>
    <t>ТОО "РИФМА"</t>
  </si>
  <si>
    <t>Шестакова Л.И., ИП</t>
  </si>
  <si>
    <t>декабрь 2014</t>
  </si>
  <si>
    <t>Начисление отсроченного налога</t>
  </si>
  <si>
    <t>Обязательство/Актив по отсроченному налогу</t>
  </si>
  <si>
    <t>5321/5420 СК отсроченный налог</t>
  </si>
  <si>
    <t>Обязательства по отсроченному налогу</t>
  </si>
  <si>
    <t>Рекласс отсроченного в износе</t>
  </si>
  <si>
    <t>Рекласс отсроченного в Нераспределен прибл (износ - отсрочен</t>
  </si>
  <si>
    <t>ED&amp;F MAN SUGAR LTD</t>
  </si>
  <si>
    <t>HYUNDAI CORPORATION</t>
  </si>
  <si>
    <t>Myproma bv</t>
  </si>
  <si>
    <t>Абдикаликов Бахытжан Кожахметович</t>
  </si>
  <si>
    <t>Абдрахманов Кайрат Маратович</t>
  </si>
  <si>
    <t>Алтынбеков Алимжан Алиакбарович</t>
  </si>
  <si>
    <t>Аманжол Берик Аманжолулы ЧП</t>
  </si>
  <si>
    <t>Бакуменко Дмитрий Сергеевич</t>
  </si>
  <si>
    <t>Безроднов Константин Анатольевич</t>
  </si>
  <si>
    <t>ВК предприятие вычислительной техники</t>
  </si>
  <si>
    <t>Гужанков Геннадий Михайлович ЧП</t>
  </si>
  <si>
    <t>Даулбаев Асан Мухутдинович</t>
  </si>
  <si>
    <t>Имамжанов Сухраб Ташматович</t>
  </si>
  <si>
    <t xml:space="preserve">ИНКАМ ТОО </t>
  </si>
  <si>
    <t>Каратаева Екатерина Валерьевна</t>
  </si>
  <si>
    <t>Кенжегалиев Ерлан Каршыгиевич</t>
  </si>
  <si>
    <t>Кузнецов Николай Сергеевич</t>
  </si>
  <si>
    <t>Мельник Тарас Васильевич</t>
  </si>
  <si>
    <t>Отепбаева Сабина Маскеубековна</t>
  </si>
  <si>
    <t>Пимурзина Анастасия Владимировна</t>
  </si>
  <si>
    <t>Риал Тайм оф Деливери ТОО</t>
  </si>
  <si>
    <t>Старусева Н.Н. ИП</t>
  </si>
  <si>
    <t>Стегний Анастасия Владимировна</t>
  </si>
  <si>
    <t>Тантал групп ТОО КызылОрда</t>
  </si>
  <si>
    <t>УРАЛЬСК</t>
  </si>
  <si>
    <t>Центр транспортного сервиса ОАО Костанай</t>
  </si>
  <si>
    <t>ЦТО Рем-XEROX  ТОО</t>
  </si>
  <si>
    <t>Чужова Виктория Александровна</t>
  </si>
  <si>
    <t>Эвбика ТОО ф-л</t>
  </si>
  <si>
    <t>Умбетеев Ерназ Аскарович</t>
  </si>
  <si>
    <t>Возврат займа связанной стороной</t>
  </si>
  <si>
    <t>Снятие депозита</t>
  </si>
  <si>
    <t>Вознаграждение по депозиту</t>
  </si>
  <si>
    <t>Корректировка Кредит-нот PLI</t>
  </si>
  <si>
    <t>3310,03 КЗ зад-ть</t>
  </si>
  <si>
    <t>Корректировка расходов (непосаженные)</t>
  </si>
  <si>
    <t>7110 Расходы ТОО</t>
  </si>
  <si>
    <t>7210 Адм. Расходы</t>
  </si>
  <si>
    <t>3310 Поставщики</t>
  </si>
  <si>
    <t>1420 НДС (зачет)</t>
  </si>
  <si>
    <t>Контрагенты:ТОО "RG Brands Kazakhstan" ОсОО "RG Brands Кыргыстан"</t>
  </si>
  <si>
    <t>Подот. 1256</t>
  </si>
  <si>
    <t>Таможенный Пост Алматы ЦТО(50208/54702/55302)</t>
  </si>
  <si>
    <t>Таможня Жетысу 50207/54701/55301 (аэропорт)</t>
  </si>
  <si>
    <t>1290.02</t>
  </si>
  <si>
    <t>5520 Нераспределеная прибыль прошлых лет</t>
  </si>
  <si>
    <t>Корректировка Января</t>
  </si>
  <si>
    <t xml:space="preserve">5610 Нераспределенная прибыль </t>
  </si>
  <si>
    <t>6280 Прочие доходы</t>
  </si>
  <si>
    <t>март 2015</t>
  </si>
  <si>
    <t>Земля Поршень</t>
  </si>
  <si>
    <t>Здание Поршень</t>
  </si>
  <si>
    <t>Земля ДНН</t>
  </si>
  <si>
    <t>Здания ДНН</t>
  </si>
  <si>
    <t>Курсовая НП прошлых периодов</t>
  </si>
  <si>
    <t>Корректировка на курсовую дочек</t>
  </si>
  <si>
    <t>торговая</t>
  </si>
  <si>
    <t>авансы</t>
  </si>
  <si>
    <t>прочая</t>
  </si>
  <si>
    <t>Выделение денег под управлением</t>
  </si>
  <si>
    <t xml:space="preserve">1000 Деньги </t>
  </si>
  <si>
    <t>1280 Прочая ДЗ</t>
  </si>
  <si>
    <t>Рекласс Троговой ДЗ в Прочую ДЗ</t>
  </si>
  <si>
    <t>1210,01  Торговая ДЗ  PEPSI-COLA INTERNATIONAL CORK</t>
  </si>
  <si>
    <t>1210,01  Торговая ДЗ  Tetra Pak Global Distribution S.A.</t>
  </si>
  <si>
    <t>1280        Прочая ДЗ</t>
  </si>
  <si>
    <t>Рекласс авансов в Долглсрочную ДЗ</t>
  </si>
  <si>
    <t>1610 Авансы  Peter Binder GMBH</t>
  </si>
  <si>
    <t>1610 Авансы  STM SPZOO Poland</t>
  </si>
  <si>
    <t>2910 Долгосрочная  КЗ зад-ть</t>
  </si>
  <si>
    <t>апрель 2015</t>
  </si>
  <si>
    <t>Доначисление расходов по КПН</t>
  </si>
  <si>
    <t>7710 Расходы по КПН</t>
  </si>
  <si>
    <t>3110 КПН</t>
  </si>
  <si>
    <t>1210.02</t>
  </si>
  <si>
    <t>7 выпуск</t>
  </si>
  <si>
    <t>КУПОННЫЕ ОБЛИГАЦИИ БЕЗ ОБЕСПЕЧЕНИЯ АО "RG BRANDS" 1-ГО ВЫПУСКА ВЫПУЩ. В ПРЕД 2 О</t>
  </si>
  <si>
    <t>Анализ счета 6150</t>
  </si>
  <si>
    <t>Детализация по  субконто: Ценные бумаги, кор.субсчетам и субконто</t>
  </si>
  <si>
    <t>Отбор: Ценные бумаги в списке по иерархии Купонные облигации RG Brands  RGBRb3-1; купонные облигации пятого выпуска RG Brands АО RGBRb5; Купонные облигации четвертого выпуска АО "RG Brands"; Купонные облигации шестого выпуска АО RG Brands</t>
  </si>
  <si>
    <t xml:space="preserve">UniCommerce Ltd, </t>
  </si>
  <si>
    <t>Анализ счета 7470,03</t>
  </si>
  <si>
    <t>7330.02</t>
  </si>
  <si>
    <t>МЕЖДУНАРОДНЫЕ КУПОННЫЕ ОБЛИГАЦИИ BANK OF CHINA LTD</t>
  </si>
  <si>
    <t>Краткосрочные финансовые инвестиции 7 выпуск</t>
  </si>
  <si>
    <t>Облиг-и 7 выпуска 2015г</t>
  </si>
  <si>
    <t>Оборотно-сальдовая ведомость по счету 1620,03</t>
  </si>
  <si>
    <t>Облигационные займы 7</t>
  </si>
  <si>
    <t>01.01.2015-30.06.2015</t>
  </si>
  <si>
    <t>01.01.2014-30.06.2014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</si>
  <si>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</si>
  <si>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</si>
  <si>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Займ, выданный связанной стороне</t>
  </si>
  <si>
    <t>Прочие поступление от связанной стороны</t>
  </si>
  <si>
    <t>Прочие выплаты связанной стороне</t>
  </si>
  <si>
    <t>Пополнение депозита</t>
  </si>
  <si>
    <t>Приобретение основных средств и нематериальных активов</t>
  </si>
  <si>
    <t>Выкуп простых акций</t>
  </si>
  <si>
    <t>Инвестиции в НМА</t>
  </si>
  <si>
    <t>Выдача ВФП связанной стороне</t>
  </si>
  <si>
    <t>В том чиле:</t>
  </si>
  <si>
    <t>Приобретение финансовых инвестиций</t>
  </si>
  <si>
    <t>КОНСОЛИДИРОВАННЫЕ ОТЧЕТЫ О ДВИЖЕНИИ ДЕНЕЖНЫХ СРЕДСТВ   ЗА ПЕРИОД С 1 ЯНВАРЯ 2015г. ПО 30 ИЮНЯ 2015г.</t>
  </si>
  <si>
    <t>2810 Отложенный налоговый актив</t>
  </si>
  <si>
    <t>1280,10 Прочая краткосрочная дебиторская задолженность</t>
  </si>
  <si>
    <t>Тулепов Тимур Бахытович</t>
  </si>
  <si>
    <t>июль 2015</t>
  </si>
  <si>
    <t>Отчет по проводкам</t>
  </si>
  <si>
    <t>Дата</t>
  </si>
  <si>
    <t>Документ</t>
  </si>
  <si>
    <t>Содержание</t>
  </si>
  <si>
    <t>Дт</t>
  </si>
  <si>
    <t>Кт</t>
  </si>
  <si>
    <t>Сумма</t>
  </si>
  <si>
    <t>Субконто Дт</t>
  </si>
  <si>
    <t>Субконто Кт</t>
  </si>
  <si>
    <t>Номер журнала</t>
  </si>
  <si>
    <t>20.07.2015 23:59:59</t>
  </si>
  <si>
    <t>Корректировка долга RGHRGB000082 от 20.07.2015 23:59:59</t>
  </si>
  <si>
    <t>Списание задолженности Бух.</t>
  </si>
  <si>
    <t>1270.04</t>
  </si>
  <si>
    <t>Доход по дивидендам и вознаграждениям (ОД)</t>
  </si>
  <si>
    <t>Решение о выплате дивидендов</t>
  </si>
  <si>
    <t>Администрация</t>
  </si>
  <si>
    <t>Валюта</t>
  </si>
  <si>
    <t>27.07.2015 23:59:59</t>
  </si>
  <si>
    <t>Корректировка долга RGHRGB000083 от 27.07.2015 23:59:59</t>
  </si>
  <si>
    <t>Корректировка по дивидендам простые акции в AO  июль - PL</t>
  </si>
  <si>
    <t>Корректировка по дивидендам простые акции в AO  июль - БАЛАНС</t>
  </si>
  <si>
    <t xml:space="preserve">ТOO "RG Brands Kazakhstan", АО "RG Brands ", RGBrands Алматы, UniCommerce Ltd, </t>
  </si>
  <si>
    <t>Корректировка по дивидендам привил. акции в ТОО июль- PL</t>
  </si>
  <si>
    <t>Корректировка по дивидендам привил. акции в ТОО  июль- баланс</t>
  </si>
  <si>
    <t>Корректировка по дивидендам привил. акции в UC  июль- PL</t>
  </si>
  <si>
    <t>Итого по PL</t>
  </si>
  <si>
    <t>Итого по баланс</t>
  </si>
  <si>
    <t>Операция (бухгалтерский и налоговый учет) RGBRGB00088 от 20.07.2015 23:59:59</t>
  </si>
  <si>
    <t xml:space="preserve">Решение выплаты дивидендов </t>
  </si>
  <si>
    <t>Операция (бухгалтерский и налоговый учет) RGBRGB00087 от 27.07.2015 23:59:59</t>
  </si>
  <si>
    <t>доход</t>
  </si>
  <si>
    <t>дз</t>
  </si>
  <si>
    <t>НРП</t>
  </si>
  <si>
    <t>расчеты</t>
  </si>
  <si>
    <t>Анализ счета 1270.04</t>
  </si>
  <si>
    <t>Выводимые данные: сумма, валютная сумма</t>
  </si>
  <si>
    <t>В валюте</t>
  </si>
  <si>
    <t>Новиков Б.В. ИП</t>
  </si>
  <si>
    <t xml:space="preserve">Eurofood Co.ТОО </t>
  </si>
  <si>
    <t>РИФМА ТОО</t>
  </si>
  <si>
    <t>Период: Август 2015г.</t>
  </si>
  <si>
    <t>Инвестиции в PRG Bottlers ТОО</t>
  </si>
  <si>
    <t>2210,01 Инвестиции в доч организации</t>
  </si>
  <si>
    <t>5030 Вклады и паи</t>
  </si>
  <si>
    <t>Санхаев Мейржан Гайсинович</t>
  </si>
  <si>
    <t>НАЦЭКС  АЛМАТИНСКИЙ ФИЛИАЛ ОАО</t>
  </si>
  <si>
    <t>Джагупарова Алия Жумабековна</t>
  </si>
  <si>
    <t>Брилин Р.В. ИП</t>
  </si>
  <si>
    <t>Орех ООО</t>
  </si>
  <si>
    <t>Palace Merano</t>
  </si>
  <si>
    <t>1250.01</t>
  </si>
  <si>
    <t>1250.03</t>
  </si>
  <si>
    <t>1250.04</t>
  </si>
  <si>
    <t>1250.06</t>
  </si>
  <si>
    <t>1270.01</t>
  </si>
  <si>
    <t>1270.23</t>
  </si>
  <si>
    <t>1271.04</t>
  </si>
  <si>
    <t>1280.11</t>
  </si>
  <si>
    <t>1280.12</t>
  </si>
  <si>
    <t>1310.11</t>
  </si>
  <si>
    <t>1320.21</t>
  </si>
  <si>
    <t>1410.01</t>
  </si>
  <si>
    <t>1430.01</t>
  </si>
  <si>
    <t>1430.02</t>
  </si>
  <si>
    <t>1430.03</t>
  </si>
  <si>
    <t>1430.05</t>
  </si>
  <si>
    <t>1610.02</t>
  </si>
  <si>
    <t>1611.01</t>
  </si>
  <si>
    <t>1611.03</t>
  </si>
  <si>
    <t>1612.01</t>
  </si>
  <si>
    <t>1612.03</t>
  </si>
  <si>
    <t>2150.03</t>
  </si>
  <si>
    <t>2930.01</t>
  </si>
  <si>
    <t>3050.04</t>
  </si>
  <si>
    <t>3310.01</t>
  </si>
  <si>
    <t>3310.04</t>
  </si>
  <si>
    <t>3390.08</t>
  </si>
  <si>
    <t>3510.02</t>
  </si>
  <si>
    <t>3510.04</t>
  </si>
  <si>
    <t>4030.12</t>
  </si>
  <si>
    <t>6110.01</t>
  </si>
  <si>
    <t>6110.03</t>
  </si>
  <si>
    <t>6110.07</t>
  </si>
  <si>
    <t>6110.30</t>
  </si>
  <si>
    <t>6150.01</t>
  </si>
  <si>
    <t>6240.03</t>
  </si>
  <si>
    <t>6250.01</t>
  </si>
  <si>
    <t>6280.02</t>
  </si>
  <si>
    <t>6280.07</t>
  </si>
  <si>
    <t>6280.09</t>
  </si>
  <si>
    <t>6280.10</t>
  </si>
  <si>
    <t>7210.01</t>
  </si>
  <si>
    <t>7220.02</t>
  </si>
  <si>
    <t>7220.03</t>
  </si>
  <si>
    <t>7220.04</t>
  </si>
  <si>
    <t>7220.05</t>
  </si>
  <si>
    <t>7310.02</t>
  </si>
  <si>
    <t>7310.03</t>
  </si>
  <si>
    <t>7310.24</t>
  </si>
  <si>
    <t>7310.25</t>
  </si>
  <si>
    <t>7430.01</t>
  </si>
  <si>
    <t>Нереализованные расходы от переоценки иностранной валюты</t>
  </si>
  <si>
    <t>7470.02</t>
  </si>
  <si>
    <t>7470.03</t>
  </si>
  <si>
    <t>7470.06</t>
  </si>
  <si>
    <t>7470.50</t>
  </si>
  <si>
    <t>Анализ счета 5610</t>
  </si>
  <si>
    <t>Детализация по  кор.субсчетам и субконто</t>
  </si>
  <si>
    <t>6280.11</t>
  </si>
  <si>
    <t>Период: 9 месяцев 2015 г.</t>
  </si>
  <si>
    <t>1270.14</t>
  </si>
  <si>
    <t>Байдилбаев Жомарт Найманбекулы</t>
  </si>
  <si>
    <t>Еспанов Нурбек</t>
  </si>
  <si>
    <t>ДАСТАРХАН</t>
  </si>
  <si>
    <t>Исатаев</t>
  </si>
  <si>
    <t>рабатов, омаров, курманбаев</t>
  </si>
  <si>
    <t>Период: Сентябрь 2015 г.</t>
  </si>
  <si>
    <t>Период:  Сентябрь 2015 г.</t>
  </si>
  <si>
    <t>Период: Сенятбрь 2015 г.</t>
  </si>
  <si>
    <t>сентябрь 2015</t>
  </si>
  <si>
    <t>Отбор: Контрагенты = RG Brands Tashkent ООО</t>
  </si>
  <si>
    <t>USD</t>
  </si>
  <si>
    <t>В валюте:</t>
  </si>
  <si>
    <t xml:space="preserve">расход по курсовой </t>
  </si>
  <si>
    <t xml:space="preserve">АО "RG Brands ", </t>
  </si>
  <si>
    <t>Анализ счета 1620.03</t>
  </si>
  <si>
    <t>Детализация по  субконто: Расходы будущих периодов, кор.субсчетам и субконто</t>
  </si>
  <si>
    <t>Отбор: Расходы будущих периодов = Облиг-и 7 выпуска 2015г</t>
  </si>
  <si>
    <t>№ п/п</t>
  </si>
  <si>
    <t>Вид ценной бумаги</t>
  </si>
  <si>
    <t>Национальный идентификационный номер</t>
  </si>
  <si>
    <t>Ставка купона</t>
  </si>
  <si>
    <t>Номинал</t>
  </si>
  <si>
    <t>Количество продано</t>
  </si>
  <si>
    <t>Доход/убыток, полученный при реализации</t>
  </si>
  <si>
    <t>Доходы за период Январь 2015-Декабрь 2015</t>
  </si>
  <si>
    <t>Амортизация дисконта</t>
  </si>
  <si>
    <t>Положительная переоценка</t>
  </si>
  <si>
    <t>Отрицательная переоценка</t>
  </si>
  <si>
    <t>Купонное вознаграждение</t>
  </si>
  <si>
    <t>Итого сумма полученного дохода за период  без учета реализации</t>
  </si>
  <si>
    <t>Итого сумма полученного дохода за период  с учетом реализации</t>
  </si>
  <si>
    <t>Приобретения</t>
  </si>
  <si>
    <t>Погашения</t>
  </si>
  <si>
    <t>KZP01Y07E497</t>
  </si>
  <si>
    <t>14.05.2015</t>
  </si>
  <si>
    <t>01.07.2020</t>
  </si>
  <si>
    <t xml:space="preserve">ТOO "RG Brands Kazakhstan", </t>
  </si>
  <si>
    <t>Отбор: Ценные бумаги = КУПОННЫЕ ОБЛИГАЦИИ БЕЗ ОБЕСПЕЧЕНИЯ АО "RG BRANDS" 1-ГО ВЫПУСКА ВЫПУЩ. В ПРЕД 2 О</t>
  </si>
  <si>
    <t>Корректировка по ЦБ при выкупе АО обратно</t>
  </si>
  <si>
    <t>6150,01/6150,03</t>
  </si>
  <si>
    <t>7470,06/7470,03</t>
  </si>
  <si>
    <t>тоо</t>
  </si>
  <si>
    <t>ао</t>
  </si>
  <si>
    <t>Резерв в Космисе и в Аксенгире по бракованному концентрату, СИТИ</t>
  </si>
  <si>
    <t>Период: Январь 2015 г. - Октябрь 2015 г.</t>
  </si>
  <si>
    <t>6250.02</t>
  </si>
  <si>
    <t>7430.02</t>
  </si>
  <si>
    <t>Реализованные расходы от переоценки иностранной валюты</t>
  </si>
  <si>
    <t>Период: Январь 2015 г. - Ноябрь 2015 г.</t>
  </si>
  <si>
    <t>из них доходы по дивидендам</t>
  </si>
  <si>
    <t>Период: 01.01.2015 - 30.11.2015</t>
  </si>
  <si>
    <t>Период: Ноябрь 2015 г.</t>
  </si>
  <si>
    <t>декабрь 2015</t>
  </si>
  <si>
    <t>Агро Том Плюс ТОО</t>
  </si>
  <si>
    <t>PDR  (вкл соц налог)</t>
  </si>
  <si>
    <t>исключена</t>
  </si>
  <si>
    <t>Инвестиционная недвижимость</t>
  </si>
  <si>
    <t>Штрафы, пени, неустойки (претензия по договору поставки Asian Tea Company Private Limited, VAN REES B. V.)</t>
  </si>
  <si>
    <t>Реализация услуг (6010)</t>
  </si>
  <si>
    <t>Кредит ноты</t>
  </si>
  <si>
    <t>Убыток от списания ГП с НДС (реализ на Retail)</t>
  </si>
  <si>
    <t>Начисление пени по НДС</t>
  </si>
  <si>
    <t>Примечание</t>
  </si>
  <si>
    <t xml:space="preserve">сумма возмещения </t>
  </si>
  <si>
    <t>уменьшили 7110</t>
  </si>
  <si>
    <t xml:space="preserve">ТOO "RG Brands Kazakhstan", ASD филиал ТОО RGBrands Казахстан,  Филиал "InterJuice "ТОО" RGBrands Казахстан", Филиал "PRGBottlers" ТОО "RGBrands Казахстан ", Филиал "Tealand " ТОО "RG Brands Кazakhstan", Филиал "Алматы Снэк Фуд" ТОО "RG Brands Kazakhstan" , Филиал  "Космис" ТОО "RG Brands Казахстан" г.Костанай, Представительство ТОО Эрджи Брэндс в Казахстан в Кыргызстане,  ТОО RGBrands Kazakhstan торговля, Филиал "Аксенгир "  ТОО" RG Brands Kazakhstan", Филиал ТОО "RG  Brands Kazakhstan " в 
г. Алматы
, Филиал ТОО "RG  Brands Kazakhstan " в 
г. Атырау
, филиал ТОО "RG Brands Kazakhstan" в г. Астана, филиал ТОО "RG Brands Kazakhstan" в г. Караганда, филиал ТОО "RG Brands Kazakhstan" в г. Костанай, филиал ТОО "RG Brands Kazakhstan" в г. Кызылорда, филиал ТОО "RG Brands Kazakhstan" в г. Павлодар, филиал ТОО "RG Brands Kazakhstan" в г. Талдыкорган, филиал ТОО "RG Brands Kazakhstan" в г. Уральск, филиал ТОО "RG Brands Kazakhstan" в г. Шымкент, филиал ТОО "RG Brands Kazakhstan" в г. Усть-Каменогорск, Консолидация RGBrands, RGBrands ASD, АО "RG Brands ", RGBrands Алматы, UniCommerce, UniCommerce Aktau, UniCommerce Almaty, UniCommerce Astana , UniCommerce Karaganda, UniCommerce Kostanay, UniCommerce KzylOrda, UniCommerce Pavlodar, UniCommerce Shimkent, UniCommerce T-Kurgan, UniCommerce Uralsk, UniCommerce UstKaman, UniCommerce Ltd, ТОО PRG Bottlers  Kazakhstan, </t>
  </si>
  <si>
    <t>Период: 1 квартал 2016 г.</t>
  </si>
  <si>
    <t>1060.01</t>
  </si>
  <si>
    <t>Прочие операционные расходы</t>
  </si>
  <si>
    <t xml:space="preserve">Express Trading  LTD OCOO, </t>
  </si>
  <si>
    <t>Период: Январь - Март 2016 г.</t>
  </si>
  <si>
    <t>Период: Январь-Март  2016 г.</t>
  </si>
  <si>
    <t>Элиминирование Январь-Март 2016 г.</t>
  </si>
  <si>
    <t>Корректировки на 31.03.16</t>
  </si>
  <si>
    <t>Бекас АГРО ТОО</t>
  </si>
  <si>
    <t>Белесбеков Б.О. ИП</t>
  </si>
  <si>
    <t>март 2016</t>
  </si>
  <si>
    <t>Нереализованные расходы от переоценки иностранной валюты по компаниям ФОАО "Халык Банк Кыргызстан-ЮГ" г. Бишкек, VAN REES B. V., Asian Tea Company Private Limited, PEPSI-COLA INTERNATIONAL CORK, PEPSI LIPTON INTERNATIONAL</t>
  </si>
  <si>
    <t>5520 Прибыль/убыток прошлых лет</t>
  </si>
  <si>
    <t>Возмещение от PBI</t>
  </si>
  <si>
    <t>Оборотно-сальдовая ведомость по счету 6120</t>
  </si>
  <si>
    <t>Детализация по субсчетам, субконто: Доходы, Подразделения</t>
  </si>
  <si>
    <t>Дивиденты по акциям</t>
  </si>
  <si>
    <t>5610 Прибыль/убыток отчетного года</t>
  </si>
  <si>
    <t xml:space="preserve"> 2016 УПР</t>
  </si>
  <si>
    <t>Анализ счета 6280.07</t>
  </si>
  <si>
    <t>Период: январь 2016 г</t>
  </si>
  <si>
    <t>Реализация</t>
  </si>
  <si>
    <t>РЕКЛАСС</t>
  </si>
  <si>
    <t>Прочие доходы от неосновной деятельности</t>
  </si>
  <si>
    <t>ТМЗ</t>
  </si>
  <si>
    <t>Услуги</t>
  </si>
  <si>
    <t xml:space="preserve">   Излишки инвентаризации </t>
  </si>
  <si>
    <t>ТМЗ рекласс</t>
  </si>
  <si>
    <t xml:space="preserve">    Рекласс доходов</t>
  </si>
  <si>
    <t>Доход от прочей реализации услуг</t>
  </si>
  <si>
    <t>Безвоздмездное полученное имущество</t>
  </si>
  <si>
    <t>1310/1354</t>
  </si>
  <si>
    <t>Доход от выбытия ОС</t>
  </si>
  <si>
    <t>Доход от перевыставленных счетов</t>
  </si>
  <si>
    <t>Доход от прочей реализации сырья и материалов</t>
  </si>
  <si>
    <t>Доход от реализации ком.услуг и аренды</t>
  </si>
  <si>
    <t>Доход от штрафов и неустоек</t>
  </si>
  <si>
    <t>Доход по Кредит нотам</t>
  </si>
  <si>
    <t>Кредит-ноты поставщиков</t>
  </si>
  <si>
    <t xml:space="preserve">Доход по результатам инвента </t>
  </si>
  <si>
    <t>Прочий доход от НОД</t>
  </si>
  <si>
    <t>Списание кредиторской задолженности</t>
  </si>
  <si>
    <t>Страховое возмещение</t>
  </si>
  <si>
    <t>Доход по возмещению расходов по финансированию/Доход по Договорам форварда</t>
  </si>
  <si>
    <t>Доход от реализации основного сырья</t>
  </si>
  <si>
    <t>Доход от реализации товаров</t>
  </si>
  <si>
    <t>Доход от реализации услуг</t>
  </si>
  <si>
    <t>Прочая реализация</t>
  </si>
  <si>
    <t>Доход  от суммовой разницы</t>
  </si>
  <si>
    <t>Доход по инвенту</t>
  </si>
  <si>
    <t>Возмещение от Lipton/ TetraPak</t>
  </si>
  <si>
    <t>RGBrands</t>
  </si>
  <si>
    <t>Анализ счета 7470.09</t>
  </si>
  <si>
    <t>Период: декабрь 2015 г</t>
  </si>
  <si>
    <t>Списание ТМЗ</t>
  </si>
  <si>
    <t>Списание дебиторки</t>
  </si>
  <si>
    <t>Рекласс расходов</t>
  </si>
  <si>
    <t>Недостача по инвентаризации</t>
  </si>
  <si>
    <t>Расходы от реализации или передачи основн.ср-в</t>
  </si>
  <si>
    <t>Брак сырья и материалов (Недостачи по приходу товара)</t>
  </si>
  <si>
    <t>Расходы от реализации сырья и материалов/услуг</t>
  </si>
  <si>
    <t>Расходы от выбытия финансовых инструментов</t>
  </si>
  <si>
    <t>Услуги брокера</t>
  </si>
  <si>
    <t>Прочие непредвиденные расходы</t>
  </si>
  <si>
    <t>Расходы прошлых лет, выявленные в отчетном</t>
  </si>
  <si>
    <t>праздничные мероприятия</t>
  </si>
  <si>
    <t>Бензин, ГСМ</t>
  </si>
  <si>
    <t>Листинговый сбор</t>
  </si>
  <si>
    <t>Расходы по курсовой и суммовой разнице</t>
  </si>
  <si>
    <t>Прочие расходы от НОД</t>
  </si>
  <si>
    <t>1250,  1270,12810</t>
  </si>
  <si>
    <t>прочие налоги и сборы</t>
  </si>
  <si>
    <t>Расходы от ФА</t>
  </si>
  <si>
    <t>2930.02</t>
  </si>
  <si>
    <t>потери по торговым долгам</t>
  </si>
  <si>
    <t>Расходы от прочей реализации (материалов, товаров)</t>
  </si>
  <si>
    <t>Расходы по услугам для дальнейшего перевыставления</t>
  </si>
  <si>
    <t>Списание дебиторской задолженности по срокам дaвности</t>
  </si>
  <si>
    <t>Благотворительная помощь</t>
  </si>
  <si>
    <t>Прочие расходы по документарным операциям</t>
  </si>
  <si>
    <t>Расходы по курсовой и суммовой</t>
  </si>
  <si>
    <t>Прочие расходы по реализации</t>
  </si>
  <si>
    <t>Брокерские таможенные услуги</t>
  </si>
  <si>
    <t>Брак СиМ возмещенные</t>
  </si>
  <si>
    <t>на 7210 аудит</t>
  </si>
  <si>
    <t xml:space="preserve">оставляем в НОД 7470 </t>
  </si>
  <si>
    <t>в услугах</t>
  </si>
  <si>
    <t xml:space="preserve">уменьшили 7210 на </t>
  </si>
  <si>
    <t>Зачеты по контрагентам  с учетом элиминации</t>
  </si>
  <si>
    <t>На конец дня : 31 марта 2016</t>
  </si>
  <si>
    <t>Примечание: В отчете обрабатываются счета 1210; 3310; 1260; 1220; 3320; 1240; 3340; 1280; 3390; 1610;...</t>
  </si>
  <si>
    <t>Контрагенты</t>
  </si>
  <si>
    <t>Зачет</t>
  </si>
  <si>
    <t>Сальдо после зачета</t>
  </si>
  <si>
    <t>AB-MC Distribution Company ТОО</t>
  </si>
  <si>
    <t>Absolut Security TOO</t>
  </si>
  <si>
    <t>ALG Company  ТОО</t>
  </si>
  <si>
    <t>BC Industry ТОО</t>
  </si>
  <si>
    <t>CARAT ТОО Петропавловск</t>
  </si>
  <si>
    <t>Elite Gates Building ИП</t>
  </si>
  <si>
    <t>EMEX Товарищество с Ограниченной Ответственностью</t>
  </si>
  <si>
    <t>High Tech Logistics ТОО</t>
  </si>
  <si>
    <t>Hoogwert International B.V</t>
  </si>
  <si>
    <t>HUNAN TEA GROUP CO. LTD</t>
  </si>
  <si>
    <t xml:space="preserve">IDENTICA Limited </t>
  </si>
  <si>
    <t>ISAS  ТОО</t>
  </si>
  <si>
    <t>Kazakhstan Business Service Company ТОО</t>
  </si>
  <si>
    <t>New Com ИП</t>
  </si>
  <si>
    <t>Nomad CustomsТОО</t>
  </si>
  <si>
    <t>NST cargo Central Asia ТОО</t>
  </si>
  <si>
    <t>NURPAK (ОАО АЛМАТЫПИЩЕРЕММАШ) ТОО</t>
  </si>
  <si>
    <t>P.E.T. ТОО</t>
  </si>
  <si>
    <t xml:space="preserve">Property Retail </t>
  </si>
  <si>
    <t>RastrPlusFlexo ТОО</t>
  </si>
  <si>
    <t>Resmi" Прямые инвестиции" ТОО</t>
  </si>
  <si>
    <t>SIDEL BLOWING AND SERVICES</t>
  </si>
  <si>
    <t>SIDEL SpA</t>
  </si>
  <si>
    <t>TETRA PAK Global Distribution S.A.</t>
  </si>
  <si>
    <t>Tetra Pak Казахстан Ltd</t>
  </si>
  <si>
    <t>Truck-Auto ТОО</t>
  </si>
  <si>
    <t>UNCO JET TOO</t>
  </si>
  <si>
    <t>UNION ENGINEERING</t>
  </si>
  <si>
    <t>VBS TRADE DMCC</t>
  </si>
  <si>
    <t>Азия Интэрнешнл Компани ЛТД ТОО</t>
  </si>
  <si>
    <t>АЛИКА   ООО экспорт</t>
  </si>
  <si>
    <t>Альфа Банк АО ДБ</t>
  </si>
  <si>
    <t>АМС COST ТОО</t>
  </si>
  <si>
    <t>Баян-Сулу АО</t>
  </si>
  <si>
    <t>Бекеулов Бахтияр Мырзаханович</t>
  </si>
  <si>
    <t>Гамма-Тех Фирма ИП</t>
  </si>
  <si>
    <t>ГКП на ПВХ "Су  құбыры" по Талгарскому району</t>
  </si>
  <si>
    <t>Глобопак ТОО</t>
  </si>
  <si>
    <t>Группа компаний RESMI</t>
  </si>
  <si>
    <t>Инвестиционный Финансовый Дом Resmi  АО</t>
  </si>
  <si>
    <t>Интеллсервис ТОО</t>
  </si>
  <si>
    <t>ИП "ТИКА"</t>
  </si>
  <si>
    <t>ИП Машкова Е.В.</t>
  </si>
  <si>
    <t xml:space="preserve">Иссыкский плодоконсервный завод ТОО </t>
  </si>
  <si>
    <t>Казахтелеком АО Кост.обл.дирекция телекоммуникаций</t>
  </si>
  <si>
    <t>Казкоммерц-Life АО Страховая компания</t>
  </si>
  <si>
    <t>Керей-М ТОО</t>
  </si>
  <si>
    <t>Коробкина Анастасия Александровна</t>
  </si>
  <si>
    <t>Корпорация Айгерим ТОО</t>
  </si>
  <si>
    <t>КОСТАНАЙ</t>
  </si>
  <si>
    <t>Мартынов Николай Евгеньевич</t>
  </si>
  <si>
    <t>Мегахимпроект ТОО</t>
  </si>
  <si>
    <t>Международный Аэропорт АО</t>
  </si>
  <si>
    <t>Межрайбаза ОПС ТОО Караганда</t>
  </si>
  <si>
    <t>Молдаков Саят Серикович</t>
  </si>
  <si>
    <t>МОНТАЖЛЕГМАШ ТОО</t>
  </si>
  <si>
    <t>Мусапиров Ергали Турсынович</t>
  </si>
  <si>
    <t>Насырдинов Адылжан Турганович</t>
  </si>
  <si>
    <t>Национальная факторинговая компания ТОО</t>
  </si>
  <si>
    <t>Нефтянная страховая компания Филиал АО в г. Костан</t>
  </si>
  <si>
    <t>Омаров Береке Нурлыбаевич</t>
  </si>
  <si>
    <t>ООО "Несмас-М"</t>
  </si>
  <si>
    <t>ООО "Сатыево"</t>
  </si>
  <si>
    <t>ООО Торговая Компания "Лидинг"</t>
  </si>
  <si>
    <t>Оразбаев Еркебулан Бауыржанулы</t>
  </si>
  <si>
    <t>Охранное агентство Кыпшак ТОО</t>
  </si>
  <si>
    <t>ПАВЛОДАР</t>
  </si>
  <si>
    <t xml:space="preserve">Палата предпринимателей Алматинской области </t>
  </si>
  <si>
    <t>Петрович Владимир Сергеевич  ЧП</t>
  </si>
  <si>
    <t>Пивная Карта ООО</t>
  </si>
  <si>
    <t>ПиРа ООО</t>
  </si>
  <si>
    <t xml:space="preserve">ПродИнтер ТОО Уральск  </t>
  </si>
  <si>
    <t>Промхимснаб ООО</t>
  </si>
  <si>
    <t xml:space="preserve">ПТИ Астана ТОО </t>
  </si>
  <si>
    <t>Раимбекова Айгуль Сакеновна ЧН</t>
  </si>
  <si>
    <t>Расулметов Обиджон Захиджанович</t>
  </si>
  <si>
    <t>РГУ "УГД по  Алмалинскому р-ну ДГД по городу Алмат</t>
  </si>
  <si>
    <t>Саттиев Дарман Ерназарович</t>
  </si>
  <si>
    <t>Старая Компания ООО</t>
  </si>
  <si>
    <t>ТАВАДА и К ТОО</t>
  </si>
  <si>
    <t>Таможенный пост Астана ЦТО(55101)</t>
  </si>
  <si>
    <t>Таможня Костанай</t>
  </si>
  <si>
    <t>Томпродторг ООО</t>
  </si>
  <si>
    <t>Тригон ООО</t>
  </si>
  <si>
    <t>УЛЬБИНСКИЙ МЕТАЛЛУРГ. ЗАВОД ОАО</t>
  </si>
  <si>
    <t>УстьКаменогорск</t>
  </si>
  <si>
    <t>Фаррахетдинова Алия Равилевна ИП</t>
  </si>
  <si>
    <t>Фахуртдинова Альфия Альфатовна ИП</t>
  </si>
  <si>
    <t>Филиал Пласформ Амбалаж Санаи Ве Тиджарет А.Ш. СЭЗ</t>
  </si>
  <si>
    <t>Центр №1 ЛТД ТОО</t>
  </si>
  <si>
    <t>ШЫМКЕНТ</t>
  </si>
  <si>
    <t>Юнайтед Парсел Сервис (КАЗ) ТОО</t>
  </si>
  <si>
    <t>ЮСКО Логистикс Интернешнл» АО</t>
  </si>
  <si>
    <t>ВСЕГО ПО СЧЕТАМ</t>
  </si>
  <si>
    <t>Сальдо на начало</t>
  </si>
  <si>
    <t>Сальдо на конец</t>
  </si>
  <si>
    <t>Анализ счета 1210</t>
  </si>
  <si>
    <t>Детализация по  субконто: Контрагенты, кор.субсчетам и субконто</t>
  </si>
  <si>
    <t>Отбор: Контрагенты = ОСОО "RG Brands Кыргызстан"</t>
  </si>
  <si>
    <t>Статья*</t>
  </si>
  <si>
    <t>Компания</t>
  </si>
  <si>
    <t>Афф Компания</t>
  </si>
  <si>
    <t>Сумма Р</t>
  </si>
  <si>
    <t>ТОО RGBrands Казахстан</t>
  </si>
  <si>
    <t>О Head Office CABD</t>
  </si>
  <si>
    <t>Доход по дивидендам и вознаграждениям по акциям</t>
  </si>
  <si>
    <t>Прочая аренда</t>
  </si>
  <si>
    <t>Штрих-код, товарные знаки</t>
  </si>
  <si>
    <t>Виды субконто: Доходы</t>
  </si>
  <si>
    <t>Нереализованные доходы от переоценки иностранной валюты</t>
  </si>
  <si>
    <t>возмещение от PBI</t>
  </si>
  <si>
    <t>кредит ноты</t>
  </si>
  <si>
    <t>курсовая</t>
  </si>
  <si>
    <t>Виды субконто: Статьи затрат</t>
  </si>
  <si>
    <t>Автотранспортные расходы м/у городами</t>
  </si>
  <si>
    <t>Бонусы, премии, PDR</t>
  </si>
  <si>
    <t>Вознаграждения клиентам (экспорт)</t>
  </si>
  <si>
    <t>Консультационные расходы</t>
  </si>
  <si>
    <t>Маркетинговые исследования</t>
  </si>
  <si>
    <t>Почтовые</t>
  </si>
  <si>
    <t>Услуги сторонних охранных агентств№2</t>
  </si>
  <si>
    <t>Электроэнергия</t>
  </si>
  <si>
    <t>бонусы</t>
  </si>
  <si>
    <t>с/с</t>
  </si>
  <si>
    <t>подотчет</t>
  </si>
  <si>
    <t>СС за 15-2016</t>
  </si>
  <si>
    <t>Прочий доход</t>
  </si>
  <si>
    <t>Убытки по курсовой разнице</t>
  </si>
  <si>
    <t>разница</t>
  </si>
  <si>
    <t>Краткосрочные займы</t>
  </si>
  <si>
    <t>Торговая дебиторская задолженность</t>
  </si>
  <si>
    <t>инвест доход</t>
  </si>
  <si>
    <t xml:space="preserve">Express Trading  LTD OCOO, RGBrands Казахстан, ТOO "RG Brands Kazakhstan", ASD филиал ТОО RGBrands Казахстан,  Филиал "InterJuice "ТОО" RGBrands Казахстан", Филиал "PRGBottlers" ТОО "RGBrands Казахстан ", Филиал "Tealand " ТОО "RG Brands Кazakhstan", Филиал "Алматы Снэк Фуд" ТОО "RG Brands Kazakhstan" , Филиал  "Космис" ТОО "RG Brands Казахстан" г.Костанай, Представительство ТОО Эрджи Брэндс в Казахстан в Кыргызстане, ТОО RGB  для консолидации,  ТОО RGBrands Kazakhstan торговля, Филиал "Аксенгир "  ТОО" RG Brands Kazakhstan", Филиал ТОО "RG  Brands Kazakhstan " в 
г. Алматы
, Филиал ТОО "RG  Brands Kazakhstan " в 
г. Атырау
, филиал ТОО "RG Brands Kazakhstan" в г. Астана, филиал ТОО "RG Brands Kazakhstan" в г. Караганда, филиал ТОО "RG Brands Kazakhstan" в г. Костанай, филиал ТОО "RG Brands Kazakhstan" в г. Кызылорда, филиал ТОО "RG Brands Kazakhstan" в г. Павлодар, филиал ТОО "RG Brands Kazakhstan" в г. Талдыкорган, филиал ТОО "RG Brands Kazakhstan" в г. Уральск, филиал ТОО "RG Brands Kazakhstan" в г. Шымкент, филиал ТОО "RG Brands Kazakhstan" в г. Усть-Каменогорск, Консолидация RGBrands, RGBrands ОАО, RGBrands ASD, АО "RG Brands ", RGBrands Алматы, UniCommerce, UniCommerce Aktau, UniCommerce Almaty, UniCommerce Astana , UniCommerce Karaganda, UniCommerce Kostanay, UniCommerce KzylOrda, UniCommerce Pavlodar, UniCommerce Shimkent, UniCommerce T-Kurgan, UniCommerce Uralsk, UniCommerce UstKaman, UniCommerce Ltd, ТОО PRG Bottlers  Kazakhstan, </t>
  </si>
  <si>
    <t>Анализ счета 6250</t>
  </si>
  <si>
    <t>Период: 2015 г.</t>
  </si>
  <si>
    <t>дс</t>
  </si>
  <si>
    <t>та</t>
  </si>
  <si>
    <t>Анализ счета 7430</t>
  </si>
  <si>
    <t>Check (should be zero)</t>
  </si>
  <si>
    <t xml:space="preserve">   Основные средства</t>
  </si>
  <si>
    <t xml:space="preserve">   Авансы выданные </t>
  </si>
  <si>
    <t xml:space="preserve">   Банковские депозиты</t>
  </si>
  <si>
    <t xml:space="preserve">   Нематериальные активы</t>
  </si>
  <si>
    <t xml:space="preserve">   Товарно-материальные запасы</t>
  </si>
  <si>
    <t xml:space="preserve">   Торговая дебиторская задолженность </t>
  </si>
  <si>
    <t xml:space="preserve">   Авансы выданные</t>
  </si>
  <si>
    <t xml:space="preserve">   Прочие финансовые активы</t>
  </si>
  <si>
    <t xml:space="preserve">   Прочие текущие активы</t>
  </si>
  <si>
    <t xml:space="preserve">   Денежные средства и их эквиваленты</t>
  </si>
  <si>
    <t xml:space="preserve">   Активы, классифицируемые как   удерживаемые для продажи</t>
  </si>
  <si>
    <t xml:space="preserve">   Уставный капитал</t>
  </si>
  <si>
    <t xml:space="preserve">   Резервы </t>
  </si>
  <si>
    <t xml:space="preserve">   Нераспределенная прибыль</t>
  </si>
  <si>
    <t xml:space="preserve">   Обязательства по финансовой аренде</t>
  </si>
  <si>
    <t xml:space="preserve">   Обязательства по отсроченному корпоративному налогу</t>
  </si>
  <si>
    <t xml:space="preserve">   Кредиторская задолженность </t>
  </si>
  <si>
    <t xml:space="preserve">   Займы от связанных сторон</t>
  </si>
  <si>
    <t xml:space="preserve">   Кредиторская задолженность</t>
  </si>
  <si>
    <t>Займы и текущая часть</t>
  </si>
  <si>
    <t xml:space="preserve">   Текущая часть обязательств по финансовой аренде</t>
  </si>
  <si>
    <t>КПН к уплате</t>
  </si>
  <si>
    <t xml:space="preserve">   Налоги к уплате</t>
  </si>
  <si>
    <t xml:space="preserve">   Прочая кредиторская задолженность и начисленные обязательства</t>
  </si>
  <si>
    <t>Баланс по сост.на 31.12.15</t>
  </si>
  <si>
    <t>Приме-чание</t>
  </si>
  <si>
    <t>2015 г.</t>
  </si>
  <si>
    <t>2014 г.</t>
  </si>
  <si>
    <t xml:space="preserve">Прибыль до налогообложения                                                                                                                        </t>
  </si>
  <si>
    <t xml:space="preserve">Корректировки на:  </t>
  </si>
  <si>
    <t xml:space="preserve">Износ и амортизацию </t>
  </si>
  <si>
    <t>6, 7, 8</t>
  </si>
  <si>
    <t xml:space="preserve">Расходы по финансированию  </t>
  </si>
  <si>
    <t xml:space="preserve">Убыток от курсовой разницы, нетто  </t>
  </si>
  <si>
    <t xml:space="preserve">Убыток/(доход) от выбытия основных средств </t>
  </si>
  <si>
    <t>Убыток от обесценения активов, предназначенных для продажи</t>
  </si>
  <si>
    <t>Инвестиционные доходы, нетто</t>
  </si>
  <si>
    <t xml:space="preserve">Убыток от списания товарно-материальных запасов </t>
  </si>
  <si>
    <t>7, 8</t>
  </si>
  <si>
    <t>Начисление/(восстановление) резерва по обесценению авансов выданных</t>
  </si>
  <si>
    <t>Начисление/(восстановление) резерва по труднореализуемым и устаревшим товарно-материальным запасам</t>
  </si>
  <si>
    <t>Начисление резерва по отпускам и прочим оценочным расходам</t>
  </si>
  <si>
    <t xml:space="preserve">Начисление/(восстановление) резерва по сомнительной задолженности </t>
  </si>
  <si>
    <t>\\амортизация резерва переоценки</t>
  </si>
  <si>
    <t xml:space="preserve">   \\рекласс в активы для продажи</t>
  </si>
  <si>
    <t xml:space="preserve">     \\переоценка</t>
  </si>
  <si>
    <t xml:space="preserve">Движение денежных средств от операционной деятельности до изменений в оборотном капитале  </t>
  </si>
  <si>
    <t xml:space="preserve">Изменение товарно-материальных запасов  </t>
  </si>
  <si>
    <t xml:space="preserve">Изменение торговой дебиторской задолженности  </t>
  </si>
  <si>
    <t xml:space="preserve">Изменение авансов выданных  </t>
  </si>
  <si>
    <t xml:space="preserve">Изменение прочих текущих активов  </t>
  </si>
  <si>
    <t xml:space="preserve">Изменение кредиторской задолженности </t>
  </si>
  <si>
    <t>Изменение КПН к уплате</t>
  </si>
  <si>
    <t xml:space="preserve">Изменение налогов к уплате  </t>
  </si>
  <si>
    <t xml:space="preserve">Изменение прочей кредиторской задолженности и начисленных обязательств   </t>
  </si>
  <si>
    <t xml:space="preserve">Денежные средства от операционной деятельности </t>
  </si>
  <si>
    <t xml:space="preserve">Проценты уплаченные </t>
  </si>
  <si>
    <t>Подоходный налог уплаченный</t>
  </si>
  <si>
    <t>ИНВЕСТИЦИОННАЯ ДЕЯТЕЛЬНОСТЬ:</t>
  </si>
  <si>
    <t>Авансы, выданные за приобретение инвестиционной недвижимости</t>
  </si>
  <si>
    <t>Поступление от  продажи прочих финансовых активов</t>
  </si>
  <si>
    <t>Покупка прочих финансовых активов</t>
  </si>
  <si>
    <t>Чистые денежные средства, (использованные)/ полученные от инвестиционной деятельности</t>
  </si>
  <si>
    <t xml:space="preserve">Заемные средства полученные  </t>
  </si>
  <si>
    <t>Погашение обязательств по финансовой аренде</t>
  </si>
  <si>
    <t>Поступления займа от связанной стороны</t>
  </si>
  <si>
    <t>Погашение займа связанной стороне</t>
  </si>
  <si>
    <t>Чистые денежные средства, использованные в финансовой деятельности</t>
  </si>
  <si>
    <t xml:space="preserve">ЧИСТОЕ ИЗМЕНЕНИЕ ДЕНЕЖНЫХ СРЕДСТВ </t>
  </si>
  <si>
    <t xml:space="preserve">ДЕНЕЖНЫЕ СРЕДСТВА И ИХ ЭКВИВАЛЕНТЫ, начало года </t>
  </si>
  <si>
    <t>Влияние изменения курса иностранных валют по отношению к денежным средствам</t>
  </si>
  <si>
    <t xml:space="preserve">ДЕНЕЖНЫЕ СРЕДСТВА И ИХ ЭКВИВАЛЕНТЫ, конец года </t>
  </si>
  <si>
    <t>Анализ субконто по кэшу</t>
  </si>
  <si>
    <t>Financing % (проценты за кредит)</t>
  </si>
  <si>
    <t xml:space="preserve">RGBrands Казахстан, ТOO "RG Brands Kazakhstan", ASD филиал ТОО RGBrands Казахстан,  Филиал "InterJuice "ТОО" RGBrands Казахстан", Филиал "PRGBottlers" ТОО "RGBrands Казахстан ", Филиал "Tealand " ТОО "RG Brands Кazakhstan", Филиал "Алматы Снэк Фуд" ТОО "RG Brands Kazakhstan" , Филиал  "Космис" ТОО "RG Brands Казахстан" г.Костанай, Представительство ТОО Эрджи Брэндс в Казахстан в Кыргызстане, ТОО RGB  для консолидации,  ТОО RGBrands Kazakhstan торговля, Филиал "Аксенгир "  ТОО" RG Brands Kazakhstan", Филиал ТОО "RG  Brands Kazakhstan " в 
г. Алматы
, Филиал ТОО "RG  Brands Kazakhstan " в 
г. Атырау
, филиал ТОО "RG Brands Kazakhstan" в г. Астана, филиал ТОО "RG Brands Kazakhstan" в г. Караганда, филиал ТОО "RG Brands Kazakhstan" в г. Костанай, филиал ТОО "RG Brands Kazakhstan" в г. Кызылорда, филиал ТОО "RG Brands Kazakhstan" в г. Павлодар, филиал ТОО "RG Brands Kazakhstan" в г. Талдыкорган, филиал ТОО "RG Brands Kazakhstan" в г. Уральск, филиал ТОО "RG Brands Kazakhstan" в г. Шымкент, филиал ТОО "RG Brands Kazakhstan" в г. Усть-Каменогорск, </t>
  </si>
  <si>
    <t>Анализ счета 4010</t>
  </si>
  <si>
    <t>Анализ счета 3010</t>
  </si>
  <si>
    <t>Анализ счета 3380.25</t>
  </si>
  <si>
    <t>Анализ счета 3380.27</t>
  </si>
  <si>
    <t>Анализ счета 1000</t>
  </si>
  <si>
    <t>1280.01</t>
  </si>
  <si>
    <t>Субсидии исполнительных органов</t>
  </si>
  <si>
    <t>Анализ счета 1280.10</t>
  </si>
  <si>
    <t>Отбор: Контрагенты = Инвестиционный Финансовый Дом Resmi  АО</t>
  </si>
  <si>
    <t>Баланс по сост.на 31.03.16</t>
  </si>
  <si>
    <t>фа</t>
  </si>
  <si>
    <t>кз</t>
  </si>
  <si>
    <t>ав</t>
  </si>
  <si>
    <t>пр кз</t>
  </si>
  <si>
    <t>долг кз</t>
  </si>
  <si>
    <t>займы долг</t>
  </si>
  <si>
    <t>займы кр</t>
  </si>
  <si>
    <t>01.01.2016-31.03.2016</t>
  </si>
  <si>
    <t>01.01.2015-31.03.2015</t>
  </si>
  <si>
    <t>Доход от ранее признанного убытка по переоценки основных средств</t>
  </si>
  <si>
    <t>Авансы, выданные за приобретение  инвестиционной недвижимости</t>
  </si>
  <si>
    <t>Выкуп привилегированных акций у третьей стороны</t>
  </si>
  <si>
    <t>Поступление от продажи привелигированных акций третьей стороне</t>
  </si>
  <si>
    <t>Бишкек 2015 г.</t>
  </si>
  <si>
    <t>2410.03 Машины и оборудование (переоценка)</t>
  </si>
  <si>
    <t>Агыбаев А.Е.</t>
  </si>
  <si>
    <t>Иванова Н.А.</t>
  </si>
  <si>
    <t>Главный бухгалтер</t>
  </si>
  <si>
    <t>И.о. Председателя Правления</t>
  </si>
  <si>
    <t>От имени руководства Группы:</t>
  </si>
  <si>
    <t>Агыбаев Аскат</t>
  </si>
  <si>
    <t>Иванова Наталья</t>
  </si>
  <si>
    <t>Главный управляющий по</t>
  </si>
  <si>
    <t>финансовым вопросам</t>
  </si>
  <si>
    <t>At 31 December 2015</t>
  </si>
  <si>
    <t>ASSETS</t>
  </si>
  <si>
    <t>NON-CURRENT ASSETS:</t>
  </si>
  <si>
    <t>Property, plant and equipment</t>
  </si>
  <si>
    <t>Advances paid</t>
  </si>
  <si>
    <t>Intangible assets</t>
  </si>
  <si>
    <t xml:space="preserve">Goodwill </t>
  </si>
  <si>
    <t>TOTAL NON-CURRENT ASSETS</t>
  </si>
  <si>
    <t>CURRENT ASSETS:</t>
  </si>
  <si>
    <t>Inventory</t>
  </si>
  <si>
    <t xml:space="preserve">Trade accounts receivable </t>
  </si>
  <si>
    <t xml:space="preserve">Other financial assets </t>
  </si>
  <si>
    <t>Other current assets</t>
  </si>
  <si>
    <t xml:space="preserve">Bank deposits </t>
  </si>
  <si>
    <t>Cash and cash equivalents</t>
  </si>
  <si>
    <t>Non-current assets classified as held for sale</t>
  </si>
  <si>
    <t xml:space="preserve">TOTAL CURRENT ASSETS </t>
  </si>
  <si>
    <t>TOTAL ASSETS</t>
  </si>
  <si>
    <t>EQUITY AND LIABILITIES</t>
  </si>
  <si>
    <t>EQUITY:</t>
  </si>
  <si>
    <t>Share capital</t>
  </si>
  <si>
    <t>Preferred shares held within the Group</t>
  </si>
  <si>
    <t>withdrawn capital</t>
  </si>
  <si>
    <t xml:space="preserve">Provisions </t>
  </si>
  <si>
    <t>Retained earnings</t>
  </si>
  <si>
    <t xml:space="preserve">Equity attributable to shareholders of parent company </t>
  </si>
  <si>
    <t xml:space="preserve">Minority interest </t>
  </si>
  <si>
    <t>TOTAL EQUITY</t>
  </si>
  <si>
    <t>NON-CURRENT LIABILITIES :</t>
  </si>
  <si>
    <t>Long-term loans</t>
  </si>
  <si>
    <t>Deferred corporate income tax liability</t>
  </si>
  <si>
    <t>Accounts payable</t>
  </si>
  <si>
    <t>TOTAL NON-CURRENT LIABILITIES</t>
  </si>
  <si>
    <t>CURRENT LIABILITIES :</t>
  </si>
  <si>
    <t>Account payable</t>
  </si>
  <si>
    <t>Short-term loans and current portion of long-term loans</t>
  </si>
  <si>
    <t xml:space="preserve">Taxes payable </t>
  </si>
  <si>
    <t xml:space="preserve">Other accounts payable and accrued liabilities </t>
  </si>
  <si>
    <t>TOTAL CURRENT LIABILITIES</t>
  </si>
  <si>
    <t>TOTAL EQUITY AND LIABILITIES</t>
  </si>
  <si>
    <t>Carrying amount per common share (KZT)</t>
  </si>
  <si>
    <t>Carrying amount per preferred share (KZT)</t>
  </si>
  <si>
    <t xml:space="preserve">Consolidated Statement of Financial Position as at 31 March 2016  </t>
  </si>
  <si>
    <t>At 31 March 2016</t>
  </si>
  <si>
    <t>3 months of 2014</t>
  </si>
  <si>
    <t>3 months of 2013</t>
  </si>
  <si>
    <r>
      <t xml:space="preserve">Consolidated Statement of Profit and Loss and Other Comprehensive Income for the Period Ended 31 March 2016                                              </t>
    </r>
    <r>
      <rPr>
        <sz val="10"/>
        <rFont val="Arial Cyr"/>
        <charset val="204"/>
      </rPr>
      <t xml:space="preserve"> </t>
    </r>
  </si>
  <si>
    <t xml:space="preserve">REVENUE </t>
  </si>
  <si>
    <t>COST OF SALES</t>
  </si>
  <si>
    <t>GROSS PROFIT</t>
  </si>
  <si>
    <t>Selling expenses</t>
  </si>
  <si>
    <t xml:space="preserve">General and administrative expenses </t>
  </si>
  <si>
    <t>OPERATING INCOME</t>
  </si>
  <si>
    <t>Finance costs</t>
  </si>
  <si>
    <t>Exchange (loss)/gain</t>
  </si>
  <si>
    <t xml:space="preserve">Investment income, net  </t>
  </si>
  <si>
    <t>Other (costs)/gains</t>
  </si>
  <si>
    <t>(Loss)/profit before income tax benefit</t>
  </si>
  <si>
    <t xml:space="preserve">Income tax payable </t>
  </si>
  <si>
    <t>(Loss)/profit for the period</t>
  </si>
  <si>
    <t>Exchange difference from  foreign entity translation</t>
  </si>
  <si>
    <t>Revaluation of property, plant and equipment</t>
  </si>
  <si>
    <t>Total comprehensive (loss)/income</t>
  </si>
  <si>
    <t>Shareholders of the parent company</t>
  </si>
  <si>
    <t>Earnings per common share, KZT</t>
  </si>
  <si>
    <t xml:space="preserve">
Consolidated Statement of Cash Flows
for the period ended 31 March 2016 (indirect method)
</t>
  </si>
  <si>
    <t>(KZT’000)</t>
  </si>
  <si>
    <t xml:space="preserve">  1. OPERATING ACTIVITY:</t>
  </si>
  <si>
    <t xml:space="preserve"> Profit from operating activity before tax</t>
  </si>
  <si>
    <t xml:space="preserve"> Adjustments for:  </t>
  </si>
  <si>
    <t>Amortisation and depreciation</t>
  </si>
  <si>
    <t xml:space="preserve">Exchange (gain) /loss  </t>
  </si>
  <si>
    <t xml:space="preserve">Loss from disposal of property, plant and equipment </t>
  </si>
  <si>
    <t xml:space="preserve">Loss from non-operating activities </t>
  </si>
  <si>
    <t>Recovery of selling expenses through set-off</t>
  </si>
  <si>
    <t>Investment (gain)/loss, net</t>
  </si>
  <si>
    <t>Cash flow from operating activity before changes in working capital</t>
  </si>
  <si>
    <t xml:space="preserve">Increase /(decrease) in inventory  </t>
  </si>
  <si>
    <t>Increase /(decrease) in trade receivables</t>
  </si>
  <si>
    <t>Increase /(decrease) in advances paid</t>
  </si>
  <si>
    <t>Increase /(decrease) in other current assets</t>
  </si>
  <si>
    <t>Increase /(decrease) in payables</t>
  </si>
  <si>
    <t>Increase /(decrease) in taxes payable</t>
  </si>
  <si>
    <t>Increase /(decrease) in other payables and accrued liabilities</t>
  </si>
  <si>
    <t xml:space="preserve"> Cash from operating activity</t>
  </si>
  <si>
    <t>Interest paid</t>
  </si>
  <si>
    <t>Income tax paid</t>
  </si>
  <si>
    <t xml:space="preserve">                                                                                     Net cash from operating activity</t>
  </si>
  <si>
    <t xml:space="preserve">INVESTING ACTIVITY: </t>
  </si>
  <si>
    <t xml:space="preserve">Net acquisition of investments held for trading  </t>
  </si>
  <si>
    <t>Proceeds from disposal of property, plant and equipment, intangible assets and assets classified as held for sale</t>
  </si>
  <si>
    <t xml:space="preserve">Net cash inflow from acquisition and sale of other investments </t>
  </si>
  <si>
    <t>Acquisition of property, plant and equipment and intangible assets</t>
  </si>
  <si>
    <t xml:space="preserve">                   Net cash from investing activity</t>
  </si>
  <si>
    <t xml:space="preserve">FINANCING ACTIVITY: </t>
  </si>
  <si>
    <t>Repayment of borrowings</t>
  </si>
  <si>
    <t>Finance lease paid</t>
  </si>
  <si>
    <t>Dividends paid</t>
  </si>
  <si>
    <t>Borrowings received</t>
  </si>
  <si>
    <t xml:space="preserve">                                                                                 Net cash from financing activities</t>
  </si>
  <si>
    <t>Effect of fluctuations in exchange rate on cash and cash equivalents</t>
  </si>
  <si>
    <t>NET INCREASE IN CASH AND CASH EQUIVALENTS</t>
  </si>
  <si>
    <t>CASH AND CASH EQUIVALENTS, beginning of the period</t>
  </si>
  <si>
    <t>CASH AND CASH EQUIVALENTS, end of the period</t>
  </si>
  <si>
    <t>Consolidated Statement of Changes in Equity for the period ended 31 March 2016</t>
  </si>
  <si>
    <t>Treasury shares</t>
  </si>
  <si>
    <t>Real estate revaluation provision</t>
  </si>
  <si>
    <t>Provision for share-based employee benefits</t>
  </si>
  <si>
    <t>Exchange difference provision</t>
  </si>
  <si>
    <t>Total equity</t>
  </si>
  <si>
    <t xml:space="preserve">Balance at 31 December 2015 </t>
  </si>
  <si>
    <t>Net profit</t>
  </si>
  <si>
    <t>Expansion of capital stock</t>
  </si>
  <si>
    <t>Restatement of buildings and constructions</t>
  </si>
  <si>
    <t>Exchange difference resulting from foreign exchange translation</t>
  </si>
  <si>
    <t>Reclassification to retained earnings</t>
  </si>
  <si>
    <r>
      <t xml:space="preserve">Balance at 31 March </t>
    </r>
    <r>
      <rPr>
        <sz val="8"/>
        <rFont val="Times New Roman"/>
        <family val="1"/>
        <charset val="204"/>
      </rPr>
      <t>2016</t>
    </r>
  </si>
  <si>
    <t xml:space="preserve">RG  BRANDS JSC &amp; Subsidiaries 
</t>
  </si>
  <si>
    <t xml:space="preserve">RG  BRANDS JSC &amp; Subsidiaries </t>
  </si>
  <si>
    <t xml:space="preserve">Balance at  01 January 2015 </t>
  </si>
  <si>
    <t>Repurchase of own stock</t>
  </si>
  <si>
    <t>Fair value adjustment of loan to shareholder</t>
  </si>
  <si>
    <t>-</t>
  </si>
</sst>
</file>

<file path=xl/styles.xml><?xml version="1.0" encoding="utf-8"?>
<styleSheet xmlns="http://schemas.openxmlformats.org/spreadsheetml/2006/main">
  <numFmts count="24">
    <numFmt numFmtId="43" formatCode="_-* #,##0.00_р_._-;\-* #,##0.00_р_._-;_-* &quot;-&quot;??_р_.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\ #,##0.00_);\(\ #,##0.00\);_(* &quot;-&quot;_)"/>
    <numFmt numFmtId="168" formatCode="_(\ #,##0.00_);\(\ #,##0.00\)"/>
    <numFmt numFmtId="169" formatCode="#,##0.00_р_."/>
    <numFmt numFmtId="170" formatCode="#,##0_р_."/>
    <numFmt numFmtId="171" formatCode="0.00;[Red]\-0.00"/>
    <numFmt numFmtId="172" formatCode="#,##0.000"/>
    <numFmt numFmtId="173" formatCode="#,##0.000;[Red]\-#,##0.000"/>
    <numFmt numFmtId="174" formatCode="0.0000"/>
    <numFmt numFmtId="175" formatCode="#,##0.00_ ;[Red]\-#,##0.00\ "/>
    <numFmt numFmtId="176" formatCode="_(* #,##0.000000_);_(* \(#,##0.000000\);_(* &quot;-&quot;??_);_(@_)"/>
    <numFmt numFmtId="177" formatCode="0%_);\(0%\)"/>
    <numFmt numFmtId="178" formatCode="#,##0.00;[Red]\-#,##0.00"/>
    <numFmt numFmtId="179" formatCode="#,##0.0_р_."/>
    <numFmt numFmtId="180" formatCode="#,##0.00;[Red]#,##0.00"/>
    <numFmt numFmtId="181" formatCode="#,##0.0"/>
    <numFmt numFmtId="182" formatCode="#,##0.00_ ;\-#,##0.00\ "/>
    <numFmt numFmtId="183" formatCode="#,##0.0000000;[Red]#,##0.0000000"/>
    <numFmt numFmtId="184" formatCode="0.0"/>
    <numFmt numFmtId="185" formatCode="_(* #,##0_);_(* \(#,##0\);_(* &quot;-&quot;_);_(@_)"/>
    <numFmt numFmtId="186" formatCode="_ * #,##0_ ;_ * \-#,##0_ ;_ * &quot;-&quot;_ ;_ @_ "/>
  </numFmts>
  <fonts count="15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56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 Cyr"/>
      <charset val="204"/>
    </font>
    <font>
      <i/>
      <sz val="9"/>
      <name val="Arial"/>
      <family val="2"/>
      <charset val="204"/>
    </font>
    <font>
      <i/>
      <sz val="10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9"/>
      <color indexed="56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1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8"/>
      <color indexed="18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name val="Arial"/>
      <family val="2"/>
      <charset val="204"/>
    </font>
    <font>
      <b/>
      <sz val="8"/>
      <color indexed="11"/>
      <name val="Arial"/>
      <family val="2"/>
      <charset val="204"/>
    </font>
    <font>
      <sz val="10"/>
      <color indexed="11"/>
      <name val="Arial"/>
      <family val="2"/>
      <charset val="204"/>
    </font>
    <font>
      <b/>
      <sz val="10"/>
      <color indexed="11"/>
      <name val="Arial"/>
      <family val="2"/>
      <charset val="204"/>
    </font>
    <font>
      <sz val="8"/>
      <color indexed="11"/>
      <name val="Arial"/>
      <family val="2"/>
      <charset val="204"/>
    </font>
    <font>
      <i/>
      <sz val="10"/>
      <name val="Arial Cyr"/>
      <charset val="204"/>
    </font>
    <font>
      <b/>
      <sz val="10"/>
      <name val="Helv"/>
      <charset val="204"/>
    </font>
    <font>
      <b/>
      <sz val="10"/>
      <color indexed="12"/>
      <name val="Arial"/>
      <family val="2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2"/>
      <name val="Arial"/>
      <family val="2"/>
      <charset val="204"/>
    </font>
    <font>
      <sz val="8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i/>
      <sz val="11"/>
      <name val="Arial Cyr"/>
      <charset val="204"/>
    </font>
    <font>
      <i/>
      <sz val="11"/>
      <name val="Arial"/>
      <family val="2"/>
      <charset val="204"/>
    </font>
    <font>
      <b/>
      <sz val="11"/>
      <color indexed="12"/>
      <name val="Arial Cyr"/>
      <charset val="204"/>
    </font>
    <font>
      <i/>
      <sz val="8"/>
      <color indexed="12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 Cyr"/>
      <charset val="204"/>
    </font>
    <font>
      <b/>
      <sz val="10"/>
      <color indexed="12"/>
      <name val="Times New Roman"/>
      <family val="1"/>
      <charset val="204"/>
    </font>
    <font>
      <sz val="9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1"/>
      <name val="Arial Cyr"/>
      <charset val="204"/>
    </font>
    <font>
      <b/>
      <sz val="8"/>
      <name val="Arial"/>
      <family val="2"/>
      <charset val="204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i/>
      <sz val="9"/>
      <name val="Times New Roman"/>
      <family val="1"/>
      <charset val="204"/>
    </font>
    <font>
      <sz val="8"/>
      <name val="Arial"/>
      <family val="2"/>
      <charset val="1"/>
    </font>
    <font>
      <sz val="9"/>
      <name val="Arial"/>
      <family val="2"/>
      <charset val="1"/>
    </font>
    <font>
      <b/>
      <sz val="11"/>
      <color indexed="10"/>
      <name val="Arial"/>
      <family val="2"/>
      <charset val="204"/>
    </font>
    <font>
      <b/>
      <i/>
      <sz val="11"/>
      <name val="Arial"/>
      <family val="2"/>
      <charset val="204"/>
    </font>
    <font>
      <i/>
      <sz val="10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Arial"/>
      <family val="2"/>
      <charset val="1"/>
    </font>
    <font>
      <sz val="10"/>
      <color theme="0"/>
      <name val="Helv"/>
    </font>
    <font>
      <sz val="9"/>
      <color theme="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Helv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i/>
      <sz val="10"/>
      <color rgb="FFFF000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i/>
      <sz val="8"/>
      <color rgb="FFFF000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Helv"/>
    </font>
    <font>
      <sz val="11"/>
      <color theme="0"/>
      <name val="Helv"/>
    </font>
    <font>
      <sz val="11"/>
      <name val="Helv"/>
    </font>
    <font>
      <b/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</borders>
  <cellStyleXfs count="236">
    <xf numFmtId="0" fontId="0" fillId="0" borderId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4" borderId="0" applyNumberFormat="0" applyBorder="0" applyAlignment="0" applyProtection="0"/>
    <xf numFmtId="0" fontId="74" fillId="6" borderId="0" applyNumberFormat="0" applyBorder="0" applyAlignment="0" applyProtection="0"/>
    <xf numFmtId="0" fontId="74" fillId="3" borderId="0" applyNumberFormat="0" applyBorder="0" applyAlignment="0" applyProtection="0"/>
    <xf numFmtId="0" fontId="74" fillId="10" borderId="0" applyNumberFormat="0" applyBorder="0" applyAlignment="0" applyProtection="0"/>
    <xf numFmtId="0" fontId="74" fillId="7" borderId="0" applyNumberFormat="0" applyBorder="0" applyAlignment="0" applyProtection="0"/>
    <xf numFmtId="0" fontId="74" fillId="6" borderId="0" applyNumberFormat="0" applyBorder="0" applyAlignment="0" applyProtection="0"/>
    <xf numFmtId="0" fontId="74" fillId="4" borderId="0" applyNumberFormat="0" applyBorder="0" applyAlignment="0" applyProtection="0"/>
    <xf numFmtId="0" fontId="75" fillId="6" borderId="0" applyNumberFormat="0" applyBorder="0" applyAlignment="0" applyProtection="0"/>
    <xf numFmtId="0" fontId="75" fillId="12" borderId="0" applyNumberFormat="0" applyBorder="0" applyAlignment="0" applyProtection="0"/>
    <xf numFmtId="0" fontId="75" fillId="11" borderId="0" applyNumberFormat="0" applyBorder="0" applyAlignment="0" applyProtection="0"/>
    <xf numFmtId="0" fontId="75" fillId="7" borderId="0" applyNumberFormat="0" applyBorder="0" applyAlignment="0" applyProtection="0"/>
    <xf numFmtId="0" fontId="75" fillId="6" borderId="0" applyNumberFormat="0" applyBorder="0" applyAlignment="0" applyProtection="0"/>
    <xf numFmtId="0" fontId="75" fillId="3" borderId="0" applyNumberFormat="0" applyBorder="0" applyAlignment="0" applyProtection="0"/>
    <xf numFmtId="0" fontId="75" fillId="15" borderId="0" applyNumberFormat="0" applyBorder="0" applyAlignment="0" applyProtection="0"/>
    <xf numFmtId="0" fontId="75" fillId="12" borderId="0" applyNumberFormat="0" applyBorder="0" applyAlignment="0" applyProtection="0"/>
    <xf numFmtId="0" fontId="75" fillId="11" borderId="0" applyNumberFormat="0" applyBorder="0" applyAlignment="0" applyProtection="0"/>
    <xf numFmtId="0" fontId="75" fillId="16" borderId="0" applyNumberFormat="0" applyBorder="0" applyAlignment="0" applyProtection="0"/>
    <xf numFmtId="0" fontId="75" fillId="14" borderId="0" applyNumberFormat="0" applyBorder="0" applyAlignment="0" applyProtection="0"/>
    <xf numFmtId="0" fontId="75" fillId="17" borderId="0" applyNumberFormat="0" applyBorder="0" applyAlignment="0" applyProtection="0"/>
    <xf numFmtId="0" fontId="76" fillId="9" borderId="0" applyNumberFormat="0" applyBorder="0" applyAlignment="0" applyProtection="0"/>
    <xf numFmtId="0" fontId="77" fillId="18" borderId="1" applyNumberFormat="0" applyAlignment="0" applyProtection="0"/>
    <xf numFmtId="0" fontId="78" fillId="19" borderId="2" applyNumberFormat="0" applyAlignment="0" applyProtection="0"/>
    <xf numFmtId="176" fontId="7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6" borderId="0" applyNumberFormat="0" applyBorder="0" applyAlignment="0" applyProtection="0"/>
    <xf numFmtId="14" fontId="48" fillId="20" borderId="3">
      <alignment horizontal="center" vertical="center" wrapText="1"/>
    </xf>
    <xf numFmtId="0" fontId="81" fillId="0" borderId="4" applyNumberFormat="0" applyFill="0" applyAlignment="0" applyProtection="0"/>
    <xf numFmtId="0" fontId="82" fillId="0" borderId="5" applyNumberFormat="0" applyFill="0" applyAlignment="0" applyProtection="0"/>
    <xf numFmtId="0" fontId="83" fillId="0" borderId="6" applyNumberFormat="0" applyFill="0" applyAlignment="0" applyProtection="0"/>
    <xf numFmtId="0" fontId="83" fillId="0" borderId="0" applyNumberFormat="0" applyFill="0" applyBorder="0" applyAlignment="0" applyProtection="0"/>
    <xf numFmtId="0" fontId="84" fillId="10" borderId="1" applyNumberFormat="0" applyAlignment="0" applyProtection="0"/>
    <xf numFmtId="0" fontId="85" fillId="0" borderId="7" applyNumberFormat="0" applyFill="0" applyAlignment="0" applyProtection="0"/>
    <xf numFmtId="0" fontId="86" fillId="10" borderId="0" applyNumberFormat="0" applyBorder="0" applyAlignment="0" applyProtection="0"/>
    <xf numFmtId="0" fontId="6" fillId="0" borderId="0"/>
    <xf numFmtId="0" fontId="87" fillId="0" borderId="0"/>
    <xf numFmtId="0" fontId="87" fillId="0" borderId="0"/>
    <xf numFmtId="0" fontId="8" fillId="0" borderId="0"/>
    <xf numFmtId="0" fontId="19" fillId="0" borderId="0"/>
    <xf numFmtId="0" fontId="6" fillId="0" borderId="0"/>
    <xf numFmtId="0" fontId="87" fillId="4" borderId="8" applyNumberFormat="0" applyFont="0" applyAlignment="0" applyProtection="0"/>
    <xf numFmtId="0" fontId="88" fillId="18" borderId="9" applyNumberFormat="0" applyAlignment="0" applyProtection="0"/>
    <xf numFmtId="177" fontId="8" fillId="0" borderId="0" applyFont="0" applyFill="0" applyBorder="0" applyAlignment="0" applyProtection="0"/>
    <xf numFmtId="0" fontId="31" fillId="0" borderId="0"/>
    <xf numFmtId="0" fontId="89" fillId="0" borderId="0" applyFill="0" applyBorder="0" applyProtection="0">
      <alignment horizontal="left" vertical="top"/>
    </xf>
    <xf numFmtId="0" fontId="90" fillId="0" borderId="0" applyNumberFormat="0" applyFill="0" applyBorder="0" applyAlignment="0" applyProtection="0"/>
    <xf numFmtId="0" fontId="91" fillId="0" borderId="10" applyNumberFormat="0" applyFill="0" applyAlignment="0" applyProtection="0"/>
    <xf numFmtId="0" fontId="85" fillId="0" borderId="0" applyNumberFormat="0" applyFill="0" applyBorder="0" applyAlignment="0" applyProtection="0"/>
    <xf numFmtId="0" fontId="53" fillId="21" borderId="0" applyNumberFormat="0" applyBorder="0" applyAlignment="0" applyProtection="0"/>
    <xf numFmtId="0" fontId="53" fillId="17" borderId="0" applyNumberFormat="0" applyBorder="0" applyAlignment="0" applyProtection="0"/>
    <xf numFmtId="0" fontId="53" fillId="2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2" borderId="0" applyNumberFormat="0" applyBorder="0" applyAlignment="0" applyProtection="0"/>
    <xf numFmtId="0" fontId="54" fillId="5" borderId="1" applyNumberFormat="0" applyAlignment="0" applyProtection="0"/>
    <xf numFmtId="0" fontId="55" fillId="23" borderId="9" applyNumberFormat="0" applyAlignment="0" applyProtection="0"/>
    <xf numFmtId="0" fontId="56" fillId="23" borderId="1" applyNumberFormat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14" applyNumberFormat="0" applyFill="0" applyAlignment="0" applyProtection="0"/>
    <xf numFmtId="0" fontId="61" fillId="19" borderId="2" applyNumberFormat="0" applyAlignment="0" applyProtection="0"/>
    <xf numFmtId="0" fontId="62" fillId="0" borderId="0" applyNumberFormat="0" applyFill="0" applyBorder="0" applyAlignment="0" applyProtection="0"/>
    <xf numFmtId="0" fontId="63" fillId="10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52" fillId="0" borderId="0"/>
    <xf numFmtId="0" fontId="102" fillId="0" borderId="0"/>
    <xf numFmtId="0" fontId="87" fillId="0" borderId="0"/>
    <xf numFmtId="0" fontId="102" fillId="0" borderId="0"/>
    <xf numFmtId="0" fontId="87" fillId="0" borderId="0"/>
    <xf numFmtId="0" fontId="102" fillId="0" borderId="0"/>
    <xf numFmtId="0" fontId="87" fillId="0" borderId="0"/>
    <xf numFmtId="0" fontId="87" fillId="0" borderId="0"/>
    <xf numFmtId="0" fontId="87" fillId="0" borderId="0"/>
    <xf numFmtId="0" fontId="64" fillId="7" borderId="0" applyNumberFormat="0" applyBorder="0" applyAlignment="0" applyProtection="0"/>
    <xf numFmtId="0" fontId="65" fillId="0" borderId="0" applyNumberFormat="0" applyFill="0" applyBorder="0" applyAlignment="0" applyProtection="0"/>
    <xf numFmtId="0" fontId="52" fillId="4" borderId="8" applyNumberFormat="0" applyFont="0" applyAlignment="0" applyProtection="0"/>
    <xf numFmtId="9" fontId="2" fillId="0" borderId="0" applyFont="0" applyFill="0" applyBorder="0" applyAlignment="0" applyProtection="0"/>
    <xf numFmtId="0" fontId="66" fillId="0" borderId="15" applyNumberFormat="0" applyFill="0" applyAlignment="0" applyProtection="0"/>
    <xf numFmtId="0" fontId="6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68" fillId="8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102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29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7" fillId="0" borderId="0"/>
    <xf numFmtId="166" fontId="7" fillId="0" borderId="0" applyFont="0" applyFill="0" applyBorder="0" applyAlignment="0" applyProtection="0"/>
    <xf numFmtId="0" fontId="87" fillId="0" borderId="0"/>
    <xf numFmtId="16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9" fillId="0" borderId="0"/>
    <xf numFmtId="43" fontId="1" fillId="0" borderId="0" applyFont="0" applyFill="0" applyBorder="0" applyAlignment="0" applyProtection="0"/>
    <xf numFmtId="0" fontId="6" fillId="0" borderId="0"/>
    <xf numFmtId="0" fontId="129" fillId="0" borderId="0"/>
    <xf numFmtId="0" fontId="1" fillId="0" borderId="0"/>
    <xf numFmtId="0" fontId="87" fillId="0" borderId="0"/>
    <xf numFmtId="0" fontId="2" fillId="0" borderId="0"/>
    <xf numFmtId="0" fontId="2" fillId="0" borderId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2" fillId="0" borderId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11" borderId="0" applyNumberFormat="0" applyBorder="0" applyAlignment="0" applyProtection="0"/>
    <xf numFmtId="0" fontId="52" fillId="11" borderId="0" applyNumberFormat="0" applyBorder="0" applyAlignment="0" applyProtection="0"/>
    <xf numFmtId="0" fontId="1" fillId="0" borderId="0"/>
    <xf numFmtId="0" fontId="1" fillId="0" borderId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16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129" fillId="0" borderId="0"/>
    <xf numFmtId="0" fontId="129" fillId="0" borderId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" fillId="0" borderId="0"/>
    <xf numFmtId="166" fontId="7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4" fillId="5" borderId="1" applyNumberFormat="0" applyAlignment="0" applyProtection="0"/>
    <xf numFmtId="0" fontId="54" fillId="5" borderId="1" applyNumberFormat="0" applyAlignment="0" applyProtection="0"/>
    <xf numFmtId="0" fontId="55" fillId="23" borderId="9" applyNumberFormat="0" applyAlignment="0" applyProtection="0"/>
    <xf numFmtId="0" fontId="55" fillId="23" borderId="9" applyNumberFormat="0" applyAlignment="0" applyProtection="0"/>
    <xf numFmtId="0" fontId="56" fillId="23" borderId="1" applyNumberFormat="0" applyAlignment="0" applyProtection="0"/>
    <xf numFmtId="0" fontId="56" fillId="23" borderId="1" applyNumberFormat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19" borderId="2" applyNumberFormat="0" applyAlignment="0" applyProtection="0"/>
    <xf numFmtId="0" fontId="61" fillId="19" borderId="2" applyNumberFormat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2" fillId="4" borderId="8" applyNumberFormat="0" applyFont="0" applyAlignment="0" applyProtection="0"/>
    <xf numFmtId="0" fontId="52" fillId="4" borderId="8" applyNumberFormat="0" applyFont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87" fillId="0" borderId="0"/>
    <xf numFmtId="0" fontId="87" fillId="0" borderId="0"/>
    <xf numFmtId="177" fontId="2" fillId="0" borderId="0" applyFont="0" applyFill="0" applyBorder="0" applyAlignment="0" applyProtection="0"/>
    <xf numFmtId="0" fontId="2" fillId="0" borderId="0"/>
    <xf numFmtId="0" fontId="87" fillId="0" borderId="0"/>
    <xf numFmtId="0" fontId="87" fillId="0" borderId="0"/>
    <xf numFmtId="0" fontId="6" fillId="0" borderId="0"/>
    <xf numFmtId="0" fontId="87" fillId="0" borderId="0"/>
    <xf numFmtId="0" fontId="87" fillId="0" borderId="0"/>
    <xf numFmtId="0" fontId="2" fillId="0" borderId="0"/>
    <xf numFmtId="177" fontId="2" fillId="0" borderId="0" applyFont="0" applyFill="0" applyBorder="0" applyAlignment="0" applyProtection="0"/>
    <xf numFmtId="0" fontId="6" fillId="0" borderId="0"/>
    <xf numFmtId="0" fontId="2" fillId="0" borderId="0"/>
    <xf numFmtId="164" fontId="6" fillId="0" borderId="0" applyFont="0" applyFill="0" applyBorder="0" applyAlignment="0" applyProtection="0"/>
    <xf numFmtId="0" fontId="2" fillId="0" borderId="0"/>
    <xf numFmtId="0" fontId="19" fillId="0" borderId="0"/>
    <xf numFmtId="9" fontId="19" fillId="0" borderId="0" applyFont="0" applyFill="0" applyBorder="0" applyAlignment="0" applyProtection="0"/>
    <xf numFmtId="0" fontId="1" fillId="0" borderId="0"/>
    <xf numFmtId="0" fontId="2" fillId="0" borderId="0"/>
    <xf numFmtId="177" fontId="2" fillId="0" borderId="0" applyFont="0" applyFill="0" applyBorder="0" applyAlignment="0" applyProtection="0"/>
  </cellStyleXfs>
  <cellXfs count="1659">
    <xf numFmtId="0" fontId="0" fillId="0" borderId="0" xfId="0"/>
    <xf numFmtId="0" fontId="15" fillId="0" borderId="0" xfId="0" applyFont="1"/>
    <xf numFmtId="0" fontId="3" fillId="0" borderId="0" xfId="0" applyFont="1"/>
    <xf numFmtId="0" fontId="8" fillId="0" borderId="0" xfId="0" applyFont="1"/>
    <xf numFmtId="0" fontId="18" fillId="0" borderId="0" xfId="0" applyFont="1"/>
    <xf numFmtId="0" fontId="15" fillId="0" borderId="0" xfId="44" applyFont="1" applyFill="1"/>
    <xf numFmtId="37" fontId="15" fillId="0" borderId="0" xfId="44" applyNumberFormat="1" applyFont="1" applyFill="1"/>
    <xf numFmtId="49" fontId="15" fillId="0" borderId="0" xfId="44" applyNumberFormat="1" applyFont="1" applyFill="1" applyAlignment="1">
      <alignment horizontal="left" vertical="top" wrapText="1"/>
    </xf>
    <xf numFmtId="49" fontId="16" fillId="0" borderId="0" xfId="44" applyNumberFormat="1" applyFont="1" applyFill="1" applyAlignment="1">
      <alignment horizontal="left" vertical="top" wrapText="1"/>
    </xf>
    <xf numFmtId="168" fontId="16" fillId="0" borderId="29" xfId="44" applyNumberFormat="1" applyFont="1" applyFill="1" applyBorder="1" applyAlignment="1">
      <alignment horizontal="right"/>
    </xf>
    <xf numFmtId="0" fontId="23" fillId="0" borderId="0" xfId="44" applyFont="1" applyFill="1" applyAlignment="1">
      <alignment horizontal="left" wrapText="1"/>
    </xf>
    <xf numFmtId="37" fontId="16" fillId="0" borderId="0" xfId="44" applyNumberFormat="1" applyFont="1" applyFill="1"/>
    <xf numFmtId="0" fontId="16" fillId="0" borderId="0" xfId="44" applyFont="1" applyFill="1"/>
    <xf numFmtId="0" fontId="0" fillId="0" borderId="0" xfId="0" applyAlignment="1">
      <alignment horizontal="left"/>
    </xf>
    <xf numFmtId="0" fontId="10" fillId="0" borderId="0" xfId="0" applyFont="1"/>
    <xf numFmtId="0" fontId="8" fillId="0" borderId="0" xfId="0" applyFont="1" applyAlignment="1">
      <alignment horizontal="left"/>
    </xf>
    <xf numFmtId="0" fontId="0" fillId="0" borderId="0" xfId="0" applyNumberFormat="1" applyAlignment="1">
      <alignment horizontal="centerContinuous"/>
    </xf>
    <xf numFmtId="0" fontId="15" fillId="0" borderId="30" xfId="0" applyFont="1" applyBorder="1" applyAlignment="1">
      <alignment horizontal="left"/>
    </xf>
    <xf numFmtId="0" fontId="15" fillId="0" borderId="31" xfId="0" applyFont="1" applyBorder="1" applyAlignment="1">
      <alignment horizontal="left"/>
    </xf>
    <xf numFmtId="0" fontId="15" fillId="0" borderId="32" xfId="0" applyFont="1" applyBorder="1" applyAlignment="1">
      <alignment horizontal="left"/>
    </xf>
    <xf numFmtId="0" fontId="15" fillId="0" borderId="33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15" fillId="0" borderId="18" xfId="0" applyNumberFormat="1" applyFont="1" applyBorder="1" applyAlignment="1">
      <alignment horizontal="right" vertical="top"/>
    </xf>
    <xf numFmtId="0" fontId="14" fillId="0" borderId="30" xfId="0" applyNumberFormat="1" applyFont="1" applyBorder="1" applyAlignment="1">
      <alignment horizontal="left" vertical="top"/>
    </xf>
    <xf numFmtId="0" fontId="14" fillId="0" borderId="35" xfId="0" applyNumberFormat="1" applyFont="1" applyBorder="1" applyAlignment="1">
      <alignment horizontal="left" vertical="top" wrapText="1"/>
    </xf>
    <xf numFmtId="0" fontId="14" fillId="0" borderId="33" xfId="0" applyNumberFormat="1" applyFont="1" applyBorder="1" applyAlignment="1">
      <alignment horizontal="left" vertical="top"/>
    </xf>
    <xf numFmtId="0" fontId="14" fillId="0" borderId="36" xfId="0" applyNumberFormat="1" applyFont="1" applyBorder="1" applyAlignment="1">
      <alignment horizontal="left" vertical="top" wrapText="1"/>
    </xf>
    <xf numFmtId="0" fontId="27" fillId="0" borderId="0" xfId="0" applyFont="1" applyFill="1"/>
    <xf numFmtId="0" fontId="28" fillId="0" borderId="0" xfId="44" applyFont="1" applyFill="1" applyAlignment="1">
      <alignment vertical="center"/>
    </xf>
    <xf numFmtId="37" fontId="28" fillId="0" borderId="0" xfId="44" applyNumberFormat="1" applyFont="1" applyFill="1" applyAlignment="1">
      <alignment vertical="center"/>
    </xf>
    <xf numFmtId="37" fontId="28" fillId="0" borderId="0" xfId="44" applyNumberFormat="1" applyFont="1" applyFill="1" applyBorder="1" applyAlignment="1">
      <alignment vertical="center"/>
    </xf>
    <xf numFmtId="0" fontId="28" fillId="0" borderId="0" xfId="44" applyFont="1" applyFill="1" applyBorder="1" applyAlignment="1">
      <alignment vertical="center"/>
    </xf>
    <xf numFmtId="37" fontId="29" fillId="0" borderId="0" xfId="44" applyNumberFormat="1" applyFont="1" applyFill="1" applyAlignment="1">
      <alignment vertical="center"/>
    </xf>
    <xf numFmtId="0" fontId="29" fillId="0" borderId="0" xfId="44" applyFont="1" applyFill="1" applyAlignment="1">
      <alignment vertical="center"/>
    </xf>
    <xf numFmtId="168" fontId="29" fillId="0" borderId="0" xfId="44" applyNumberFormat="1" applyFont="1" applyFill="1" applyBorder="1" applyAlignment="1">
      <alignment horizontal="right"/>
    </xf>
    <xf numFmtId="170" fontId="28" fillId="0" borderId="0" xfId="44" applyNumberFormat="1" applyFont="1" applyFill="1" applyAlignment="1">
      <alignment vertical="center"/>
    </xf>
    <xf numFmtId="0" fontId="28" fillId="0" borderId="0" xfId="44" applyFont="1" applyFill="1"/>
    <xf numFmtId="37" fontId="28" fillId="0" borderId="0" xfId="44" applyNumberFormat="1" applyFont="1" applyFill="1"/>
    <xf numFmtId="49" fontId="29" fillId="0" borderId="0" xfId="44" applyNumberFormat="1" applyFont="1" applyFill="1" applyAlignment="1">
      <alignment horizontal="left" vertical="top" wrapText="1"/>
    </xf>
    <xf numFmtId="37" fontId="29" fillId="0" borderId="0" xfId="44" applyNumberFormat="1" applyFont="1" applyFill="1"/>
    <xf numFmtId="0" fontId="29" fillId="0" borderId="0" xfId="44" applyFont="1" applyFill="1"/>
    <xf numFmtId="0" fontId="24" fillId="0" borderId="0" xfId="0" applyNumberFormat="1" applyFont="1" applyAlignment="1">
      <alignment horizontal="centerContinuous"/>
    </xf>
    <xf numFmtId="0" fontId="15" fillId="0" borderId="37" xfId="0" applyNumberFormat="1" applyFont="1" applyBorder="1" applyAlignment="1">
      <alignment horizontal="center"/>
    </xf>
    <xf numFmtId="0" fontId="15" fillId="0" borderId="38" xfId="0" applyNumberFormat="1" applyFont="1" applyBorder="1" applyAlignment="1">
      <alignment horizontal="center"/>
    </xf>
    <xf numFmtId="0" fontId="15" fillId="0" borderId="39" xfId="0" applyNumberFormat="1" applyFont="1" applyBorder="1" applyAlignment="1">
      <alignment horizontal="center"/>
    </xf>
    <xf numFmtId="0" fontId="14" fillId="0" borderId="40" xfId="0" applyNumberFormat="1" applyFont="1" applyBorder="1" applyAlignment="1">
      <alignment horizontal="left" vertical="top" wrapText="1"/>
    </xf>
    <xf numFmtId="0" fontId="15" fillId="0" borderId="27" xfId="0" applyNumberFormat="1" applyFont="1" applyBorder="1" applyAlignment="1">
      <alignment horizontal="left" vertical="top"/>
    </xf>
    <xf numFmtId="0" fontId="15" fillId="0" borderId="41" xfId="0" applyNumberFormat="1" applyFont="1" applyBorder="1" applyAlignment="1">
      <alignment horizontal="left" vertical="top"/>
    </xf>
    <xf numFmtId="0" fontId="15" fillId="0" borderId="42" xfId="0" applyNumberFormat="1" applyFont="1" applyBorder="1" applyAlignment="1">
      <alignment horizontal="right" vertical="top"/>
    </xf>
    <xf numFmtId="0" fontId="14" fillId="0" borderId="43" xfId="0" applyNumberFormat="1" applyFont="1" applyBorder="1" applyAlignment="1">
      <alignment horizontal="left" vertical="top" wrapText="1"/>
    </xf>
    <xf numFmtId="0" fontId="15" fillId="0" borderId="44" xfId="0" applyNumberFormat="1" applyFont="1" applyBorder="1" applyAlignment="1">
      <alignment horizontal="right" vertical="top"/>
    </xf>
    <xf numFmtId="0" fontId="15" fillId="0" borderId="45" xfId="0" applyNumberFormat="1" applyFont="1" applyBorder="1" applyAlignment="1">
      <alignment horizontal="right" vertical="top"/>
    </xf>
    <xf numFmtId="0" fontId="14" fillId="0" borderId="46" xfId="0" applyNumberFormat="1" applyFont="1" applyBorder="1" applyAlignment="1">
      <alignment horizontal="left" vertical="top" wrapText="1"/>
    </xf>
    <xf numFmtId="173" fontId="15" fillId="0" borderId="25" xfId="0" applyNumberFormat="1" applyFont="1" applyBorder="1" applyAlignment="1">
      <alignment horizontal="right" vertical="top"/>
    </xf>
    <xf numFmtId="0" fontId="15" fillId="0" borderId="47" xfId="0" applyNumberFormat="1" applyFont="1" applyBorder="1" applyAlignment="1">
      <alignment horizontal="right" vertical="top"/>
    </xf>
    <xf numFmtId="0" fontId="14" fillId="0" borderId="48" xfId="0" applyNumberFormat="1" applyFont="1" applyBorder="1" applyAlignment="1">
      <alignment horizontal="left" vertical="top"/>
    </xf>
    <xf numFmtId="0" fontId="30" fillId="0" borderId="0" xfId="0" applyFont="1"/>
    <xf numFmtId="0" fontId="29" fillId="0" borderId="0" xfId="0" applyFont="1" applyFill="1"/>
    <xf numFmtId="168" fontId="4" fillId="0" borderId="29" xfId="44" applyNumberFormat="1" applyFont="1" applyFill="1" applyBorder="1" applyAlignment="1">
      <alignment horizontal="right"/>
    </xf>
    <xf numFmtId="0" fontId="5" fillId="0" borderId="0" xfId="44" applyFont="1" applyFill="1" applyAlignment="1">
      <alignment horizontal="left" wrapText="1"/>
    </xf>
    <xf numFmtId="168" fontId="4" fillId="0" borderId="0" xfId="44" applyNumberFormat="1" applyFont="1" applyFill="1" applyBorder="1" applyAlignment="1">
      <alignment horizontal="right" vertical="center"/>
    </xf>
    <xf numFmtId="49" fontId="8" fillId="0" borderId="0" xfId="44" applyNumberFormat="1" applyFont="1" applyFill="1" applyAlignment="1">
      <alignment horizontal="left" vertical="top" wrapText="1"/>
    </xf>
    <xf numFmtId="167" fontId="8" fillId="0" borderId="0" xfId="44" applyNumberFormat="1" applyFont="1" applyFill="1" applyAlignment="1">
      <alignment horizontal="right"/>
    </xf>
    <xf numFmtId="37" fontId="8" fillId="0" borderId="0" xfId="44" applyNumberFormat="1" applyFont="1" applyFill="1"/>
    <xf numFmtId="49" fontId="4" fillId="0" borderId="0" xfId="44" applyNumberFormat="1" applyFont="1" applyFill="1" applyAlignment="1">
      <alignment horizontal="left" vertical="top" wrapText="1"/>
    </xf>
    <xf numFmtId="168" fontId="4" fillId="0" borderId="0" xfId="44" applyNumberFormat="1" applyFont="1" applyFill="1" applyBorder="1" applyAlignment="1">
      <alignment horizontal="right"/>
    </xf>
    <xf numFmtId="0" fontId="8" fillId="0" borderId="0" xfId="44" applyFont="1" applyFill="1"/>
    <xf numFmtId="49" fontId="4" fillId="0" borderId="0" xfId="44" applyNumberFormat="1" applyFont="1" applyFill="1" applyAlignment="1">
      <alignment horizontal="left" vertical="center" wrapText="1"/>
    </xf>
    <xf numFmtId="168" fontId="4" fillId="0" borderId="29" xfId="44" applyNumberFormat="1" applyFont="1" applyFill="1" applyBorder="1" applyAlignment="1">
      <alignment horizontal="right" vertical="center"/>
    </xf>
    <xf numFmtId="0" fontId="3" fillId="0" borderId="0" xfId="44" applyFont="1" applyFill="1" applyAlignment="1">
      <alignment horizontal="left" wrapText="1"/>
    </xf>
    <xf numFmtId="0" fontId="3" fillId="0" borderId="0" xfId="44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44" applyFont="1" applyFill="1" applyAlignment="1">
      <alignment wrapText="1"/>
    </xf>
    <xf numFmtId="0" fontId="31" fillId="0" borderId="0" xfId="0" applyFont="1"/>
    <xf numFmtId="170" fontId="12" fillId="26" borderId="49" xfId="0" applyNumberFormat="1" applyFont="1" applyFill="1" applyBorder="1" applyAlignment="1">
      <alignment horizontal="center" wrapText="1"/>
    </xf>
    <xf numFmtId="170" fontId="12" fillId="26" borderId="50" xfId="0" applyNumberFormat="1" applyFont="1" applyFill="1" applyBorder="1" applyAlignment="1">
      <alignment horizontal="center" wrapText="1"/>
    </xf>
    <xf numFmtId="0" fontId="20" fillId="0" borderId="0" xfId="0" applyFont="1" applyBorder="1" applyAlignment="1">
      <alignment vertical="top" wrapText="1"/>
    </xf>
    <xf numFmtId="170" fontId="18" fillId="0" borderId="49" xfId="0" applyNumberFormat="1" applyFont="1" applyBorder="1"/>
    <xf numFmtId="0" fontId="26" fillId="0" borderId="0" xfId="0" applyFont="1" applyAlignment="1">
      <alignment wrapText="1"/>
    </xf>
    <xf numFmtId="0" fontId="31" fillId="0" borderId="0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Border="1"/>
    <xf numFmtId="3" fontId="7" fillId="0" borderId="0" xfId="0" applyNumberFormat="1" applyFont="1"/>
    <xf numFmtId="3" fontId="7" fillId="0" borderId="0" xfId="0" applyNumberFormat="1" applyFont="1" applyBorder="1"/>
    <xf numFmtId="0" fontId="31" fillId="0" borderId="0" xfId="0" applyFont="1" applyAlignment="1">
      <alignment wrapText="1"/>
    </xf>
    <xf numFmtId="3" fontId="31" fillId="0" borderId="0" xfId="0" applyNumberFormat="1" applyFont="1"/>
    <xf numFmtId="0" fontId="19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70" fontId="19" fillId="0" borderId="0" xfId="0" applyNumberFormat="1" applyFont="1" applyAlignment="1"/>
    <xf numFmtId="170" fontId="7" fillId="0" borderId="0" xfId="0" applyNumberFormat="1" applyFont="1" applyAlignment="1"/>
    <xf numFmtId="0" fontId="34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3" fontId="33" fillId="0" borderId="0" xfId="0" applyNumberFormat="1" applyFont="1" applyBorder="1" applyAlignment="1">
      <alignment horizontal="center" wrapText="1"/>
    </xf>
    <xf numFmtId="0" fontId="36" fillId="0" borderId="0" xfId="44" applyFont="1" applyFill="1" applyAlignment="1">
      <alignment horizontal="center"/>
    </xf>
    <xf numFmtId="0" fontId="37" fillId="0" borderId="0" xfId="44" applyFont="1" applyFill="1" applyAlignment="1">
      <alignment horizontal="center"/>
    </xf>
    <xf numFmtId="0" fontId="37" fillId="0" borderId="0" xfId="44" applyFont="1" applyFill="1" applyAlignment="1">
      <alignment horizontal="center" vertical="center"/>
    </xf>
    <xf numFmtId="0" fontId="38" fillId="0" borderId="0" xfId="44" applyFont="1" applyFill="1" applyAlignment="1">
      <alignment horizontal="center" vertical="center"/>
    </xf>
    <xf numFmtId="0" fontId="38" fillId="0" borderId="0" xfId="44" applyFont="1" applyFill="1" applyAlignment="1">
      <alignment horizontal="center"/>
    </xf>
    <xf numFmtId="49" fontId="38" fillId="0" borderId="0" xfId="44" applyNumberFormat="1" applyFont="1" applyFill="1" applyAlignment="1">
      <alignment horizontal="center"/>
    </xf>
    <xf numFmtId="0" fontId="40" fillId="0" borderId="0" xfId="0" applyFont="1"/>
    <xf numFmtId="168" fontId="39" fillId="0" borderId="29" xfId="44" applyNumberFormat="1" applyFont="1" applyFill="1" applyBorder="1" applyAlignment="1">
      <alignment horizontal="right" vertical="center"/>
    </xf>
    <xf numFmtId="168" fontId="39" fillId="0" borderId="29" xfId="44" applyNumberFormat="1" applyFont="1" applyFill="1" applyBorder="1" applyAlignment="1">
      <alignment horizontal="right"/>
    </xf>
    <xf numFmtId="0" fontId="41" fillId="0" borderId="0" xfId="44" applyFont="1" applyFill="1" applyAlignment="1">
      <alignment horizontal="center" vertical="center"/>
    </xf>
    <xf numFmtId="0" fontId="44" fillId="0" borderId="0" xfId="44" applyFont="1" applyFill="1" applyAlignment="1">
      <alignment horizontal="center"/>
    </xf>
    <xf numFmtId="0" fontId="35" fillId="0" borderId="0" xfId="0" applyFont="1" applyBorder="1" applyAlignment="1">
      <alignment horizontal="center" vertical="top" wrapText="1"/>
    </xf>
    <xf numFmtId="0" fontId="15" fillId="0" borderId="52" xfId="0" applyFont="1" applyBorder="1" applyAlignment="1">
      <alignment horizontal="left"/>
    </xf>
    <xf numFmtId="0" fontId="14" fillId="0" borderId="53" xfId="0" applyNumberFormat="1" applyFont="1" applyBorder="1" applyAlignment="1">
      <alignment horizontal="left" vertical="top"/>
    </xf>
    <xf numFmtId="0" fontId="14" fillId="0" borderId="54" xfId="0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wrapText="1"/>
    </xf>
    <xf numFmtId="170" fontId="32" fillId="0" borderId="0" xfId="0" applyNumberFormat="1" applyFont="1" applyBorder="1" applyAlignment="1">
      <alignment horizontal="right"/>
    </xf>
    <xf numFmtId="0" fontId="7" fillId="0" borderId="0" xfId="0" applyFont="1" applyFill="1"/>
    <xf numFmtId="0" fontId="14" fillId="0" borderId="50" xfId="0" applyFont="1" applyFill="1" applyBorder="1" applyAlignment="1">
      <alignment horizontal="center" vertical="center" wrapText="1"/>
    </xf>
    <xf numFmtId="0" fontId="15" fillId="0" borderId="3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15" fillId="0" borderId="55" xfId="0" applyNumberFormat="1" applyFont="1" applyBorder="1" applyAlignment="1">
      <alignment horizontal="center"/>
    </xf>
    <xf numFmtId="0" fontId="15" fillId="0" borderId="56" xfId="0" applyNumberFormat="1" applyFont="1" applyBorder="1" applyAlignment="1">
      <alignment horizontal="center"/>
    </xf>
    <xf numFmtId="0" fontId="15" fillId="0" borderId="36" xfId="0" applyNumberFormat="1" applyFont="1" applyBorder="1" applyAlignment="1">
      <alignment horizontal="center"/>
    </xf>
    <xf numFmtId="0" fontId="15" fillId="0" borderId="57" xfId="0" applyNumberFormat="1" applyFont="1" applyBorder="1" applyAlignment="1">
      <alignment horizontal="right" vertical="top" wrapText="1"/>
    </xf>
    <xf numFmtId="170" fontId="40" fillId="0" borderId="0" xfId="0" applyNumberFormat="1" applyFont="1"/>
    <xf numFmtId="170" fontId="7" fillId="0" borderId="0" xfId="0" quotePrefix="1" applyNumberFormat="1" applyFont="1" applyAlignment="1"/>
    <xf numFmtId="3" fontId="7" fillId="0" borderId="0" xfId="0" applyNumberFormat="1" applyFont="1" applyFill="1"/>
    <xf numFmtId="170" fontId="10" fillId="0" borderId="0" xfId="0" applyNumberFormat="1" applyFont="1"/>
    <xf numFmtId="0" fontId="15" fillId="0" borderId="35" xfId="0" applyNumberFormat="1" applyFont="1" applyBorder="1" applyAlignment="1">
      <alignment horizontal="right" vertical="top" wrapText="1"/>
    </xf>
    <xf numFmtId="0" fontId="15" fillId="0" borderId="54" xfId="0" applyNumberFormat="1" applyFont="1" applyBorder="1" applyAlignment="1">
      <alignment horizontal="right" vertical="top" wrapText="1"/>
    </xf>
    <xf numFmtId="0" fontId="14" fillId="0" borderId="0" xfId="0" applyNumberFormat="1" applyFont="1" applyBorder="1" applyAlignment="1">
      <alignment horizontal="left" vertical="top"/>
    </xf>
    <xf numFmtId="0" fontId="15" fillId="0" borderId="0" xfId="0" applyNumberFormat="1" applyFont="1" applyBorder="1" applyAlignment="1">
      <alignment horizontal="right" vertical="top" wrapText="1"/>
    </xf>
    <xf numFmtId="0" fontId="15" fillId="0" borderId="58" xfId="0" applyNumberFormat="1" applyFont="1" applyBorder="1" applyAlignment="1">
      <alignment horizontal="left" vertical="top" wrapText="1"/>
    </xf>
    <xf numFmtId="3" fontId="33" fillId="0" borderId="0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/>
    <xf numFmtId="0" fontId="14" fillId="0" borderId="0" xfId="0" applyNumberFormat="1" applyFont="1" applyAlignment="1">
      <alignment horizontal="centerContinuous"/>
    </xf>
    <xf numFmtId="169" fontId="31" fillId="0" borderId="28" xfId="0" applyNumberFormat="1" applyFont="1" applyBorder="1" applyAlignment="1">
      <alignment horizontal="right"/>
    </xf>
    <xf numFmtId="1" fontId="15" fillId="0" borderId="59" xfId="73" applyNumberFormat="1" applyFont="1" applyBorder="1" applyAlignment="1">
      <alignment horizontal="left" vertical="top" wrapText="1"/>
    </xf>
    <xf numFmtId="0" fontId="15" fillId="0" borderId="18" xfId="73" applyNumberFormat="1" applyFont="1" applyBorder="1" applyAlignment="1">
      <alignment horizontal="right" vertical="top"/>
    </xf>
    <xf numFmtId="0" fontId="52" fillId="0" borderId="0" xfId="73" applyAlignment="1">
      <alignment horizontal="left"/>
    </xf>
    <xf numFmtId="0" fontId="15" fillId="0" borderId="59" xfId="73" applyNumberFormat="1" applyFont="1" applyBorder="1" applyAlignment="1">
      <alignment horizontal="right" vertical="top"/>
    </xf>
    <xf numFmtId="0" fontId="15" fillId="0" borderId="42" xfId="73" applyNumberFormat="1" applyFont="1" applyBorder="1" applyAlignment="1">
      <alignment horizontal="right" vertical="top"/>
    </xf>
    <xf numFmtId="0" fontId="15" fillId="0" borderId="59" xfId="73" applyNumberFormat="1" applyFont="1" applyBorder="1" applyAlignment="1">
      <alignment horizontal="left" vertical="top" wrapText="1"/>
    </xf>
    <xf numFmtId="0" fontId="52" fillId="0" borderId="0" xfId="73"/>
    <xf numFmtId="0" fontId="69" fillId="0" borderId="0" xfId="73" applyFont="1" applyAlignment="1">
      <alignment horizontal="left"/>
    </xf>
    <xf numFmtId="0" fontId="69" fillId="0" borderId="0" xfId="73" applyFont="1"/>
    <xf numFmtId="0" fontId="70" fillId="0" borderId="0" xfId="0" applyFont="1"/>
    <xf numFmtId="0" fontId="30" fillId="0" borderId="0" xfId="0" applyFont="1" applyAlignment="1">
      <alignment wrapText="1"/>
    </xf>
    <xf numFmtId="170" fontId="71" fillId="0" borderId="0" xfId="0" applyNumberFormat="1" applyFont="1" applyAlignment="1">
      <alignment horizontal="left"/>
    </xf>
    <xf numFmtId="0" fontId="24" fillId="0" borderId="0" xfId="73" applyNumberFormat="1" applyFont="1" applyAlignment="1">
      <alignment horizontal="centerContinuous" wrapText="1"/>
    </xf>
    <xf numFmtId="0" fontId="52" fillId="0" borderId="0" xfId="73" applyNumberFormat="1" applyAlignment="1">
      <alignment horizontal="centerContinuous"/>
    </xf>
    <xf numFmtId="0" fontId="14" fillId="0" borderId="0" xfId="73" applyNumberFormat="1" applyFont="1" applyAlignment="1">
      <alignment horizontal="centerContinuous" wrapText="1"/>
    </xf>
    <xf numFmtId="0" fontId="15" fillId="0" borderId="30" xfId="73" applyFont="1" applyBorder="1" applyAlignment="1">
      <alignment horizontal="left"/>
    </xf>
    <xf numFmtId="0" fontId="15" fillId="0" borderId="31" xfId="73" applyFont="1" applyBorder="1" applyAlignment="1">
      <alignment horizontal="left"/>
    </xf>
    <xf numFmtId="0" fontId="15" fillId="0" borderId="60" xfId="73" applyFont="1" applyBorder="1" applyAlignment="1">
      <alignment horizontal="left"/>
    </xf>
    <xf numFmtId="0" fontId="15" fillId="0" borderId="33" xfId="73" applyFont="1" applyBorder="1" applyAlignment="1">
      <alignment horizontal="left"/>
    </xf>
    <xf numFmtId="0" fontId="15" fillId="0" borderId="34" xfId="73" applyFont="1" applyBorder="1" applyAlignment="1">
      <alignment horizontal="left"/>
    </xf>
    <xf numFmtId="0" fontId="15" fillId="0" borderId="56" xfId="73" applyFont="1" applyBorder="1" applyAlignment="1">
      <alignment horizontal="left"/>
    </xf>
    <xf numFmtId="0" fontId="14" fillId="0" borderId="53" xfId="73" applyNumberFormat="1" applyFont="1" applyBorder="1" applyAlignment="1">
      <alignment horizontal="left" vertical="top"/>
    </xf>
    <xf numFmtId="0" fontId="14" fillId="0" borderId="54" xfId="73" applyNumberFormat="1" applyFont="1" applyBorder="1" applyAlignment="1">
      <alignment horizontal="left" vertical="top" wrapText="1"/>
    </xf>
    <xf numFmtId="0" fontId="15" fillId="0" borderId="54" xfId="73" applyNumberFormat="1" applyFont="1" applyBorder="1" applyAlignment="1">
      <alignment horizontal="right" vertical="top"/>
    </xf>
    <xf numFmtId="0" fontId="14" fillId="0" borderId="25" xfId="73" applyNumberFormat="1" applyFont="1" applyBorder="1" applyAlignment="1">
      <alignment horizontal="left" vertical="top" wrapText="1"/>
    </xf>
    <xf numFmtId="0" fontId="15" fillId="0" borderId="25" xfId="73" applyNumberFormat="1" applyFont="1" applyBorder="1" applyAlignment="1">
      <alignment horizontal="right" vertical="top"/>
    </xf>
    <xf numFmtId="0" fontId="14" fillId="0" borderId="46" xfId="73" applyNumberFormat="1" applyFont="1" applyBorder="1" applyAlignment="1">
      <alignment horizontal="left" vertical="top"/>
    </xf>
    <xf numFmtId="0" fontId="15" fillId="0" borderId="18" xfId="73" applyNumberFormat="1" applyFont="1" applyBorder="1" applyAlignment="1">
      <alignment horizontal="left" vertical="top" wrapText="1"/>
    </xf>
    <xf numFmtId="0" fontId="15" fillId="0" borderId="46" xfId="73" applyNumberFormat="1" applyFont="1" applyBorder="1" applyAlignment="1">
      <alignment horizontal="left" vertical="top" wrapText="1"/>
    </xf>
    <xf numFmtId="0" fontId="15" fillId="0" borderId="25" xfId="73" applyNumberFormat="1" applyFont="1" applyBorder="1" applyAlignment="1">
      <alignment horizontal="right" vertical="top" wrapText="1"/>
    </xf>
    <xf numFmtId="1" fontId="15" fillId="0" borderId="16" xfId="73" applyNumberFormat="1" applyFont="1" applyBorder="1" applyAlignment="1">
      <alignment horizontal="left" vertical="top" wrapText="1"/>
    </xf>
    <xf numFmtId="0" fontId="15" fillId="0" borderId="16" xfId="73" applyNumberFormat="1" applyFont="1" applyBorder="1" applyAlignment="1">
      <alignment horizontal="right" vertical="top"/>
    </xf>
    <xf numFmtId="0" fontId="14" fillId="0" borderId="43" xfId="73" applyNumberFormat="1" applyFont="1" applyBorder="1" applyAlignment="1">
      <alignment horizontal="left" vertical="top"/>
    </xf>
    <xf numFmtId="0" fontId="14" fillId="0" borderId="44" xfId="73" applyNumberFormat="1" applyFont="1" applyBorder="1" applyAlignment="1">
      <alignment horizontal="left" vertical="top" wrapText="1"/>
    </xf>
    <xf numFmtId="0" fontId="15" fillId="0" borderId="43" xfId="73" applyNumberFormat="1" applyFont="1" applyBorder="1" applyAlignment="1">
      <alignment horizontal="left" vertical="top" wrapText="1"/>
    </xf>
    <xf numFmtId="0" fontId="15" fillId="0" borderId="44" xfId="73" applyNumberFormat="1" applyFont="1" applyBorder="1" applyAlignment="1">
      <alignment horizontal="left" vertical="top" wrapText="1"/>
    </xf>
    <xf numFmtId="0" fontId="15" fillId="0" borderId="18" xfId="73" applyNumberFormat="1" applyFont="1" applyBorder="1" applyAlignment="1">
      <alignment horizontal="right" vertical="top" wrapText="1"/>
    </xf>
    <xf numFmtId="0" fontId="72" fillId="0" borderId="0" xfId="0" applyFont="1"/>
    <xf numFmtId="0" fontId="5" fillId="0" borderId="0" xfId="0" applyFont="1"/>
    <xf numFmtId="3" fontId="7" fillId="0" borderId="19" xfId="0" applyNumberFormat="1" applyFont="1" applyFill="1" applyBorder="1"/>
    <xf numFmtId="3" fontId="7" fillId="0" borderId="51" xfId="0" applyNumberFormat="1" applyFont="1" applyFill="1" applyBorder="1"/>
    <xf numFmtId="3" fontId="7" fillId="0" borderId="24" xfId="0" applyNumberFormat="1" applyFont="1" applyFill="1" applyBorder="1"/>
    <xf numFmtId="0" fontId="15" fillId="0" borderId="0" xfId="0" applyFont="1" applyBorder="1" applyAlignment="1">
      <alignment vertical="top" wrapText="1"/>
    </xf>
    <xf numFmtId="172" fontId="15" fillId="0" borderId="25" xfId="0" applyNumberFormat="1" applyFont="1" applyBorder="1" applyAlignment="1">
      <alignment horizontal="right" vertical="top"/>
    </xf>
    <xf numFmtId="0" fontId="15" fillId="0" borderId="25" xfId="0" applyNumberFormat="1" applyFont="1" applyBorder="1" applyAlignment="1">
      <alignment horizontal="right" vertical="top"/>
    </xf>
    <xf numFmtId="0" fontId="22" fillId="0" borderId="0" xfId="0" applyFont="1"/>
    <xf numFmtId="170" fontId="22" fillId="0" borderId="0" xfId="0" applyNumberFormat="1" applyFont="1" applyAlignment="1"/>
    <xf numFmtId="170" fontId="92" fillId="0" borderId="0" xfId="0" applyNumberFormat="1" applyFont="1" applyBorder="1" applyAlignment="1"/>
    <xf numFmtId="170" fontId="11" fillId="0" borderId="0" xfId="0" applyNumberFormat="1" applyFont="1" applyBorder="1" applyAlignment="1">
      <alignment horizontal="center" vertical="top"/>
    </xf>
    <xf numFmtId="170" fontId="22" fillId="0" borderId="0" xfId="0" applyNumberFormat="1" applyFont="1" applyBorder="1" applyAlignment="1">
      <alignment horizontal="right"/>
    </xf>
    <xf numFmtId="170" fontId="22" fillId="0" borderId="0" xfId="0" applyNumberFormat="1" applyFont="1" applyBorder="1" applyAlignment="1"/>
    <xf numFmtId="170" fontId="7" fillId="0" borderId="0" xfId="0" applyNumberFormat="1" applyFont="1" applyAlignment="1">
      <alignment horizontal="right"/>
    </xf>
    <xf numFmtId="0" fontId="21" fillId="0" borderId="0" xfId="0" applyFont="1"/>
    <xf numFmtId="1" fontId="15" fillId="0" borderId="59" xfId="0" applyNumberFormat="1" applyFont="1" applyBorder="1" applyAlignment="1">
      <alignment horizontal="left" vertical="top" wrapText="1"/>
    </xf>
    <xf numFmtId="0" fontId="15" fillId="0" borderId="59" xfId="0" applyNumberFormat="1" applyFont="1" applyBorder="1" applyAlignment="1">
      <alignment horizontal="left" vertical="top" wrapText="1"/>
    </xf>
    <xf numFmtId="2" fontId="0" fillId="0" borderId="0" xfId="0" applyNumberFormat="1" applyAlignment="1">
      <alignment horizontal="left"/>
    </xf>
    <xf numFmtId="0" fontId="15" fillId="0" borderId="59" xfId="0" applyNumberFormat="1" applyFont="1" applyBorder="1" applyAlignment="1">
      <alignment horizontal="center"/>
    </xf>
    <xf numFmtId="0" fontId="15" fillId="0" borderId="63" xfId="0" applyNumberFormat="1" applyFont="1" applyBorder="1" applyAlignment="1">
      <alignment horizontal="left" vertical="top" wrapText="1" indent="1"/>
    </xf>
    <xf numFmtId="0" fontId="15" fillId="0" borderId="59" xfId="0" applyNumberFormat="1" applyFont="1" applyBorder="1" applyAlignment="1">
      <alignment horizontal="left" vertical="top" wrapText="1" indent="1"/>
    </xf>
    <xf numFmtId="173" fontId="15" fillId="0" borderId="42" xfId="0" applyNumberFormat="1" applyFont="1" applyBorder="1" applyAlignment="1">
      <alignment horizontal="right" vertical="top"/>
    </xf>
    <xf numFmtId="0" fontId="69" fillId="0" borderId="0" xfId="73" applyFont="1" applyFill="1" applyAlignment="1">
      <alignment horizontal="left"/>
    </xf>
    <xf numFmtId="0" fontId="24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64" xfId="0" applyNumberFormat="1" applyFont="1" applyBorder="1" applyAlignment="1">
      <alignment horizontal="center" vertical="center" wrapText="1"/>
    </xf>
    <xf numFmtId="0" fontId="15" fillId="0" borderId="65" xfId="0" applyNumberFormat="1" applyFont="1" applyBorder="1" applyAlignment="1">
      <alignment vertical="center" wrapText="1"/>
    </xf>
    <xf numFmtId="175" fontId="15" fillId="0" borderId="0" xfId="0" applyNumberFormat="1" applyFont="1" applyBorder="1" applyAlignment="1">
      <alignment horizontal="right" vertical="top"/>
    </xf>
    <xf numFmtId="0" fontId="14" fillId="0" borderId="0" xfId="0" applyNumberFormat="1" applyFont="1" applyAlignment="1">
      <alignment horizontal="left"/>
    </xf>
    <xf numFmtId="170" fontId="95" fillId="0" borderId="0" xfId="44" applyNumberFormat="1" applyFont="1" applyFill="1" applyAlignment="1">
      <alignment horizontal="right"/>
    </xf>
    <xf numFmtId="37" fontId="94" fillId="0" borderId="0" xfId="44" applyNumberFormat="1" applyFont="1" applyFill="1"/>
    <xf numFmtId="170" fontId="21" fillId="0" borderId="0" xfId="0" applyNumberFormat="1" applyFont="1"/>
    <xf numFmtId="0" fontId="10" fillId="0" borderId="0" xfId="0" applyFont="1" applyFill="1"/>
    <xf numFmtId="0" fontId="8" fillId="0" borderId="0" xfId="0" applyFont="1" applyFill="1"/>
    <xf numFmtId="0" fontId="0" fillId="0" borderId="0" xfId="0" applyFont="1" applyAlignment="1">
      <alignment horizontal="left"/>
    </xf>
    <xf numFmtId="170" fontId="31" fillId="0" borderId="46" xfId="0" applyNumberFormat="1" applyFont="1" applyFill="1" applyBorder="1"/>
    <xf numFmtId="170" fontId="31" fillId="0" borderId="66" xfId="0" applyNumberFormat="1" applyFont="1" applyBorder="1"/>
    <xf numFmtId="170" fontId="31" fillId="0" borderId="40" xfId="0" applyNumberFormat="1" applyFont="1" applyFill="1" applyBorder="1"/>
    <xf numFmtId="170" fontId="31" fillId="0" borderId="43" xfId="0" applyNumberFormat="1" applyFont="1" applyBorder="1"/>
    <xf numFmtId="170" fontId="11" fillId="0" borderId="0" xfId="0" applyNumberFormat="1" applyFont="1" applyBorder="1" applyAlignment="1"/>
    <xf numFmtId="170" fontId="7" fillId="0" borderId="0" xfId="0" applyNumberFormat="1" applyFont="1" applyFill="1" applyAlignment="1"/>
    <xf numFmtId="0" fontId="19" fillId="0" borderId="0" xfId="0" applyFont="1" applyFill="1" applyAlignment="1"/>
    <xf numFmtId="170" fontId="19" fillId="0" borderId="0" xfId="0" applyNumberFormat="1" applyFont="1" applyFill="1" applyAlignment="1"/>
    <xf numFmtId="165" fontId="19" fillId="0" borderId="0" xfId="0" applyNumberFormat="1" applyFont="1" applyAlignment="1"/>
    <xf numFmtId="165" fontId="51" fillId="0" borderId="0" xfId="0" applyNumberFormat="1" applyFont="1" applyAlignment="1"/>
    <xf numFmtId="165" fontId="31" fillId="0" borderId="0" xfId="0" applyNumberFormat="1" applyFont="1" applyBorder="1"/>
    <xf numFmtId="170" fontId="8" fillId="0" borderId="0" xfId="0" applyNumberFormat="1" applyFont="1"/>
    <xf numFmtId="170" fontId="3" fillId="0" borderId="0" xfId="44" applyNumberFormat="1" applyFont="1" applyFill="1" applyAlignment="1">
      <alignment horizontal="center" wrapText="1"/>
    </xf>
    <xf numFmtId="4" fontId="5" fillId="0" borderId="0" xfId="44" applyNumberFormat="1" applyFont="1" applyFill="1" applyAlignment="1">
      <alignment horizontal="left" wrapText="1"/>
    </xf>
    <xf numFmtId="166" fontId="8" fillId="0" borderId="0" xfId="88" applyNumberFormat="1" applyFont="1" applyFill="1"/>
    <xf numFmtId="170" fontId="4" fillId="0" borderId="0" xfId="44" applyNumberFormat="1" applyFont="1" applyFill="1" applyBorder="1" applyAlignment="1">
      <alignment horizontal="right" vertical="center"/>
    </xf>
    <xf numFmtId="37" fontId="4" fillId="0" borderId="0" xfId="44" applyNumberFormat="1" applyFont="1" applyFill="1" applyAlignment="1">
      <alignment vertical="center"/>
    </xf>
    <xf numFmtId="0" fontId="4" fillId="0" borderId="0" xfId="44" applyFont="1" applyFill="1" applyAlignment="1">
      <alignment vertical="center"/>
    </xf>
    <xf numFmtId="0" fontId="5" fillId="0" borderId="0" xfId="44" applyFont="1" applyFill="1" applyAlignment="1">
      <alignment horizontal="left" vertical="center" wrapText="1"/>
    </xf>
    <xf numFmtId="170" fontId="8" fillId="0" borderId="0" xfId="44" applyNumberFormat="1" applyFont="1" applyFill="1" applyAlignment="1">
      <alignment horizontal="right"/>
    </xf>
    <xf numFmtId="4" fontId="5" fillId="0" borderId="0" xfId="44" applyNumberFormat="1" applyFont="1" applyFill="1" applyAlignment="1">
      <alignment wrapText="1"/>
    </xf>
    <xf numFmtId="170" fontId="40" fillId="0" borderId="22" xfId="0" applyNumberFormat="1" applyFont="1" applyBorder="1"/>
    <xf numFmtId="170" fontId="40" fillId="0" borderId="16" xfId="0" applyNumberFormat="1" applyFont="1" applyBorder="1"/>
    <xf numFmtId="170" fontId="40" fillId="0" borderId="26" xfId="0" applyNumberFormat="1" applyFont="1" applyBorder="1"/>
    <xf numFmtId="0" fontId="8" fillId="0" borderId="0" xfId="0" applyFont="1" applyFill="1" applyAlignment="1">
      <alignment horizontal="left"/>
    </xf>
    <xf numFmtId="170" fontId="8" fillId="0" borderId="0" xfId="0" applyNumberFormat="1" applyFont="1" applyFill="1"/>
    <xf numFmtId="168" fontId="39" fillId="0" borderId="0" xfId="44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169" fontId="31" fillId="0" borderId="0" xfId="0" applyNumberFormat="1" applyFont="1" applyAlignment="1">
      <alignment horizontal="center"/>
    </xf>
    <xf numFmtId="178" fontId="15" fillId="0" borderId="18" xfId="0" applyNumberFormat="1" applyFont="1" applyBorder="1" applyAlignment="1">
      <alignment horizontal="right" vertical="top"/>
    </xf>
    <xf numFmtId="178" fontId="15" fillId="0" borderId="42" xfId="0" applyNumberFormat="1" applyFont="1" applyBorder="1" applyAlignment="1">
      <alignment horizontal="right" vertical="top"/>
    </xf>
    <xf numFmtId="178" fontId="15" fillId="0" borderId="44" xfId="0" applyNumberFormat="1" applyFont="1" applyBorder="1" applyAlignment="1">
      <alignment horizontal="right" vertical="top"/>
    </xf>
    <xf numFmtId="178" fontId="15" fillId="0" borderId="45" xfId="0" applyNumberFormat="1" applyFont="1" applyBorder="1" applyAlignment="1">
      <alignment horizontal="right" vertical="top"/>
    </xf>
    <xf numFmtId="178" fontId="15" fillId="0" borderId="57" xfId="0" applyNumberFormat="1" applyFont="1" applyBorder="1" applyAlignment="1">
      <alignment horizontal="right" vertical="top"/>
    </xf>
    <xf numFmtId="0" fontId="15" fillId="0" borderId="67" xfId="0" applyNumberFormat="1" applyFont="1" applyBorder="1" applyAlignment="1">
      <alignment horizontal="right" vertical="top"/>
    </xf>
    <xf numFmtId="178" fontId="15" fillId="0" borderId="0" xfId="0" applyNumberFormat="1" applyFont="1" applyBorder="1" applyAlignment="1">
      <alignment horizontal="right" vertical="top"/>
    </xf>
    <xf numFmtId="175" fontId="0" fillId="0" borderId="0" xfId="0" applyNumberFormat="1"/>
    <xf numFmtId="178" fontId="0" fillId="0" borderId="0" xfId="0" applyNumberFormat="1"/>
    <xf numFmtId="0" fontId="18" fillId="0" borderId="0" xfId="0" applyFont="1" applyAlignment="1">
      <alignment horizontal="left"/>
    </xf>
    <xf numFmtId="175" fontId="3" fillId="31" borderId="0" xfId="0" applyNumberFormat="1" applyFont="1" applyFill="1" applyAlignment="1">
      <alignment horizontal="right"/>
    </xf>
    <xf numFmtId="175" fontId="14" fillId="0" borderId="0" xfId="0" applyNumberFormat="1" applyFont="1" applyFill="1" applyBorder="1" applyAlignment="1">
      <alignment horizontal="right" vertical="top"/>
    </xf>
    <xf numFmtId="175" fontId="15" fillId="0" borderId="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left"/>
    </xf>
    <xf numFmtId="175" fontId="0" fillId="0" borderId="0" xfId="0" applyNumberFormat="1" applyAlignment="1">
      <alignment horizontal="left"/>
    </xf>
    <xf numFmtId="175" fontId="97" fillId="0" borderId="0" xfId="0" applyNumberFormat="1" applyFont="1" applyFill="1" applyAlignment="1">
      <alignment horizontal="left"/>
    </xf>
    <xf numFmtId="175" fontId="97" fillId="0" borderId="0" xfId="0" applyNumberFormat="1" applyFont="1" applyAlignment="1">
      <alignment horizontal="left"/>
    </xf>
    <xf numFmtId="170" fontId="0" fillId="0" borderId="0" xfId="0" applyNumberFormat="1" applyFill="1"/>
    <xf numFmtId="170" fontId="0" fillId="0" borderId="0" xfId="0" applyNumberFormat="1"/>
    <xf numFmtId="170" fontId="10" fillId="0" borderId="40" xfId="0" applyNumberFormat="1" applyFont="1" applyFill="1" applyBorder="1"/>
    <xf numFmtId="170" fontId="31" fillId="0" borderId="68" xfId="0" applyNumberFormat="1" applyFont="1" applyBorder="1"/>
    <xf numFmtId="170" fontId="31" fillId="0" borderId="50" xfId="0" applyNumberFormat="1" applyFont="1" applyBorder="1"/>
    <xf numFmtId="0" fontId="15" fillId="0" borderId="69" xfId="0" applyNumberFormat="1" applyFont="1" applyBorder="1" applyAlignment="1">
      <alignment horizontal="right" vertical="top"/>
    </xf>
    <xf numFmtId="0" fontId="15" fillId="0" borderId="46" xfId="0" applyNumberFormat="1" applyFont="1" applyBorder="1" applyAlignment="1">
      <alignment horizontal="left" vertical="top" wrapText="1"/>
    </xf>
    <xf numFmtId="0" fontId="15" fillId="0" borderId="25" xfId="0" applyNumberFormat="1" applyFont="1" applyBorder="1" applyAlignment="1">
      <alignment horizontal="left" vertical="top" wrapText="1"/>
    </xf>
    <xf numFmtId="0" fontId="15" fillId="0" borderId="43" xfId="0" applyNumberFormat="1" applyFont="1" applyBorder="1" applyAlignment="1">
      <alignment horizontal="left" vertical="top" wrapText="1"/>
    </xf>
    <xf numFmtId="0" fontId="15" fillId="0" borderId="44" xfId="0" applyNumberFormat="1" applyFont="1" applyBorder="1" applyAlignment="1">
      <alignment horizontal="left" vertical="top" wrapText="1"/>
    </xf>
    <xf numFmtId="178" fontId="15" fillId="0" borderId="35" xfId="0" applyNumberFormat="1" applyFont="1" applyBorder="1" applyAlignment="1">
      <alignment horizontal="right" vertical="top"/>
    </xf>
    <xf numFmtId="0" fontId="15" fillId="0" borderId="36" xfId="0" applyNumberFormat="1" applyFont="1" applyBorder="1" applyAlignment="1">
      <alignment horizontal="right" vertical="top"/>
    </xf>
    <xf numFmtId="178" fontId="0" fillId="0" borderId="0" xfId="0" applyNumberFormat="1" applyAlignment="1">
      <alignment horizontal="left"/>
    </xf>
    <xf numFmtId="0" fontId="28" fillId="0" borderId="0" xfId="0" applyFont="1" applyAlignment="1">
      <alignment horizontal="left"/>
    </xf>
    <xf numFmtId="178" fontId="103" fillId="0" borderId="18" xfId="74" applyNumberFormat="1" applyFont="1" applyBorder="1" applyAlignment="1">
      <alignment horizontal="right" vertical="top"/>
    </xf>
    <xf numFmtId="178" fontId="103" fillId="28" borderId="18" xfId="74" applyNumberFormat="1" applyFont="1" applyFill="1" applyBorder="1" applyAlignment="1">
      <alignment horizontal="right" vertical="top"/>
    </xf>
    <xf numFmtId="0" fontId="15" fillId="0" borderId="59" xfId="0" applyNumberFormat="1" applyFont="1" applyBorder="1" applyAlignment="1">
      <alignment horizontal="right" vertical="top"/>
    </xf>
    <xf numFmtId="172" fontId="103" fillId="0" borderId="18" xfId="74" applyNumberFormat="1" applyFont="1" applyBorder="1" applyAlignment="1">
      <alignment horizontal="right" vertical="top"/>
    </xf>
    <xf numFmtId="0" fontId="103" fillId="0" borderId="18" xfId="74" applyNumberFormat="1" applyFont="1" applyBorder="1" applyAlignment="1">
      <alignment horizontal="right" vertical="top"/>
    </xf>
    <xf numFmtId="173" fontId="103" fillId="0" borderId="18" xfId="74" applyNumberFormat="1" applyFont="1" applyBorder="1" applyAlignment="1">
      <alignment horizontal="right" vertical="top"/>
    </xf>
    <xf numFmtId="173" fontId="103" fillId="29" borderId="18" xfId="74" applyNumberFormat="1" applyFont="1" applyFill="1" applyBorder="1" applyAlignment="1">
      <alignment horizontal="right" vertical="top"/>
    </xf>
    <xf numFmtId="178" fontId="15" fillId="0" borderId="42" xfId="73" applyNumberFormat="1" applyFont="1" applyFill="1" applyBorder="1" applyAlignment="1">
      <alignment horizontal="right" vertical="top"/>
    </xf>
    <xf numFmtId="178" fontId="103" fillId="27" borderId="18" xfId="74" applyNumberFormat="1" applyFont="1" applyFill="1" applyBorder="1" applyAlignment="1">
      <alignment horizontal="right" vertical="top"/>
    </xf>
    <xf numFmtId="178" fontId="103" fillId="0" borderId="42" xfId="74" applyNumberFormat="1" applyFont="1" applyBorder="1" applyAlignment="1">
      <alignment horizontal="right" vertical="top"/>
    </xf>
    <xf numFmtId="178" fontId="69" fillId="0" borderId="0" xfId="73" applyNumberFormat="1" applyFont="1" applyAlignment="1">
      <alignment horizontal="left"/>
    </xf>
    <xf numFmtId="178" fontId="103" fillId="0" borderId="18" xfId="74" applyNumberFormat="1" applyFont="1" applyFill="1" applyBorder="1" applyAlignment="1">
      <alignment horizontal="right" vertical="top"/>
    </xf>
    <xf numFmtId="0" fontId="103" fillId="0" borderId="18" xfId="74" applyNumberFormat="1" applyFont="1" applyFill="1" applyBorder="1" applyAlignment="1">
      <alignment horizontal="right" vertical="top"/>
    </xf>
    <xf numFmtId="0" fontId="15" fillId="0" borderId="18" xfId="0" applyNumberFormat="1" applyFont="1" applyFill="1" applyBorder="1" applyAlignment="1">
      <alignment horizontal="right" vertical="top"/>
    </xf>
    <xf numFmtId="0" fontId="15" fillId="0" borderId="42" xfId="0" applyNumberFormat="1" applyFont="1" applyFill="1" applyBorder="1" applyAlignment="1">
      <alignment horizontal="right" vertical="top"/>
    </xf>
    <xf numFmtId="178" fontId="15" fillId="0" borderId="44" xfId="0" applyNumberFormat="1" applyFont="1" applyFill="1" applyBorder="1" applyAlignment="1">
      <alignment horizontal="right" vertical="top"/>
    </xf>
    <xf numFmtId="178" fontId="15" fillId="0" borderId="42" xfId="73" applyNumberFormat="1" applyFont="1" applyBorder="1" applyAlignment="1">
      <alignment horizontal="right" vertical="top"/>
    </xf>
    <xf numFmtId="175" fontId="103" fillId="0" borderId="18" xfId="74" applyNumberFormat="1" applyFont="1" applyBorder="1" applyAlignment="1">
      <alignment horizontal="right" vertical="top"/>
    </xf>
    <xf numFmtId="175" fontId="15" fillId="0" borderId="44" xfId="0" applyNumberFormat="1" applyFont="1" applyFill="1" applyBorder="1" applyAlignment="1">
      <alignment horizontal="right" vertical="top"/>
    </xf>
    <xf numFmtId="0" fontId="28" fillId="0" borderId="0" xfId="0" applyFont="1" applyFill="1" applyAlignment="1">
      <alignment horizontal="left"/>
    </xf>
    <xf numFmtId="172" fontId="103" fillId="0" borderId="25" xfId="74" applyNumberFormat="1" applyFont="1" applyBorder="1" applyAlignment="1">
      <alignment horizontal="right" vertical="top"/>
    </xf>
    <xf numFmtId="178" fontId="103" fillId="0" borderId="57" xfId="74" applyNumberFormat="1" applyFont="1" applyBorder="1" applyAlignment="1">
      <alignment horizontal="right" vertical="top"/>
    </xf>
    <xf numFmtId="0" fontId="28" fillId="0" borderId="0" xfId="0" applyFont="1"/>
    <xf numFmtId="0" fontId="104" fillId="0" borderId="23" xfId="0" applyFont="1" applyBorder="1" applyAlignment="1">
      <alignment horizontal="left"/>
    </xf>
    <xf numFmtId="0" fontId="0" fillId="0" borderId="44" xfId="0" applyBorder="1"/>
    <xf numFmtId="0" fontId="98" fillId="0" borderId="0" xfId="0" applyNumberFormat="1" applyFont="1" applyAlignment="1">
      <alignment horizontal="left"/>
    </xf>
    <xf numFmtId="179" fontId="94" fillId="0" borderId="0" xfId="0" applyNumberFormat="1" applyFont="1" applyAlignment="1">
      <alignment horizontal="left"/>
    </xf>
    <xf numFmtId="0" fontId="98" fillId="0" borderId="0" xfId="0" applyFont="1" applyAlignment="1">
      <alignment horizontal="left"/>
    </xf>
    <xf numFmtId="0" fontId="98" fillId="0" borderId="17" xfId="0" applyFont="1" applyFill="1" applyBorder="1" applyAlignment="1">
      <alignment horizontal="left"/>
    </xf>
    <xf numFmtId="170" fontId="71" fillId="0" borderId="18" xfId="0" applyNumberFormat="1" applyFont="1" applyFill="1" applyBorder="1" applyAlignment="1">
      <alignment horizontal="left"/>
    </xf>
    <xf numFmtId="170" fontId="98" fillId="0" borderId="0" xfId="0" applyNumberFormat="1" applyFont="1" applyAlignment="1">
      <alignment horizontal="left"/>
    </xf>
    <xf numFmtId="178" fontId="98" fillId="26" borderId="0" xfId="0" applyNumberFormat="1" applyFont="1" applyFill="1" applyAlignment="1">
      <alignment horizontal="left"/>
    </xf>
    <xf numFmtId="170" fontId="71" fillId="0" borderId="0" xfId="0" applyNumberFormat="1" applyFont="1" applyFill="1" applyAlignment="1">
      <alignment horizontal="left"/>
    </xf>
    <xf numFmtId="0" fontId="0" fillId="0" borderId="0" xfId="0" applyNumberFormat="1" applyAlignment="1"/>
    <xf numFmtId="0" fontId="14" fillId="0" borderId="0" xfId="0" applyNumberFormat="1" applyFont="1" applyAlignment="1"/>
    <xf numFmtId="178" fontId="15" fillId="0" borderId="25" xfId="0" applyNumberFormat="1" applyFont="1" applyBorder="1" applyAlignment="1">
      <alignment horizontal="right" vertical="top"/>
    </xf>
    <xf numFmtId="1" fontId="15" fillId="0" borderId="16" xfId="0" applyNumberFormat="1" applyFont="1" applyBorder="1" applyAlignment="1">
      <alignment horizontal="left" vertical="top" wrapText="1"/>
    </xf>
    <xf numFmtId="178" fontId="15" fillId="20" borderId="25" xfId="0" applyNumberFormat="1" applyFont="1" applyFill="1" applyBorder="1" applyAlignment="1">
      <alignment horizontal="right" vertical="top"/>
    </xf>
    <xf numFmtId="0" fontId="15" fillId="0" borderId="18" xfId="0" applyNumberFormat="1" applyFont="1" applyBorder="1" applyAlignment="1">
      <alignment horizontal="left" vertical="top" wrapText="1"/>
    </xf>
    <xf numFmtId="178" fontId="15" fillId="0" borderId="36" xfId="0" applyNumberFormat="1" applyFont="1" applyBorder="1" applyAlignment="1">
      <alignment horizontal="right" vertical="top"/>
    </xf>
    <xf numFmtId="0" fontId="60" fillId="30" borderId="0" xfId="73" applyNumberFormat="1" applyFont="1" applyFill="1" applyAlignment="1">
      <alignment horizontal="center"/>
    </xf>
    <xf numFmtId="178" fontId="103" fillId="0" borderId="25" xfId="74" applyNumberFormat="1" applyFont="1" applyBorder="1" applyAlignment="1">
      <alignment horizontal="right" vertical="top"/>
    </xf>
    <xf numFmtId="178" fontId="15" fillId="0" borderId="44" xfId="73" applyNumberFormat="1" applyFont="1" applyBorder="1" applyAlignment="1">
      <alignment horizontal="right" vertical="top"/>
    </xf>
    <xf numFmtId="178" fontId="15" fillId="0" borderId="25" xfId="73" applyNumberFormat="1" applyFont="1" applyBorder="1" applyAlignment="1">
      <alignment horizontal="right" vertical="top"/>
    </xf>
    <xf numFmtId="178" fontId="15" fillId="0" borderId="18" xfId="73" applyNumberFormat="1" applyFont="1" applyBorder="1" applyAlignment="1">
      <alignment horizontal="right" vertical="top"/>
    </xf>
    <xf numFmtId="0" fontId="52" fillId="0" borderId="0" xfId="73" applyNumberFormat="1" applyAlignment="1"/>
    <xf numFmtId="0" fontId="14" fillId="0" borderId="48" xfId="73" applyNumberFormat="1" applyFont="1" applyBorder="1" applyAlignment="1">
      <alignment horizontal="left" vertical="top"/>
    </xf>
    <xf numFmtId="0" fontId="14" fillId="0" borderId="57" xfId="73" applyNumberFormat="1" applyFont="1" applyBorder="1" applyAlignment="1">
      <alignment horizontal="left" vertical="top" wrapText="1"/>
    </xf>
    <xf numFmtId="0" fontId="15" fillId="0" borderId="67" xfId="73" applyNumberFormat="1" applyFont="1" applyBorder="1" applyAlignment="1">
      <alignment horizontal="right" vertical="top"/>
    </xf>
    <xf numFmtId="178" fontId="15" fillId="20" borderId="18" xfId="0" applyNumberFormat="1" applyFont="1" applyFill="1" applyBorder="1" applyAlignment="1">
      <alignment horizontal="right" vertical="top"/>
    </xf>
    <xf numFmtId="0" fontId="98" fillId="0" borderId="0" xfId="0" applyFont="1" applyFill="1" applyAlignment="1">
      <alignment horizontal="left"/>
    </xf>
    <xf numFmtId="4" fontId="98" fillId="26" borderId="0" xfId="0" applyNumberFormat="1" applyFont="1" applyFill="1" applyAlignment="1">
      <alignment horizontal="left"/>
    </xf>
    <xf numFmtId="170" fontId="98" fillId="0" borderId="17" xfId="0" applyNumberFormat="1" applyFont="1" applyFill="1" applyBorder="1" applyAlignment="1">
      <alignment horizontal="left"/>
    </xf>
    <xf numFmtId="0" fontId="98" fillId="0" borderId="18" xfId="0" applyFont="1" applyFill="1" applyBorder="1" applyAlignment="1">
      <alignment horizontal="left"/>
    </xf>
    <xf numFmtId="0" fontId="104" fillId="0" borderId="18" xfId="0" applyFont="1" applyFill="1" applyBorder="1" applyAlignment="1">
      <alignment horizontal="left"/>
    </xf>
    <xf numFmtId="0" fontId="70" fillId="0" borderId="17" xfId="0" applyFont="1" applyFill="1" applyBorder="1"/>
    <xf numFmtId="170" fontId="71" fillId="0" borderId="17" xfId="0" applyNumberFormat="1" applyFont="1" applyFill="1" applyBorder="1" applyAlignment="1">
      <alignment horizontal="left"/>
    </xf>
    <xf numFmtId="170" fontId="73" fillId="0" borderId="17" xfId="0" applyNumberFormat="1" applyFont="1" applyFill="1" applyBorder="1" applyAlignment="1">
      <alignment horizontal="left"/>
    </xf>
    <xf numFmtId="170" fontId="105" fillId="0" borderId="70" xfId="0" applyNumberFormat="1" applyFont="1" applyFill="1" applyBorder="1" applyAlignment="1">
      <alignment horizontal="left"/>
    </xf>
    <xf numFmtId="170" fontId="105" fillId="0" borderId="25" xfId="0" applyNumberFormat="1" applyFont="1" applyFill="1" applyBorder="1" applyAlignment="1">
      <alignment horizontal="left"/>
    </xf>
    <xf numFmtId="170" fontId="73" fillId="0" borderId="70" xfId="0" applyNumberFormat="1" applyFont="1" applyFill="1" applyBorder="1" applyAlignment="1">
      <alignment horizontal="left"/>
    </xf>
    <xf numFmtId="0" fontId="98" fillId="0" borderId="25" xfId="0" applyFont="1" applyFill="1" applyBorder="1" applyAlignment="1">
      <alignment horizontal="left"/>
    </xf>
    <xf numFmtId="170" fontId="98" fillId="0" borderId="0" xfId="0" applyNumberFormat="1" applyFont="1" applyFill="1" applyAlignment="1">
      <alignment horizontal="left"/>
    </xf>
    <xf numFmtId="178" fontId="15" fillId="0" borderId="64" xfId="0" applyNumberFormat="1" applyFont="1" applyFill="1" applyBorder="1" applyAlignment="1">
      <alignment horizontal="right" vertical="top" wrapText="1"/>
    </xf>
    <xf numFmtId="178" fontId="15" fillId="0" borderId="16" xfId="0" applyNumberFormat="1" applyFont="1" applyFill="1" applyBorder="1" applyAlignment="1">
      <alignment horizontal="right" vertical="top" wrapText="1"/>
    </xf>
    <xf numFmtId="178" fontId="15" fillId="0" borderId="38" xfId="0" applyNumberFormat="1" applyFont="1" applyBorder="1" applyAlignment="1">
      <alignment horizontal="right" vertical="top" wrapText="1"/>
    </xf>
    <xf numFmtId="178" fontId="14" fillId="0" borderId="0" xfId="0" applyNumberFormat="1" applyFont="1" applyBorder="1" applyAlignment="1">
      <alignment horizontal="right" vertical="top" wrapText="1"/>
    </xf>
    <xf numFmtId="178" fontId="15" fillId="0" borderId="64" xfId="0" applyNumberFormat="1" applyFont="1" applyBorder="1" applyAlignment="1">
      <alignment horizontal="right" vertical="top" wrapText="1"/>
    </xf>
    <xf numFmtId="178" fontId="15" fillId="0" borderId="71" xfId="0" applyNumberFormat="1" applyFont="1" applyBorder="1" applyAlignment="1">
      <alignment horizontal="right" vertical="top" wrapText="1"/>
    </xf>
    <xf numFmtId="178" fontId="15" fillId="0" borderId="16" xfId="0" applyNumberFormat="1" applyFont="1" applyBorder="1" applyAlignment="1">
      <alignment horizontal="right" vertical="top" wrapText="1"/>
    </xf>
    <xf numFmtId="178" fontId="15" fillId="0" borderId="72" xfId="0" applyNumberFormat="1" applyFont="1" applyBorder="1" applyAlignment="1">
      <alignment horizontal="right" vertical="top" wrapText="1"/>
    </xf>
    <xf numFmtId="178" fontId="103" fillId="0" borderId="67" xfId="78" applyNumberFormat="1" applyFont="1" applyBorder="1" applyAlignment="1">
      <alignment horizontal="right" vertical="top" wrapText="1"/>
    </xf>
    <xf numFmtId="178" fontId="14" fillId="0" borderId="50" xfId="0" applyNumberFormat="1" applyFont="1" applyBorder="1" applyAlignment="1">
      <alignment horizontal="right" vertical="top" wrapText="1"/>
    </xf>
    <xf numFmtId="178" fontId="15" fillId="0" borderId="35" xfId="0" applyNumberFormat="1" applyFont="1" applyBorder="1" applyAlignment="1">
      <alignment horizontal="right" vertical="top" wrapText="1"/>
    </xf>
    <xf numFmtId="178" fontId="15" fillId="0" borderId="73" xfId="0" applyNumberFormat="1" applyFont="1" applyBorder="1" applyAlignment="1">
      <alignment horizontal="right" vertical="top" wrapText="1"/>
    </xf>
    <xf numFmtId="178" fontId="15" fillId="0" borderId="54" xfId="0" applyNumberFormat="1" applyFont="1" applyBorder="1" applyAlignment="1">
      <alignment horizontal="right" vertical="top" wrapText="1"/>
    </xf>
    <xf numFmtId="178" fontId="15" fillId="0" borderId="69" xfId="0" applyNumberFormat="1" applyFont="1" applyBorder="1" applyAlignment="1">
      <alignment horizontal="right" vertical="top" wrapText="1"/>
    </xf>
    <xf numFmtId="170" fontId="106" fillId="0" borderId="0" xfId="0" applyNumberFormat="1" applyFont="1"/>
    <xf numFmtId="170" fontId="7" fillId="0" borderId="0" xfId="0" applyNumberFormat="1" applyFont="1" applyFill="1"/>
    <xf numFmtId="165" fontId="33" fillId="0" borderId="75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Border="1" applyAlignment="1">
      <alignment wrapText="1"/>
    </xf>
    <xf numFmtId="0" fontId="113" fillId="0" borderId="0" xfId="0" applyFont="1"/>
    <xf numFmtId="0" fontId="12" fillId="0" borderId="0" xfId="0" applyNumberFormat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wrapText="1"/>
    </xf>
    <xf numFmtId="3" fontId="116" fillId="0" borderId="0" xfId="0" applyNumberFormat="1" applyFont="1"/>
    <xf numFmtId="0" fontId="116" fillId="0" borderId="0" xfId="0" applyFont="1"/>
    <xf numFmtId="0" fontId="116" fillId="0" borderId="0" xfId="0" applyFont="1" applyBorder="1"/>
    <xf numFmtId="3" fontId="116" fillId="0" borderId="0" xfId="0" applyNumberFormat="1" applyFont="1" applyBorder="1"/>
    <xf numFmtId="0" fontId="117" fillId="0" borderId="0" xfId="0" applyFont="1" applyBorder="1" applyAlignment="1">
      <alignment wrapText="1"/>
    </xf>
    <xf numFmtId="3" fontId="117" fillId="0" borderId="0" xfId="0" applyNumberFormat="1" applyFont="1" applyAlignment="1"/>
    <xf numFmtId="0" fontId="117" fillId="0" borderId="0" xfId="0" applyFont="1" applyAlignment="1"/>
    <xf numFmtId="0" fontId="117" fillId="0" borderId="0" xfId="0" applyFont="1" applyAlignment="1">
      <alignment wrapText="1"/>
    </xf>
    <xf numFmtId="3" fontId="117" fillId="0" borderId="0" xfId="0" applyNumberFormat="1" applyFont="1" applyFill="1" applyAlignment="1">
      <alignment wrapText="1"/>
    </xf>
    <xf numFmtId="0" fontId="12" fillId="0" borderId="0" xfId="0" applyFont="1" applyBorder="1" applyAlignment="1">
      <alignment horizontal="left" wrapText="1"/>
    </xf>
    <xf numFmtId="0" fontId="33" fillId="0" borderId="0" xfId="0" applyFont="1"/>
    <xf numFmtId="0" fontId="12" fillId="0" borderId="0" xfId="0" applyFont="1" applyFill="1" applyBorder="1" applyAlignment="1">
      <alignment horizontal="center"/>
    </xf>
    <xf numFmtId="170" fontId="12" fillId="0" borderId="0" xfId="0" applyNumberFormat="1" applyFont="1" applyFill="1" applyBorder="1" applyAlignment="1">
      <alignment horizontal="center" wrapText="1"/>
    </xf>
    <xf numFmtId="170" fontId="12" fillId="0" borderId="0" xfId="0" applyNumberFormat="1" applyFont="1" applyFill="1" applyBorder="1" applyAlignment="1">
      <alignment horizontal="center"/>
    </xf>
    <xf numFmtId="170" fontId="7" fillId="0" borderId="0" xfId="0" applyNumberFormat="1" applyFont="1" applyFill="1" applyBorder="1"/>
    <xf numFmtId="0" fontId="7" fillId="0" borderId="0" xfId="0" applyFont="1" applyFill="1" applyBorder="1"/>
    <xf numFmtId="170" fontId="7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0" fontId="8" fillId="0" borderId="0" xfId="0" applyFont="1" applyFill="1" applyAlignment="1" applyProtection="1">
      <alignment horizontal="left"/>
    </xf>
    <xf numFmtId="175" fontId="0" fillId="0" borderId="0" xfId="0" applyNumberFormat="1" applyFill="1" applyAlignment="1">
      <alignment horizontal="left"/>
    </xf>
    <xf numFmtId="170" fontId="71" fillId="0" borderId="0" xfId="0" applyNumberFormat="1" applyFont="1" applyFill="1" applyAlignment="1">
      <alignment horizontal="right"/>
    </xf>
    <xf numFmtId="0" fontId="30" fillId="0" borderId="0" xfId="0" applyFont="1" applyAlignment="1">
      <alignment horizontal="left"/>
    </xf>
    <xf numFmtId="178" fontId="15" fillId="32" borderId="42" xfId="73" applyNumberFormat="1" applyFont="1" applyFill="1" applyBorder="1" applyAlignment="1">
      <alignment horizontal="right" vertical="top"/>
    </xf>
    <xf numFmtId="175" fontId="0" fillId="32" borderId="0" xfId="0" applyNumberFormat="1" applyFill="1"/>
    <xf numFmtId="3" fontId="31" fillId="0" borderId="0" xfId="0" applyNumberFormat="1" applyFont="1" applyBorder="1"/>
    <xf numFmtId="0" fontId="3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33" borderId="16" xfId="0" applyFill="1" applyBorder="1" applyAlignment="1">
      <alignment horizontal="left"/>
    </xf>
    <xf numFmtId="173" fontId="103" fillId="0" borderId="18" xfId="74" applyNumberFormat="1" applyFont="1" applyFill="1" applyBorder="1" applyAlignment="1">
      <alignment horizontal="right" vertical="top"/>
    </xf>
    <xf numFmtId="0" fontId="15" fillId="0" borderId="42" xfId="73" applyNumberFormat="1" applyFont="1" applyFill="1" applyBorder="1" applyAlignment="1">
      <alignment horizontal="right" vertical="top"/>
    </xf>
    <xf numFmtId="175" fontId="28" fillId="0" borderId="0" xfId="0" applyNumberFormat="1" applyFont="1"/>
    <xf numFmtId="0" fontId="13" fillId="0" borderId="0" xfId="0" applyFont="1"/>
    <xf numFmtId="9" fontId="22" fillId="0" borderId="0" xfId="85" applyFont="1" applyBorder="1" applyAlignment="1"/>
    <xf numFmtId="0" fontId="118" fillId="0" borderId="0" xfId="0" applyFont="1"/>
    <xf numFmtId="0" fontId="119" fillId="0" borderId="0" xfId="0" applyFont="1"/>
    <xf numFmtId="9" fontId="7" fillId="0" borderId="0" xfId="85" applyFont="1" applyFill="1"/>
    <xf numFmtId="0" fontId="3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11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15" fillId="0" borderId="0" xfId="0" applyNumberFormat="1" applyFont="1" applyAlignment="1">
      <alignment horizontal="center" wrapText="1"/>
    </xf>
    <xf numFmtId="0" fontId="15" fillId="0" borderId="0" xfId="0" applyNumberFormat="1" applyFont="1" applyAlignment="1">
      <alignment horizontal="center"/>
    </xf>
    <xf numFmtId="3" fontId="117" fillId="0" borderId="0" xfId="0" applyNumberFormat="1" applyFont="1" applyFill="1" applyAlignment="1"/>
    <xf numFmtId="0" fontId="15" fillId="0" borderId="18" xfId="73" applyNumberFormat="1" applyFont="1" applyFill="1" applyBorder="1" applyAlignment="1">
      <alignment horizontal="right" vertical="top"/>
    </xf>
    <xf numFmtId="178" fontId="15" fillId="0" borderId="18" xfId="73" applyNumberFormat="1" applyFont="1" applyFill="1" applyBorder="1" applyAlignment="1">
      <alignment horizontal="right" vertical="top"/>
    </xf>
    <xf numFmtId="0" fontId="15" fillId="0" borderId="25" xfId="73" applyNumberFormat="1" applyFont="1" applyFill="1" applyBorder="1" applyAlignment="1">
      <alignment horizontal="right" vertical="top"/>
    </xf>
    <xf numFmtId="178" fontId="15" fillId="0" borderId="44" xfId="73" applyNumberFormat="1" applyFont="1" applyFill="1" applyBorder="1" applyAlignment="1">
      <alignment horizontal="right" vertical="top"/>
    </xf>
    <xf numFmtId="3" fontId="107" fillId="0" borderId="0" xfId="0" applyNumberFormat="1" applyFont="1" applyFill="1"/>
    <xf numFmtId="0" fontId="15" fillId="0" borderId="0" xfId="0" applyNumberFormat="1" applyFont="1" applyAlignment="1">
      <alignment horizontal="left"/>
    </xf>
    <xf numFmtId="2" fontId="120" fillId="33" borderId="0" xfId="0" applyNumberFormat="1" applyFont="1" applyFill="1" applyAlignment="1">
      <alignment horizontal="left"/>
    </xf>
    <xf numFmtId="2" fontId="120" fillId="0" borderId="0" xfId="0" applyNumberFormat="1" applyFont="1" applyFill="1" applyAlignment="1">
      <alignment horizontal="left"/>
    </xf>
    <xf numFmtId="2" fontId="120" fillId="0" borderId="0" xfId="0" applyNumberFormat="1" applyFont="1" applyAlignment="1">
      <alignment horizontal="left"/>
    </xf>
    <xf numFmtId="2" fontId="121" fillId="0" borderId="0" xfId="0" applyNumberFormat="1" applyFont="1" applyAlignment="1">
      <alignment horizontal="left"/>
    </xf>
    <xf numFmtId="3" fontId="19" fillId="0" borderId="0" xfId="0" applyNumberFormat="1" applyFont="1" applyAlignment="1"/>
    <xf numFmtId="178" fontId="15" fillId="0" borderId="44" xfId="79" applyNumberFormat="1" applyFont="1" applyBorder="1" applyAlignment="1">
      <alignment horizontal="right" vertical="top" wrapText="1"/>
    </xf>
    <xf numFmtId="0" fontId="7" fillId="0" borderId="0" xfId="0" applyFont="1" applyFill="1" applyBorder="1" applyAlignment="1"/>
    <xf numFmtId="170" fontId="33" fillId="0" borderId="0" xfId="0" applyNumberFormat="1" applyFont="1" applyFill="1"/>
    <xf numFmtId="0" fontId="0" fillId="0" borderId="0" xfId="0" applyFill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" fontId="122" fillId="33" borderId="0" xfId="0" applyNumberFormat="1" applyFont="1" applyFill="1" applyAlignment="1">
      <alignment horizontal="right" vertical="center"/>
    </xf>
    <xf numFmtId="3" fontId="97" fillId="33" borderId="0" xfId="0" applyNumberFormat="1" applyFont="1" applyFill="1" applyAlignment="1">
      <alignment horizontal="right" vertical="center"/>
    </xf>
    <xf numFmtId="4" fontId="122" fillId="0" borderId="0" xfId="0" applyNumberFormat="1" applyFont="1" applyFill="1" applyAlignment="1">
      <alignment horizontal="right" vertical="center"/>
    </xf>
    <xf numFmtId="0" fontId="97" fillId="0" borderId="0" xfId="0" applyFont="1" applyAlignment="1">
      <alignment horizontal="right" vertical="center"/>
    </xf>
    <xf numFmtId="3" fontId="97" fillId="0" borderId="0" xfId="0" applyNumberFormat="1" applyFont="1" applyFill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3" fontId="97" fillId="0" borderId="0" xfId="0" applyNumberFormat="1" applyFont="1" applyAlignment="1">
      <alignment horizontal="right" vertical="center"/>
    </xf>
    <xf numFmtId="4" fontId="121" fillId="0" borderId="0" xfId="0" applyNumberFormat="1" applyFont="1" applyAlignment="1">
      <alignment horizontal="right" vertical="center"/>
    </xf>
    <xf numFmtId="170" fontId="22" fillId="0" borderId="0" xfId="0" applyNumberFormat="1" applyFont="1" applyFill="1" applyBorder="1"/>
    <xf numFmtId="0" fontId="118" fillId="0" borderId="0" xfId="0" applyFont="1" applyFill="1" applyBorder="1"/>
    <xf numFmtId="178" fontId="15" fillId="0" borderId="44" xfId="0" applyNumberFormat="1" applyFont="1" applyBorder="1" applyAlignment="1">
      <alignment horizontal="right" vertical="top" wrapText="1"/>
    </xf>
    <xf numFmtId="0" fontId="15" fillId="0" borderId="44" xfId="0" applyNumberFormat="1" applyFont="1" applyBorder="1" applyAlignment="1">
      <alignment horizontal="right" vertical="top" wrapText="1"/>
    </xf>
    <xf numFmtId="171" fontId="15" fillId="0" borderId="44" xfId="0" applyNumberFormat="1" applyFont="1" applyBorder="1" applyAlignment="1">
      <alignment horizontal="right" vertical="top" wrapText="1"/>
    </xf>
    <xf numFmtId="10" fontId="123" fillId="0" borderId="0" xfId="0" applyNumberFormat="1" applyFont="1" applyAlignment="1"/>
    <xf numFmtId="0" fontId="33" fillId="0" borderId="0" xfId="0" applyFont="1" applyFill="1"/>
    <xf numFmtId="165" fontId="33" fillId="0" borderId="61" xfId="0" applyNumberFormat="1" applyFont="1" applyFill="1" applyBorder="1" applyAlignment="1">
      <alignment wrapText="1"/>
    </xf>
    <xf numFmtId="165" fontId="33" fillId="0" borderId="51" xfId="0" applyNumberFormat="1" applyFont="1" applyFill="1" applyBorder="1" applyAlignment="1">
      <alignment wrapText="1"/>
    </xf>
    <xf numFmtId="3" fontId="118" fillId="0" borderId="0" xfId="0" applyNumberFormat="1" applyFont="1" applyFill="1"/>
    <xf numFmtId="170" fontId="22" fillId="0" borderId="0" xfId="0" applyNumberFormat="1" applyFont="1" applyFill="1" applyAlignment="1"/>
    <xf numFmtId="170" fontId="22" fillId="0" borderId="0" xfId="0" applyNumberFormat="1" applyFont="1" applyFill="1" applyBorder="1" applyAlignment="1"/>
    <xf numFmtId="0" fontId="7" fillId="0" borderId="0" xfId="0" applyFont="1" applyFill="1" applyAlignment="1"/>
    <xf numFmtId="178" fontId="15" fillId="0" borderId="0" xfId="0" applyNumberFormat="1" applyFont="1" applyBorder="1" applyAlignment="1">
      <alignment horizontal="right" vertical="top" wrapText="1"/>
    </xf>
    <xf numFmtId="175" fontId="28" fillId="0" borderId="0" xfId="0" applyNumberFormat="1" applyFont="1" applyAlignment="1">
      <alignment horizontal="left"/>
    </xf>
    <xf numFmtId="178" fontId="15" fillId="0" borderId="18" xfId="75" applyNumberFormat="1" applyFont="1" applyBorder="1" applyAlignment="1">
      <alignment horizontal="right" vertical="top"/>
    </xf>
    <xf numFmtId="178" fontId="15" fillId="0" borderId="42" xfId="75" applyNumberFormat="1" applyFont="1" applyBorder="1" applyAlignment="1">
      <alignment horizontal="right" vertical="top"/>
    </xf>
    <xf numFmtId="173" fontId="15" fillId="0" borderId="18" xfId="75" applyNumberFormat="1" applyFont="1" applyBorder="1" applyAlignment="1">
      <alignment horizontal="right" vertical="top"/>
    </xf>
    <xf numFmtId="178" fontId="15" fillId="0" borderId="44" xfId="75" applyNumberFormat="1" applyFont="1" applyBorder="1" applyAlignment="1">
      <alignment horizontal="right" vertical="top"/>
    </xf>
    <xf numFmtId="172" fontId="15" fillId="34" borderId="25" xfId="75" applyNumberFormat="1" applyFont="1" applyFill="1" applyBorder="1" applyAlignment="1">
      <alignment horizontal="right" vertical="top"/>
    </xf>
    <xf numFmtId="173" fontId="15" fillId="34" borderId="25" xfId="75" applyNumberFormat="1" applyFont="1" applyFill="1" applyBorder="1" applyAlignment="1">
      <alignment horizontal="right" vertical="top"/>
    </xf>
    <xf numFmtId="165" fontId="33" fillId="0" borderId="0" xfId="0" applyNumberFormat="1" applyFont="1" applyBorder="1" applyAlignment="1">
      <alignment horizontal="center" wrapText="1"/>
    </xf>
    <xf numFmtId="170" fontId="22" fillId="0" borderId="0" xfId="0" applyNumberFormat="1" applyFont="1" applyFill="1"/>
    <xf numFmtId="9" fontId="118" fillId="0" borderId="0" xfId="85" applyFont="1" applyAlignment="1"/>
    <xf numFmtId="0" fontId="15" fillId="0" borderId="63" xfId="80" applyNumberFormat="1" applyFont="1" applyBorder="1" applyAlignment="1">
      <alignment horizontal="center" vertical="center" wrapText="1"/>
    </xf>
    <xf numFmtId="0" fontId="15" fillId="0" borderId="43" xfId="80" applyNumberFormat="1" applyFont="1" applyBorder="1" applyAlignment="1">
      <alignment horizontal="center"/>
    </xf>
    <xf numFmtId="4" fontId="15" fillId="0" borderId="22" xfId="80" applyNumberFormat="1" applyFont="1" applyBorder="1" applyAlignment="1">
      <alignment horizontal="center" vertical="center"/>
    </xf>
    <xf numFmtId="0" fontId="15" fillId="0" borderId="22" xfId="80" applyNumberFormat="1" applyFont="1" applyBorder="1" applyAlignment="1">
      <alignment horizontal="center" vertical="center"/>
    </xf>
    <xf numFmtId="0" fontId="15" fillId="0" borderId="76" xfId="80" applyNumberFormat="1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left" vertical="top" wrapText="1"/>
    </xf>
    <xf numFmtId="0" fontId="15" fillId="0" borderId="77" xfId="0" applyNumberFormat="1" applyFont="1" applyBorder="1" applyAlignment="1">
      <alignment horizontal="right" vertical="top"/>
    </xf>
    <xf numFmtId="170" fontId="31" fillId="0" borderId="66" xfId="0" applyNumberFormat="1" applyFont="1" applyFill="1" applyBorder="1"/>
    <xf numFmtId="0" fontId="15" fillId="0" borderId="57" xfId="0" applyNumberFormat="1" applyFont="1" applyBorder="1" applyAlignment="1">
      <alignment horizontal="right" vertical="top"/>
    </xf>
    <xf numFmtId="178" fontId="15" fillId="0" borderId="67" xfId="0" applyNumberFormat="1" applyFont="1" applyBorder="1" applyAlignment="1">
      <alignment horizontal="right" vertical="top"/>
    </xf>
    <xf numFmtId="170" fontId="93" fillId="0" borderId="0" xfId="0" applyNumberFormat="1" applyFont="1" applyFill="1" applyAlignment="1"/>
    <xf numFmtId="178" fontId="15" fillId="0" borderId="54" xfId="75" applyNumberFormat="1" applyFont="1" applyBorder="1" applyAlignment="1">
      <alignment horizontal="right" vertical="top"/>
    </xf>
    <xf numFmtId="178" fontId="15" fillId="0" borderId="69" xfId="75" applyNumberFormat="1" applyFont="1" applyBorder="1" applyAlignment="1">
      <alignment horizontal="right" vertical="top"/>
    </xf>
    <xf numFmtId="178" fontId="15" fillId="0" borderId="18" xfId="75" applyNumberFormat="1" applyFont="1" applyFill="1" applyBorder="1" applyAlignment="1">
      <alignment horizontal="right" vertical="top"/>
    </xf>
    <xf numFmtId="178" fontId="15" fillId="0" borderId="42" xfId="75" applyNumberFormat="1" applyFont="1" applyFill="1" applyBorder="1" applyAlignment="1">
      <alignment horizontal="right" vertical="top"/>
    </xf>
    <xf numFmtId="173" fontId="15" fillId="0" borderId="18" xfId="75" applyNumberFormat="1" applyFont="1" applyFill="1" applyBorder="1" applyAlignment="1">
      <alignment horizontal="right" vertical="top"/>
    </xf>
    <xf numFmtId="178" fontId="15" fillId="0" borderId="18" xfId="0" applyNumberFormat="1" applyFont="1" applyFill="1" applyBorder="1" applyAlignment="1">
      <alignment horizontal="right" vertical="top"/>
    </xf>
    <xf numFmtId="178" fontId="15" fillId="0" borderId="44" xfId="75" applyNumberFormat="1" applyFont="1" applyFill="1" applyBorder="1" applyAlignment="1">
      <alignment horizontal="right" vertical="top"/>
    </xf>
    <xf numFmtId="0" fontId="15" fillId="0" borderId="45" xfId="0" applyNumberFormat="1" applyFont="1" applyFill="1" applyBorder="1" applyAlignment="1">
      <alignment horizontal="right" vertical="top"/>
    </xf>
    <xf numFmtId="173" fontId="15" fillId="0" borderId="25" xfId="75" applyNumberFormat="1" applyFont="1" applyFill="1" applyBorder="1" applyAlignment="1">
      <alignment horizontal="right" vertical="top"/>
    </xf>
    <xf numFmtId="0" fontId="15" fillId="0" borderId="47" xfId="0" applyNumberFormat="1" applyFont="1" applyFill="1" applyBorder="1" applyAlignment="1">
      <alignment horizontal="right" vertical="top"/>
    </xf>
    <xf numFmtId="49" fontId="10" fillId="0" borderId="0" xfId="0" applyNumberFormat="1" applyFont="1" applyFill="1"/>
    <xf numFmtId="0" fontId="42" fillId="0" borderId="0" xfId="0" applyFont="1" applyFill="1" applyAlignment="1">
      <alignment horizontal="center"/>
    </xf>
    <xf numFmtId="0" fontId="31" fillId="0" borderId="0" xfId="0" applyFont="1" applyFill="1" applyBorder="1"/>
    <xf numFmtId="0" fontId="15" fillId="0" borderId="45" xfId="0" applyNumberFormat="1" applyFont="1" applyFill="1" applyBorder="1" applyAlignment="1">
      <alignment horizontal="right" vertical="top" wrapText="1"/>
    </xf>
    <xf numFmtId="175" fontId="0" fillId="33" borderId="0" xfId="0" applyNumberFormat="1" applyFill="1"/>
    <xf numFmtId="178" fontId="15" fillId="0" borderId="57" xfId="75" applyNumberFormat="1" applyFont="1" applyBorder="1" applyAlignment="1">
      <alignment horizontal="right" vertical="top"/>
    </xf>
    <xf numFmtId="170" fontId="7" fillId="0" borderId="0" xfId="0" applyNumberFormat="1" applyFont="1" applyFill="1" applyAlignment="1">
      <alignment horizontal="right"/>
    </xf>
    <xf numFmtId="3" fontId="124" fillId="0" borderId="0" xfId="0" applyNumberFormat="1" applyFont="1" applyFill="1"/>
    <xf numFmtId="0" fontId="15" fillId="0" borderId="59" xfId="0" applyFont="1" applyBorder="1" applyAlignment="1">
      <alignment horizontal="center" vertical="top" wrapText="1"/>
    </xf>
    <xf numFmtId="0" fontId="20" fillId="0" borderId="59" xfId="0" applyFont="1" applyBorder="1" applyAlignment="1">
      <alignment horizontal="center" vertical="top" wrapText="1"/>
    </xf>
    <xf numFmtId="170" fontId="12" fillId="0" borderId="0" xfId="0" applyNumberFormat="1" applyFont="1" applyFill="1" applyAlignment="1"/>
    <xf numFmtId="170" fontId="45" fillId="0" borderId="0" xfId="0" applyNumberFormat="1" applyFont="1" applyBorder="1" applyAlignment="1">
      <alignment horizontal="right"/>
    </xf>
    <xf numFmtId="170" fontId="32" fillId="0" borderId="0" xfId="0" applyNumberFormat="1" applyFont="1" applyFill="1" applyBorder="1" applyAlignment="1">
      <alignment horizontal="right"/>
    </xf>
    <xf numFmtId="171" fontId="15" fillId="0" borderId="18" xfId="75" applyNumberFormat="1" applyFont="1" applyBorder="1" applyAlignment="1">
      <alignment horizontal="right" vertical="top"/>
    </xf>
    <xf numFmtId="0" fontId="15" fillId="0" borderId="43" xfId="80" applyNumberFormat="1" applyFont="1" applyBorder="1" applyAlignment="1">
      <alignment horizontal="left" vertical="top" wrapText="1"/>
    </xf>
    <xf numFmtId="178" fontId="15" fillId="0" borderId="44" xfId="80" applyNumberFormat="1" applyFont="1" applyBorder="1" applyAlignment="1">
      <alignment horizontal="right" vertical="top" wrapText="1"/>
    </xf>
    <xf numFmtId="0" fontId="15" fillId="0" borderId="44" xfId="80" applyNumberFormat="1" applyFont="1" applyBorder="1" applyAlignment="1">
      <alignment horizontal="right" vertical="top" wrapText="1"/>
    </xf>
    <xf numFmtId="178" fontId="15" fillId="0" borderId="35" xfId="80" applyNumberFormat="1" applyFont="1" applyBorder="1" applyAlignment="1">
      <alignment horizontal="right" vertical="top" wrapText="1"/>
    </xf>
    <xf numFmtId="170" fontId="10" fillId="33" borderId="40" xfId="0" applyNumberFormat="1" applyFont="1" applyFill="1" applyBorder="1"/>
    <xf numFmtId="0" fontId="15" fillId="0" borderId="0" xfId="0" applyFont="1" applyBorder="1" applyAlignment="1">
      <alignment horizontal="left"/>
    </xf>
    <xf numFmtId="0" fontId="5" fillId="0" borderId="0" xfId="0" applyFont="1" applyFill="1"/>
    <xf numFmtId="169" fontId="15" fillId="0" borderId="23" xfId="0" applyNumberFormat="1" applyFont="1" applyBorder="1" applyAlignment="1">
      <alignment horizontal="center"/>
    </xf>
    <xf numFmtId="169" fontId="31" fillId="0" borderId="23" xfId="0" applyNumberFormat="1" applyFont="1" applyBorder="1" applyAlignment="1">
      <alignment horizontal="right"/>
    </xf>
    <xf numFmtId="169" fontId="14" fillId="0" borderId="78" xfId="0" applyNumberFormat="1" applyFont="1" applyBorder="1" applyAlignment="1">
      <alignment horizontal="right"/>
    </xf>
    <xf numFmtId="169" fontId="46" fillId="0" borderId="78" xfId="0" applyNumberFormat="1" applyFont="1" applyBorder="1" applyAlignment="1">
      <alignment horizontal="right"/>
    </xf>
    <xf numFmtId="169" fontId="46" fillId="0" borderId="79" xfId="0" applyNumberFormat="1" applyFont="1" applyBorder="1" applyAlignment="1">
      <alignment horizontal="right"/>
    </xf>
    <xf numFmtId="0" fontId="25" fillId="0" borderId="0" xfId="0" applyFont="1" applyAlignment="1">
      <alignment horizontal="centerContinuous"/>
    </xf>
    <xf numFmtId="169" fontId="31" fillId="0" borderId="0" xfId="0" applyNumberFormat="1" applyFont="1" applyAlignment="1">
      <alignment horizontal="centerContinuous"/>
    </xf>
    <xf numFmtId="169" fontId="50" fillId="0" borderId="0" xfId="0" applyNumberFormat="1" applyFont="1" applyAlignment="1">
      <alignment horizontal="centerContinuous"/>
    </xf>
    <xf numFmtId="0" fontId="50" fillId="0" borderId="0" xfId="0" applyFont="1" applyAlignment="1">
      <alignment horizontal="left"/>
    </xf>
    <xf numFmtId="0" fontId="15" fillId="0" borderId="30" xfId="0" applyFont="1" applyBorder="1" applyAlignment="1">
      <alignment horizontal="center"/>
    </xf>
    <xf numFmtId="169" fontId="15" fillId="0" borderId="31" xfId="0" applyNumberFormat="1" applyFont="1" applyBorder="1" applyAlignment="1">
      <alignment horizontal="centerContinuous"/>
    </xf>
    <xf numFmtId="169" fontId="15" fillId="0" borderId="80" xfId="0" applyNumberFormat="1" applyFont="1" applyBorder="1" applyAlignment="1">
      <alignment horizontal="centerContinuous"/>
    </xf>
    <xf numFmtId="169" fontId="15" fillId="0" borderId="73" xfId="0" applyNumberFormat="1" applyFont="1" applyBorder="1" applyAlignment="1">
      <alignment horizontal="centerContinuous"/>
    </xf>
    <xf numFmtId="169" fontId="15" fillId="0" borderId="37" xfId="0" applyNumberFormat="1" applyFont="1" applyBorder="1" applyAlignment="1">
      <alignment horizontal="center"/>
    </xf>
    <xf numFmtId="169" fontId="15" fillId="0" borderId="39" xfId="0" applyNumberFormat="1" applyFont="1" applyBorder="1" applyAlignment="1">
      <alignment horizontal="center"/>
    </xf>
    <xf numFmtId="0" fontId="15" fillId="0" borderId="8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5" fillId="0" borderId="0" xfId="0" applyFont="1" applyBorder="1" applyAlignment="1">
      <alignment horizontal="centerContinuous"/>
    </xf>
    <xf numFmtId="0" fontId="15" fillId="0" borderId="0" xfId="0" applyFont="1" applyBorder="1" applyAlignment="1">
      <alignment horizontal="center"/>
    </xf>
    <xf numFmtId="0" fontId="14" fillId="0" borderId="0" xfId="0" applyFont="1" applyBorder="1"/>
    <xf numFmtId="0" fontId="15" fillId="0" borderId="81" xfId="0" applyFont="1" applyBorder="1" applyAlignment="1">
      <alignment horizontal="center"/>
    </xf>
    <xf numFmtId="169" fontId="15" fillId="0" borderId="76" xfId="0" applyNumberFormat="1" applyFont="1" applyBorder="1" applyAlignment="1">
      <alignment horizontal="center"/>
    </xf>
    <xf numFmtId="169" fontId="46" fillId="0" borderId="34" xfId="0" applyNumberFormat="1" applyFont="1" applyBorder="1" applyAlignment="1">
      <alignment horizontal="right"/>
    </xf>
    <xf numFmtId="169" fontId="14" fillId="0" borderId="0" xfId="0" applyNumberFormat="1" applyFont="1" applyBorder="1" applyAlignment="1">
      <alignment horizontal="right"/>
    </xf>
    <xf numFmtId="169" fontId="46" fillId="0" borderId="0" xfId="0" applyNumberFormat="1" applyFont="1" applyBorder="1" applyAlignment="1">
      <alignment horizontal="right"/>
    </xf>
    <xf numFmtId="169" fontId="46" fillId="35" borderId="0" xfId="0" applyNumberFormat="1" applyFont="1" applyFill="1" applyBorder="1" applyAlignment="1">
      <alignment horizontal="right"/>
    </xf>
    <xf numFmtId="0" fontId="5" fillId="33" borderId="0" xfId="0" applyFont="1" applyFill="1"/>
    <xf numFmtId="170" fontId="8" fillId="33" borderId="0" xfId="0" applyNumberFormat="1" applyFont="1" applyFill="1"/>
    <xf numFmtId="0" fontId="8" fillId="33" borderId="0" xfId="0" applyFont="1" applyFill="1"/>
    <xf numFmtId="168" fontId="39" fillId="33" borderId="29" xfId="44" applyNumberFormat="1" applyFont="1" applyFill="1" applyBorder="1" applyAlignment="1">
      <alignment horizontal="right" vertical="center"/>
    </xf>
    <xf numFmtId="168" fontId="39" fillId="33" borderId="29" xfId="44" applyNumberFormat="1" applyFont="1" applyFill="1" applyBorder="1" applyAlignment="1">
      <alignment horizontal="right"/>
    </xf>
    <xf numFmtId="49" fontId="10" fillId="33" borderId="0" xfId="0" applyNumberFormat="1" applyFont="1" applyFill="1"/>
    <xf numFmtId="0" fontId="7" fillId="34" borderId="28" xfId="0" applyFont="1" applyFill="1" applyBorder="1" applyAlignment="1">
      <alignment horizontal="center" vertical="center" wrapText="1"/>
    </xf>
    <xf numFmtId="0" fontId="109" fillId="34" borderId="28" xfId="0" applyFont="1" applyFill="1" applyBorder="1" applyAlignment="1">
      <alignment horizontal="center" vertical="center" wrapText="1"/>
    </xf>
    <xf numFmtId="0" fontId="7" fillId="0" borderId="28" xfId="0" applyFont="1" applyBorder="1" applyAlignment="1"/>
    <xf numFmtId="0" fontId="7" fillId="0" borderId="28" xfId="0" applyFont="1" applyFill="1" applyBorder="1" applyAlignment="1"/>
    <xf numFmtId="170" fontId="7" fillId="0" borderId="28" xfId="0" applyNumberFormat="1" applyFont="1" applyFill="1" applyBorder="1" applyAlignment="1"/>
    <xf numFmtId="10" fontId="22" fillId="0" borderId="0" xfId="0" applyNumberFormat="1" applyFont="1" applyFill="1" applyAlignment="1"/>
    <xf numFmtId="170" fontId="118" fillId="0" borderId="0" xfId="0" applyNumberFormat="1" applyFont="1" applyFill="1" applyAlignment="1"/>
    <xf numFmtId="170" fontId="7" fillId="34" borderId="0" xfId="0" applyNumberFormat="1" applyFont="1" applyFill="1" applyAlignment="1"/>
    <xf numFmtId="170" fontId="33" fillId="33" borderId="0" xfId="0" applyNumberFormat="1" applyFont="1" applyFill="1"/>
    <xf numFmtId="0" fontId="33" fillId="33" borderId="0" xfId="0" applyFont="1" applyFill="1"/>
    <xf numFmtId="178" fontId="15" fillId="0" borderId="18" xfId="0" applyNumberFormat="1" applyFont="1" applyBorder="1" applyAlignment="1">
      <alignment horizontal="right" vertical="top" wrapText="1"/>
    </xf>
    <xf numFmtId="0" fontId="15" fillId="0" borderId="18" xfId="0" applyNumberFormat="1" applyFont="1" applyBorder="1" applyAlignment="1">
      <alignment horizontal="right" vertical="top" wrapText="1"/>
    </xf>
    <xf numFmtId="0" fontId="14" fillId="0" borderId="43" xfId="80" applyNumberFormat="1" applyFont="1" applyBorder="1" applyAlignment="1">
      <alignment horizontal="left" vertical="top" wrapText="1"/>
    </xf>
    <xf numFmtId="0" fontId="31" fillId="0" borderId="82" xfId="0" applyFont="1" applyBorder="1"/>
    <xf numFmtId="0" fontId="14" fillId="0" borderId="48" xfId="0" applyFont="1" applyBorder="1"/>
    <xf numFmtId="169" fontId="31" fillId="0" borderId="40" xfId="0" applyNumberFormat="1" applyFont="1" applyBorder="1" applyAlignment="1">
      <alignment horizontal="right"/>
    </xf>
    <xf numFmtId="169" fontId="31" fillId="0" borderId="83" xfId="0" applyNumberFormat="1" applyFont="1" applyBorder="1" applyAlignment="1">
      <alignment horizontal="right"/>
    </xf>
    <xf numFmtId="0" fontId="31" fillId="0" borderId="81" xfId="0" applyFont="1" applyBorder="1"/>
    <xf numFmtId="169" fontId="14" fillId="0" borderId="33" xfId="0" applyNumberFormat="1" applyFont="1" applyBorder="1" applyAlignment="1">
      <alignment horizontal="right"/>
    </xf>
    <xf numFmtId="0" fontId="8" fillId="33" borderId="0" xfId="0" applyFont="1" applyFill="1" applyAlignment="1" applyProtection="1">
      <alignment horizontal="left"/>
    </xf>
    <xf numFmtId="4" fontId="4" fillId="33" borderId="0" xfId="44" applyNumberFormat="1" applyFont="1" applyFill="1" applyAlignment="1">
      <alignment wrapText="1"/>
    </xf>
    <xf numFmtId="3" fontId="0" fillId="0" borderId="0" xfId="0" applyNumberFormat="1" applyAlignment="1">
      <alignment horizontal="right" vertical="center"/>
    </xf>
    <xf numFmtId="168" fontId="39" fillId="0" borderId="0" xfId="44" applyNumberFormat="1" applyFont="1" applyFill="1" applyBorder="1" applyAlignment="1">
      <alignment horizontal="right"/>
    </xf>
    <xf numFmtId="0" fontId="14" fillId="0" borderId="40" xfId="75" applyNumberFormat="1" applyFont="1" applyBorder="1" applyAlignment="1">
      <alignment horizontal="left" vertical="top" wrapText="1"/>
    </xf>
    <xf numFmtId="0" fontId="24" fillId="0" borderId="0" xfId="0" applyNumberFormat="1" applyFont="1" applyAlignment="1">
      <alignment horizontal="centerContinuous" wrapText="1"/>
    </xf>
    <xf numFmtId="0" fontId="15" fillId="0" borderId="54" xfId="0" applyNumberFormat="1" applyFont="1" applyBorder="1" applyAlignment="1">
      <alignment horizontal="right" vertical="top"/>
    </xf>
    <xf numFmtId="0" fontId="15" fillId="0" borderId="16" xfId="0" applyNumberFormat="1" applyFont="1" applyBorder="1" applyAlignment="1">
      <alignment horizontal="left" vertical="top" wrapText="1"/>
    </xf>
    <xf numFmtId="178" fontId="15" fillId="0" borderId="42" xfId="77" applyNumberFormat="1" applyFont="1" applyBorder="1" applyAlignment="1">
      <alignment horizontal="right" vertical="top"/>
    </xf>
    <xf numFmtId="178" fontId="103" fillId="0" borderId="18" xfId="76" applyNumberFormat="1" applyFont="1" applyBorder="1" applyAlignment="1">
      <alignment horizontal="right" vertical="top"/>
    </xf>
    <xf numFmtId="178" fontId="15" fillId="0" borderId="47" xfId="0" applyNumberFormat="1" applyFont="1" applyFill="1" applyBorder="1" applyAlignment="1">
      <alignment horizontal="right" vertical="top"/>
    </xf>
    <xf numFmtId="178" fontId="103" fillId="0" borderId="42" xfId="76" applyNumberFormat="1" applyFont="1" applyBorder="1" applyAlignment="1">
      <alignment horizontal="right" vertical="top"/>
    </xf>
    <xf numFmtId="178" fontId="15" fillId="0" borderId="84" xfId="0" applyNumberFormat="1" applyFont="1" applyFill="1" applyBorder="1" applyAlignment="1">
      <alignment horizontal="right" vertical="top"/>
    </xf>
    <xf numFmtId="178" fontId="0" fillId="26" borderId="50" xfId="0" applyNumberFormat="1" applyFill="1" applyBorder="1" applyAlignment="1">
      <alignment horizontal="left"/>
    </xf>
    <xf numFmtId="0" fontId="15" fillId="0" borderId="85" xfId="0" applyNumberFormat="1" applyFont="1" applyBorder="1" applyAlignment="1">
      <alignment horizontal="left" vertical="top" wrapText="1"/>
    </xf>
    <xf numFmtId="0" fontId="15" fillId="0" borderId="85" xfId="0" applyNumberFormat="1" applyFont="1" applyBorder="1" applyAlignment="1">
      <alignment horizontal="right" vertical="top"/>
    </xf>
    <xf numFmtId="0" fontId="15" fillId="0" borderId="86" xfId="0" applyNumberFormat="1" applyFont="1" applyBorder="1" applyAlignment="1">
      <alignment horizontal="right" vertical="top"/>
    </xf>
    <xf numFmtId="178" fontId="15" fillId="0" borderId="18" xfId="77" applyNumberFormat="1" applyFont="1" applyBorder="1" applyAlignment="1">
      <alignment horizontal="right" vertical="top"/>
    </xf>
    <xf numFmtId="0" fontId="15" fillId="0" borderId="40" xfId="0" applyNumberFormat="1" applyFont="1" applyBorder="1" applyAlignment="1">
      <alignment horizontal="left" vertical="top" wrapText="1"/>
    </xf>
    <xf numFmtId="0" fontId="15" fillId="0" borderId="28" xfId="0" applyNumberFormat="1" applyFont="1" applyBorder="1" applyAlignment="1">
      <alignment horizontal="left" vertical="top" wrapText="1"/>
    </xf>
    <xf numFmtId="178" fontId="15" fillId="0" borderId="28" xfId="0" applyNumberFormat="1" applyFont="1" applyBorder="1" applyAlignment="1">
      <alignment horizontal="right" vertical="top"/>
    </xf>
    <xf numFmtId="178" fontId="15" fillId="0" borderId="83" xfId="0" applyNumberFormat="1" applyFont="1" applyBorder="1" applyAlignment="1">
      <alignment horizontal="right" vertical="top"/>
    </xf>
    <xf numFmtId="169" fontId="15" fillId="0" borderId="28" xfId="0" applyNumberFormat="1" applyFont="1" applyFill="1" applyBorder="1" applyAlignment="1">
      <alignment horizontal="right" vertical="top"/>
    </xf>
    <xf numFmtId="178" fontId="15" fillId="0" borderId="83" xfId="0" applyNumberFormat="1" applyFont="1" applyFill="1" applyBorder="1" applyAlignment="1">
      <alignment horizontal="right" vertical="top"/>
    </xf>
    <xf numFmtId="178" fontId="15" fillId="0" borderId="25" xfId="0" applyNumberFormat="1" applyFont="1" applyFill="1" applyBorder="1" applyAlignment="1">
      <alignment horizontal="right" vertical="top"/>
    </xf>
    <xf numFmtId="0" fontId="15" fillId="0" borderId="55" xfId="0" applyNumberFormat="1" applyFont="1" applyBorder="1" applyAlignment="1">
      <alignment horizontal="left" vertical="top" wrapText="1"/>
    </xf>
    <xf numFmtId="0" fontId="15" fillId="0" borderId="36" xfId="0" applyNumberFormat="1" applyFont="1" applyBorder="1" applyAlignment="1">
      <alignment horizontal="left" vertical="top" wrapText="1"/>
    </xf>
    <xf numFmtId="0" fontId="15" fillId="0" borderId="84" xfId="0" applyNumberFormat="1" applyFont="1" applyBorder="1" applyAlignment="1">
      <alignment horizontal="right" vertical="top"/>
    </xf>
    <xf numFmtId="178" fontId="15" fillId="0" borderId="73" xfId="0" applyNumberFormat="1" applyFont="1" applyBorder="1" applyAlignment="1">
      <alignment horizontal="right" vertical="top"/>
    </xf>
    <xf numFmtId="178" fontId="15" fillId="0" borderId="36" xfId="0" applyNumberFormat="1" applyFont="1" applyFill="1" applyBorder="1" applyAlignment="1">
      <alignment horizontal="right" vertical="top"/>
    </xf>
    <xf numFmtId="170" fontId="71" fillId="31" borderId="18" xfId="0" applyNumberFormat="1" applyFont="1" applyFill="1" applyBorder="1" applyAlignment="1">
      <alignment horizontal="left"/>
    </xf>
    <xf numFmtId="0" fontId="15" fillId="0" borderId="18" xfId="75" applyNumberFormat="1" applyFont="1" applyBorder="1" applyAlignment="1">
      <alignment horizontal="right" vertical="top"/>
    </xf>
    <xf numFmtId="0" fontId="15" fillId="0" borderId="46" xfId="75" applyNumberFormat="1" applyFont="1" applyBorder="1" applyAlignment="1">
      <alignment horizontal="left" vertical="top" wrapText="1"/>
    </xf>
    <xf numFmtId="0" fontId="15" fillId="0" borderId="59" xfId="75" applyNumberFormat="1" applyFont="1" applyBorder="1" applyAlignment="1">
      <alignment horizontal="left" vertical="top" wrapText="1"/>
    </xf>
    <xf numFmtId="0" fontId="15" fillId="0" borderId="43" xfId="79" applyNumberFormat="1" applyFont="1" applyBorder="1" applyAlignment="1">
      <alignment horizontal="left" vertical="top" wrapText="1"/>
    </xf>
    <xf numFmtId="4" fontId="103" fillId="0" borderId="57" xfId="74" applyNumberFormat="1" applyFont="1" applyBorder="1" applyAlignment="1">
      <alignment horizontal="right" vertical="top"/>
    </xf>
    <xf numFmtId="178" fontId="15" fillId="0" borderId="18" xfId="81" applyNumberFormat="1" applyFont="1" applyBorder="1" applyAlignment="1">
      <alignment horizontal="right" vertical="top"/>
    </xf>
    <xf numFmtId="175" fontId="15" fillId="33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165" fontId="15" fillId="0" borderId="0" xfId="0" applyNumberFormat="1" applyFont="1" applyFill="1" applyBorder="1"/>
    <xf numFmtId="170" fontId="33" fillId="0" borderId="0" xfId="0" applyNumberFormat="1" applyFont="1" applyFill="1" applyBorder="1" applyAlignment="1">
      <alignment wrapText="1"/>
    </xf>
    <xf numFmtId="165" fontId="33" fillId="0" borderId="0" xfId="0" applyNumberFormat="1" applyFont="1" applyFill="1" applyBorder="1" applyAlignment="1">
      <alignment wrapText="1"/>
    </xf>
    <xf numFmtId="165" fontId="35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08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wrapText="1"/>
    </xf>
    <xf numFmtId="0" fontId="33" fillId="0" borderId="0" xfId="0" applyFont="1" applyFill="1" applyBorder="1"/>
    <xf numFmtId="170" fontId="12" fillId="0" borderId="0" xfId="0" applyNumberFormat="1" applyFont="1" applyFill="1" applyBorder="1" applyAlignment="1">
      <alignment horizontal="center" vertical="top" wrapText="1"/>
    </xf>
    <xf numFmtId="170" fontId="12" fillId="0" borderId="0" xfId="0" applyNumberFormat="1" applyFont="1" applyFill="1" applyBorder="1" applyAlignment="1">
      <alignment horizontal="right"/>
    </xf>
    <xf numFmtId="170" fontId="12" fillId="0" borderId="0" xfId="0" applyNumberFormat="1" applyFont="1" applyFill="1" applyBorder="1"/>
    <xf numFmtId="170" fontId="9" fillId="0" borderId="0" xfId="0" applyNumberFormat="1" applyFont="1" applyFill="1" applyBorder="1" applyAlignment="1">
      <alignment horizontal="right"/>
    </xf>
    <xf numFmtId="170" fontId="9" fillId="0" borderId="24" xfId="0" applyNumberFormat="1" applyFont="1" applyFill="1" applyBorder="1" applyAlignment="1"/>
    <xf numFmtId="0" fontId="3" fillId="0" borderId="24" xfId="0" applyFont="1" applyFill="1" applyBorder="1" applyAlignment="1">
      <alignment horizontal="left" wrapText="1"/>
    </xf>
    <xf numFmtId="2" fontId="7" fillId="0" borderId="0" xfId="0" applyNumberFormat="1" applyFont="1" applyFill="1" applyBorder="1"/>
    <xf numFmtId="168" fontId="8" fillId="0" borderId="0" xfId="44" applyNumberFormat="1" applyFont="1" applyFill="1" applyBorder="1" applyAlignment="1">
      <alignment horizontal="right" vertical="center"/>
    </xf>
    <xf numFmtId="0" fontId="125" fillId="0" borderId="0" xfId="0" applyFont="1" applyBorder="1"/>
    <xf numFmtId="0" fontId="4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" fontId="15" fillId="0" borderId="18" xfId="75" applyNumberFormat="1" applyFont="1" applyBorder="1" applyAlignment="1">
      <alignment horizontal="right" vertical="top"/>
    </xf>
    <xf numFmtId="0" fontId="15" fillId="0" borderId="46" xfId="77" applyNumberFormat="1" applyFont="1" applyBorder="1" applyAlignment="1">
      <alignment horizontal="left" vertical="top" wrapText="1"/>
    </xf>
    <xf numFmtId="0" fontId="14" fillId="0" borderId="0" xfId="71" applyNumberFormat="1" applyFont="1" applyAlignment="1">
      <alignment horizontal="left"/>
    </xf>
    <xf numFmtId="0" fontId="87" fillId="0" borderId="0" xfId="71"/>
    <xf numFmtId="0" fontId="87" fillId="0" borderId="0" xfId="71" applyAlignment="1">
      <alignment horizontal="left"/>
    </xf>
    <xf numFmtId="0" fontId="24" fillId="0" borderId="0" xfId="71" applyNumberFormat="1" applyFont="1" applyAlignment="1">
      <alignment horizontal="centerContinuous" wrapText="1"/>
    </xf>
    <xf numFmtId="174" fontId="14" fillId="0" borderId="0" xfId="71" applyNumberFormat="1" applyFont="1" applyAlignment="1">
      <alignment horizontal="centerContinuous" wrapText="1"/>
    </xf>
    <xf numFmtId="0" fontId="14" fillId="0" borderId="0" xfId="71" applyNumberFormat="1" applyFont="1" applyAlignment="1">
      <alignment horizontal="centerContinuous" wrapText="1"/>
    </xf>
    <xf numFmtId="0" fontId="97" fillId="0" borderId="50" xfId="71" applyNumberFormat="1" applyFont="1" applyBorder="1" applyAlignment="1">
      <alignment horizontal="center" vertical="top"/>
    </xf>
    <xf numFmtId="0" fontId="97" fillId="0" borderId="50" xfId="71" applyNumberFormat="1" applyFont="1" applyBorder="1" applyAlignment="1">
      <alignment horizontal="center" vertical="top" wrapText="1"/>
    </xf>
    <xf numFmtId="0" fontId="87" fillId="0" borderId="87" xfId="71" applyNumberFormat="1" applyFont="1" applyBorder="1" applyAlignment="1">
      <alignment horizontal="left" vertical="top" wrapText="1"/>
    </xf>
    <xf numFmtId="0" fontId="87" fillId="0" borderId="22" xfId="71" applyNumberFormat="1" applyFont="1" applyBorder="1" applyAlignment="1">
      <alignment horizontal="left" vertical="top"/>
    </xf>
    <xf numFmtId="0" fontId="87" fillId="0" borderId="16" xfId="71" applyNumberFormat="1" applyFont="1" applyBorder="1" applyAlignment="1">
      <alignment horizontal="left" vertical="top"/>
    </xf>
    <xf numFmtId="0" fontId="87" fillId="0" borderId="88" xfId="71" applyNumberFormat="1" applyFont="1" applyBorder="1" applyAlignment="1">
      <alignment horizontal="left" vertical="top" wrapText="1"/>
    </xf>
    <xf numFmtId="0" fontId="87" fillId="0" borderId="26" xfId="71" applyNumberFormat="1" applyFont="1" applyBorder="1" applyAlignment="1">
      <alignment horizontal="left" vertical="top"/>
    </xf>
    <xf numFmtId="0" fontId="87" fillId="0" borderId="26" xfId="71" applyNumberFormat="1" applyFont="1" applyBorder="1" applyAlignment="1">
      <alignment horizontal="left" vertical="top" wrapText="1"/>
    </xf>
    <xf numFmtId="0" fontId="87" fillId="0" borderId="20" xfId="71" applyFont="1" applyBorder="1" applyAlignment="1">
      <alignment horizontal="left"/>
    </xf>
    <xf numFmtId="0" fontId="87" fillId="0" borderId="19" xfId="71" applyFont="1" applyBorder="1" applyAlignment="1">
      <alignment horizontal="left"/>
    </xf>
    <xf numFmtId="0" fontId="87" fillId="0" borderId="27" xfId="71" applyFont="1" applyBorder="1" applyAlignment="1">
      <alignment horizontal="left"/>
    </xf>
    <xf numFmtId="0" fontId="87" fillId="0" borderId="48" xfId="71" applyFont="1" applyBorder="1" applyAlignment="1">
      <alignment horizontal="left"/>
    </xf>
    <xf numFmtId="0" fontId="87" fillId="0" borderId="67" xfId="71" applyFont="1" applyBorder="1" applyAlignment="1">
      <alignment horizontal="left"/>
    </xf>
    <xf numFmtId="178" fontId="87" fillId="0" borderId="28" xfId="71" applyNumberFormat="1" applyFont="1" applyBorder="1" applyAlignment="1">
      <alignment horizontal="right" vertical="top"/>
    </xf>
    <xf numFmtId="0" fontId="8" fillId="36" borderId="0" xfId="0" applyFont="1" applyFill="1"/>
    <xf numFmtId="0" fontId="5" fillId="36" borderId="0" xfId="0" applyFont="1" applyFill="1"/>
    <xf numFmtId="168" fontId="39" fillId="36" borderId="0" xfId="44" applyNumberFormat="1" applyFont="1" applyFill="1" applyBorder="1" applyAlignment="1">
      <alignment horizontal="right" vertical="center"/>
    </xf>
    <xf numFmtId="168" fontId="4" fillId="36" borderId="0" xfId="44" applyNumberFormat="1" applyFont="1" applyFill="1" applyBorder="1" applyAlignment="1">
      <alignment horizontal="right"/>
    </xf>
    <xf numFmtId="49" fontId="10" fillId="36" borderId="0" xfId="0" applyNumberFormat="1" applyFont="1" applyFill="1"/>
    <xf numFmtId="170" fontId="8" fillId="36" borderId="0" xfId="0" applyNumberFormat="1" applyFont="1" applyFill="1"/>
    <xf numFmtId="168" fontId="39" fillId="36" borderId="29" xfId="44" applyNumberFormat="1" applyFont="1" applyFill="1" applyBorder="1" applyAlignment="1">
      <alignment horizontal="right" vertical="center"/>
    </xf>
    <xf numFmtId="168" fontId="4" fillId="36" borderId="29" xfId="44" applyNumberFormat="1" applyFont="1" applyFill="1" applyBorder="1" applyAlignment="1">
      <alignment horizontal="right"/>
    </xf>
    <xf numFmtId="0" fontId="3" fillId="36" borderId="30" xfId="0" applyFont="1" applyFill="1" applyBorder="1"/>
    <xf numFmtId="0" fontId="8" fillId="36" borderId="80" xfId="0" applyFont="1" applyFill="1" applyBorder="1"/>
    <xf numFmtId="0" fontId="8" fillId="36" borderId="73" xfId="0" applyFont="1" applyFill="1" applyBorder="1"/>
    <xf numFmtId="0" fontId="8" fillId="36" borderId="81" xfId="0" applyFont="1" applyFill="1" applyBorder="1"/>
    <xf numFmtId="0" fontId="8" fillId="36" borderId="0" xfId="0" applyFont="1" applyFill="1" applyBorder="1"/>
    <xf numFmtId="170" fontId="8" fillId="36" borderId="0" xfId="0" applyNumberFormat="1" applyFont="1" applyFill="1" applyBorder="1"/>
    <xf numFmtId="0" fontId="8" fillId="36" borderId="42" xfId="0" applyFont="1" applyFill="1" applyBorder="1"/>
    <xf numFmtId="0" fontId="3" fillId="36" borderId="81" xfId="0" applyFont="1" applyFill="1" applyBorder="1"/>
    <xf numFmtId="0" fontId="8" fillId="36" borderId="33" xfId="0" applyFont="1" applyFill="1" applyBorder="1"/>
    <xf numFmtId="0" fontId="8" fillId="36" borderId="3" xfId="0" applyFont="1" applyFill="1" applyBorder="1"/>
    <xf numFmtId="170" fontId="8" fillId="36" borderId="84" xfId="0" applyNumberFormat="1" applyFont="1" applyFill="1" applyBorder="1"/>
    <xf numFmtId="0" fontId="14" fillId="36" borderId="0" xfId="71" applyNumberFormat="1" applyFont="1" applyFill="1" applyAlignment="1">
      <alignment horizontal="left"/>
    </xf>
    <xf numFmtId="0" fontId="87" fillId="36" borderId="0" xfId="71" applyFill="1"/>
    <xf numFmtId="0" fontId="24" fillId="36" borderId="0" xfId="71" applyNumberFormat="1" applyFont="1" applyFill="1" applyAlignment="1">
      <alignment horizontal="centerContinuous" wrapText="1"/>
    </xf>
    <xf numFmtId="174" fontId="14" fillId="36" borderId="0" xfId="71" applyNumberFormat="1" applyFont="1" applyFill="1" applyAlignment="1">
      <alignment horizontal="centerContinuous" wrapText="1"/>
    </xf>
    <xf numFmtId="0" fontId="14" fillId="36" borderId="0" xfId="71" applyNumberFormat="1" applyFont="1" applyFill="1" applyAlignment="1">
      <alignment horizontal="centerContinuous" wrapText="1"/>
    </xf>
    <xf numFmtId="0" fontId="97" fillId="36" borderId="50" xfId="71" applyNumberFormat="1" applyFont="1" applyFill="1" applyBorder="1" applyAlignment="1">
      <alignment horizontal="center" vertical="top"/>
    </xf>
    <xf numFmtId="0" fontId="87" fillId="36" borderId="22" xfId="71" applyNumberFormat="1" applyFont="1" applyFill="1" applyBorder="1" applyAlignment="1">
      <alignment horizontal="left" vertical="top" wrapText="1"/>
    </xf>
    <xf numFmtId="178" fontId="87" fillId="36" borderId="22" xfId="71" applyNumberFormat="1" applyFont="1" applyFill="1" applyBorder="1" applyAlignment="1">
      <alignment horizontal="right" vertical="top"/>
    </xf>
    <xf numFmtId="0" fontId="87" fillId="36" borderId="16" xfId="71" applyNumberFormat="1" applyFont="1" applyFill="1" applyBorder="1" applyAlignment="1">
      <alignment horizontal="left" vertical="top" wrapText="1"/>
    </xf>
    <xf numFmtId="0" fontId="87" fillId="36" borderId="81" xfId="71" applyNumberFormat="1" applyFont="1" applyFill="1" applyBorder="1" applyAlignment="1">
      <alignment horizontal="left" vertical="top"/>
    </xf>
    <xf numFmtId="0" fontId="87" fillId="36" borderId="42" xfId="71" applyNumberFormat="1" applyFont="1" applyFill="1" applyBorder="1" applyAlignment="1">
      <alignment horizontal="left" vertical="top"/>
    </xf>
    <xf numFmtId="0" fontId="87" fillId="36" borderId="16" xfId="71" applyNumberFormat="1" applyFont="1" applyFill="1" applyBorder="1" applyAlignment="1">
      <alignment horizontal="left" vertical="top"/>
    </xf>
    <xf numFmtId="0" fontId="87" fillId="36" borderId="26" xfId="71" applyNumberFormat="1" applyFont="1" applyFill="1" applyBorder="1" applyAlignment="1">
      <alignment horizontal="left"/>
    </xf>
    <xf numFmtId="0" fontId="87" fillId="36" borderId="33" xfId="71" applyNumberFormat="1" applyFont="1" applyFill="1" applyBorder="1" applyAlignment="1">
      <alignment horizontal="left"/>
    </xf>
    <xf numFmtId="178" fontId="87" fillId="36" borderId="84" xfId="71" applyNumberFormat="1" applyFont="1" applyFill="1" applyBorder="1" applyAlignment="1">
      <alignment horizontal="right"/>
    </xf>
    <xf numFmtId="0" fontId="87" fillId="36" borderId="84" xfId="71" applyNumberFormat="1" applyFont="1" applyFill="1" applyBorder="1" applyAlignment="1">
      <alignment horizontal="right"/>
    </xf>
    <xf numFmtId="0" fontId="87" fillId="36" borderId="26" xfId="71" applyNumberFormat="1" applyFont="1" applyFill="1" applyBorder="1" applyAlignment="1">
      <alignment horizontal="left" vertical="top"/>
    </xf>
    <xf numFmtId="170" fontId="8" fillId="36" borderId="42" xfId="0" applyNumberFormat="1" applyFont="1" applyFill="1" applyBorder="1"/>
    <xf numFmtId="0" fontId="8" fillId="36" borderId="53" xfId="0" applyFont="1" applyFill="1" applyBorder="1"/>
    <xf numFmtId="0" fontId="8" fillId="36" borderId="74" xfId="0" applyFont="1" applyFill="1" applyBorder="1"/>
    <xf numFmtId="170" fontId="8" fillId="36" borderId="74" xfId="0" applyNumberFormat="1" applyFont="1" applyFill="1" applyBorder="1"/>
    <xf numFmtId="0" fontId="8" fillId="36" borderId="69" xfId="0" applyFont="1" applyFill="1" applyBorder="1"/>
    <xf numFmtId="0" fontId="97" fillId="36" borderId="50" xfId="71" applyNumberFormat="1" applyFont="1" applyFill="1" applyBorder="1" applyAlignment="1">
      <alignment horizontal="center" vertical="top" wrapText="1"/>
    </xf>
    <xf numFmtId="0" fontId="87" fillId="36" borderId="87" xfId="71" applyNumberFormat="1" applyFont="1" applyFill="1" applyBorder="1" applyAlignment="1">
      <alignment horizontal="left" vertical="top" wrapText="1"/>
    </xf>
    <xf numFmtId="0" fontId="87" fillId="36" borderId="26" xfId="71" applyNumberFormat="1" applyFont="1" applyFill="1" applyBorder="1" applyAlignment="1">
      <alignment horizontal="left" vertical="top" wrapText="1"/>
    </xf>
    <xf numFmtId="180" fontId="8" fillId="0" borderId="0" xfId="0" applyNumberFormat="1" applyFont="1"/>
    <xf numFmtId="178" fontId="8" fillId="0" borderId="0" xfId="0" applyNumberFormat="1" applyFont="1"/>
    <xf numFmtId="0" fontId="15" fillId="0" borderId="30" xfId="71" applyFont="1" applyBorder="1" applyAlignment="1">
      <alignment horizontal="left"/>
    </xf>
    <xf numFmtId="0" fontId="15" fillId="0" borderId="31" xfId="71" applyFont="1" applyBorder="1" applyAlignment="1">
      <alignment horizontal="left"/>
    </xf>
    <xf numFmtId="0" fontId="15" fillId="0" borderId="60" xfId="71" applyFont="1" applyBorder="1" applyAlignment="1">
      <alignment horizontal="left"/>
    </xf>
    <xf numFmtId="0" fontId="15" fillId="0" borderId="32" xfId="71" applyFont="1" applyBorder="1" applyAlignment="1">
      <alignment horizontal="left"/>
    </xf>
    <xf numFmtId="0" fontId="15" fillId="0" borderId="33" xfId="71" applyFont="1" applyBorder="1" applyAlignment="1">
      <alignment horizontal="left"/>
    </xf>
    <xf numFmtId="0" fontId="15" fillId="0" borderId="34" xfId="71" applyFont="1" applyBorder="1" applyAlignment="1">
      <alignment horizontal="left"/>
    </xf>
    <xf numFmtId="0" fontId="15" fillId="0" borderId="56" xfId="71" applyFont="1" applyBorder="1" applyAlignment="1">
      <alignment horizontal="left"/>
    </xf>
    <xf numFmtId="0" fontId="15" fillId="0" borderId="37" xfId="71" applyFont="1" applyBorder="1" applyAlignment="1">
      <alignment horizontal="left"/>
    </xf>
    <xf numFmtId="0" fontId="15" fillId="0" borderId="39" xfId="71" applyFont="1" applyBorder="1" applyAlignment="1">
      <alignment horizontal="left"/>
    </xf>
    <xf numFmtId="0" fontId="14" fillId="0" borderId="53" xfId="71" applyNumberFormat="1" applyFont="1" applyBorder="1" applyAlignment="1">
      <alignment horizontal="left" vertical="top"/>
    </xf>
    <xf numFmtId="0" fontId="14" fillId="0" borderId="54" xfId="71" applyNumberFormat="1" applyFont="1" applyBorder="1" applyAlignment="1">
      <alignment horizontal="left" vertical="top" wrapText="1"/>
    </xf>
    <xf numFmtId="178" fontId="15" fillId="0" borderId="54" xfId="71" applyNumberFormat="1" applyFont="1" applyBorder="1" applyAlignment="1">
      <alignment horizontal="right" vertical="top"/>
    </xf>
    <xf numFmtId="0" fontId="15" fillId="0" borderId="54" xfId="71" applyNumberFormat="1" applyFont="1" applyBorder="1" applyAlignment="1">
      <alignment horizontal="right" vertical="top"/>
    </xf>
    <xf numFmtId="0" fontId="15" fillId="0" borderId="54" xfId="71" applyNumberFormat="1" applyFont="1" applyBorder="1" applyAlignment="1">
      <alignment horizontal="left" vertical="top"/>
    </xf>
    <xf numFmtId="0" fontId="15" fillId="0" borderId="39" xfId="71" applyNumberFormat="1" applyFont="1" applyBorder="1" applyAlignment="1">
      <alignment horizontal="left" vertical="top"/>
    </xf>
    <xf numFmtId="0" fontId="14" fillId="0" borderId="46" xfId="71" applyNumberFormat="1" applyFont="1" applyBorder="1" applyAlignment="1">
      <alignment horizontal="left" vertical="top"/>
    </xf>
    <xf numFmtId="0" fontId="14" fillId="0" borderId="25" xfId="71" applyNumberFormat="1" applyFont="1" applyBorder="1" applyAlignment="1">
      <alignment horizontal="left" vertical="top" wrapText="1"/>
    </xf>
    <xf numFmtId="178" fontId="15" fillId="0" borderId="25" xfId="71" applyNumberFormat="1" applyFont="1" applyBorder="1" applyAlignment="1">
      <alignment horizontal="right" vertical="top"/>
    </xf>
    <xf numFmtId="0" fontId="15" fillId="0" borderId="25" xfId="71" applyNumberFormat="1" applyFont="1" applyBorder="1" applyAlignment="1">
      <alignment horizontal="right" vertical="top"/>
    </xf>
    <xf numFmtId="3" fontId="15" fillId="0" borderId="25" xfId="71" applyNumberFormat="1" applyFont="1" applyBorder="1" applyAlignment="1">
      <alignment horizontal="right" vertical="top"/>
    </xf>
    <xf numFmtId="0" fontId="15" fillId="0" borderId="47" xfId="71" applyNumberFormat="1" applyFont="1" applyBorder="1" applyAlignment="1">
      <alignment horizontal="right" vertical="top"/>
    </xf>
    <xf numFmtId="0" fontId="15" fillId="0" borderId="59" xfId="71" applyNumberFormat="1" applyFont="1" applyBorder="1" applyAlignment="1">
      <alignment horizontal="left" vertical="top" wrapText="1"/>
    </xf>
    <xf numFmtId="1" fontId="15" fillId="0" borderId="16" xfId="71" applyNumberFormat="1" applyFont="1" applyBorder="1" applyAlignment="1">
      <alignment horizontal="left" vertical="top" wrapText="1"/>
    </xf>
    <xf numFmtId="0" fontId="15" fillId="0" borderId="18" xfId="71" applyNumberFormat="1" applyFont="1" applyBorder="1" applyAlignment="1">
      <alignment horizontal="right" vertical="top"/>
    </xf>
    <xf numFmtId="178" fontId="15" fillId="0" borderId="18" xfId="71" applyNumberFormat="1" applyFont="1" applyBorder="1" applyAlignment="1">
      <alignment horizontal="right" vertical="top"/>
    </xf>
    <xf numFmtId="3" fontId="15" fillId="0" borderId="42" xfId="71" applyNumberFormat="1" applyFont="1" applyBorder="1" applyAlignment="1">
      <alignment horizontal="right" vertical="top"/>
    </xf>
    <xf numFmtId="3" fontId="15" fillId="0" borderId="18" xfId="71" applyNumberFormat="1" applyFont="1" applyBorder="1" applyAlignment="1">
      <alignment horizontal="right" vertical="top"/>
    </xf>
    <xf numFmtId="0" fontId="15" fillId="0" borderId="42" xfId="71" applyNumberFormat="1" applyFont="1" applyBorder="1" applyAlignment="1">
      <alignment horizontal="right" vertical="top"/>
    </xf>
    <xf numFmtId="0" fontId="14" fillId="0" borderId="43" xfId="71" applyNumberFormat="1" applyFont="1" applyBorder="1" applyAlignment="1">
      <alignment horizontal="left" vertical="top"/>
    </xf>
    <xf numFmtId="0" fontId="14" fillId="0" borderId="44" xfId="71" applyNumberFormat="1" applyFont="1" applyBorder="1" applyAlignment="1">
      <alignment horizontal="left" vertical="top" wrapText="1"/>
    </xf>
    <xf numFmtId="178" fontId="15" fillId="0" borderId="44" xfId="71" applyNumberFormat="1" applyFont="1" applyBorder="1" applyAlignment="1">
      <alignment horizontal="right" vertical="top"/>
    </xf>
    <xf numFmtId="3" fontId="15" fillId="0" borderId="44" xfId="71" applyNumberFormat="1" applyFont="1" applyBorder="1" applyAlignment="1">
      <alignment horizontal="right" vertical="top"/>
    </xf>
    <xf numFmtId="3" fontId="15" fillId="0" borderId="45" xfId="71" applyNumberFormat="1" applyFont="1" applyBorder="1" applyAlignment="1">
      <alignment horizontal="right" vertical="top"/>
    </xf>
    <xf numFmtId="0" fontId="14" fillId="0" borderId="30" xfId="71" applyNumberFormat="1" applyFont="1" applyBorder="1" applyAlignment="1">
      <alignment horizontal="left" vertical="top"/>
    </xf>
    <xf numFmtId="0" fontId="14" fillId="0" borderId="35" xfId="71" applyNumberFormat="1" applyFont="1" applyBorder="1" applyAlignment="1">
      <alignment horizontal="left" vertical="top" wrapText="1"/>
    </xf>
    <xf numFmtId="178" fontId="15" fillId="0" borderId="35" xfId="71" applyNumberFormat="1" applyFont="1" applyBorder="1" applyAlignment="1">
      <alignment horizontal="right" vertical="top"/>
    </xf>
    <xf numFmtId="0" fontId="15" fillId="0" borderId="35" xfId="71" applyNumberFormat="1" applyFont="1" applyBorder="1" applyAlignment="1">
      <alignment horizontal="left" vertical="top"/>
    </xf>
    <xf numFmtId="0" fontId="15" fillId="0" borderId="32" xfId="71" applyNumberFormat="1" applyFont="1" applyBorder="1" applyAlignment="1">
      <alignment horizontal="left" vertical="top"/>
    </xf>
    <xf numFmtId="0" fontId="14" fillId="0" borderId="33" xfId="71" applyNumberFormat="1" applyFont="1" applyBorder="1" applyAlignment="1">
      <alignment horizontal="left" vertical="top"/>
    </xf>
    <xf numFmtId="0" fontId="14" fillId="0" borderId="36" xfId="71" applyNumberFormat="1" applyFont="1" applyBorder="1" applyAlignment="1">
      <alignment horizontal="left" vertical="top" wrapText="1"/>
    </xf>
    <xf numFmtId="0" fontId="15" fillId="0" borderId="36" xfId="71" applyNumberFormat="1" applyFont="1" applyBorder="1" applyAlignment="1">
      <alignment horizontal="right" vertical="top"/>
    </xf>
    <xf numFmtId="0" fontId="15" fillId="0" borderId="36" xfId="71" applyNumberFormat="1" applyFont="1" applyBorder="1" applyAlignment="1">
      <alignment horizontal="left" vertical="top"/>
    </xf>
    <xf numFmtId="0" fontId="15" fillId="0" borderId="52" xfId="71" applyNumberFormat="1" applyFont="1" applyBorder="1" applyAlignment="1">
      <alignment horizontal="left" vertical="top"/>
    </xf>
    <xf numFmtId="0" fontId="14" fillId="37" borderId="0" xfId="71" applyNumberFormat="1" applyFont="1" applyFill="1" applyAlignment="1">
      <alignment horizontal="centerContinuous" wrapText="1"/>
    </xf>
    <xf numFmtId="178" fontId="15" fillId="37" borderId="18" xfId="71" applyNumberFormat="1" applyFont="1" applyFill="1" applyBorder="1" applyAlignment="1">
      <alignment horizontal="right" vertical="top"/>
    </xf>
    <xf numFmtId="4" fontId="15" fillId="0" borderId="18" xfId="71" applyNumberFormat="1" applyFont="1" applyBorder="1" applyAlignment="1">
      <alignment horizontal="right" vertical="top"/>
    </xf>
    <xf numFmtId="4" fontId="15" fillId="0" borderId="42" xfId="71" applyNumberFormat="1" applyFont="1" applyBorder="1" applyAlignment="1">
      <alignment horizontal="right" vertical="top"/>
    </xf>
    <xf numFmtId="4" fontId="15" fillId="0" borderId="44" xfId="71" applyNumberFormat="1" applyFont="1" applyBorder="1" applyAlignment="1">
      <alignment horizontal="right" vertical="top"/>
    </xf>
    <xf numFmtId="4" fontId="15" fillId="0" borderId="45" xfId="71" applyNumberFormat="1" applyFont="1" applyBorder="1" applyAlignment="1">
      <alignment horizontal="right" vertical="top"/>
    </xf>
    <xf numFmtId="178" fontId="15" fillId="0" borderId="36" xfId="71" applyNumberFormat="1" applyFont="1" applyBorder="1" applyAlignment="1">
      <alignment horizontal="right" vertical="top"/>
    </xf>
    <xf numFmtId="0" fontId="14" fillId="38" borderId="0" xfId="71" applyNumberFormat="1" applyFont="1" applyFill="1" applyAlignment="1">
      <alignment horizontal="centerContinuous" wrapText="1"/>
    </xf>
    <xf numFmtId="180" fontId="8" fillId="0" borderId="0" xfId="0" applyNumberFormat="1" applyFont="1" applyFill="1"/>
    <xf numFmtId="178" fontId="14" fillId="0" borderId="57" xfId="0" applyNumberFormat="1" applyFont="1" applyBorder="1" applyAlignment="1">
      <alignment horizontal="right" vertical="top"/>
    </xf>
    <xf numFmtId="0" fontId="15" fillId="0" borderId="45" xfId="80" applyNumberFormat="1" applyFont="1" applyFill="1" applyBorder="1" applyAlignment="1">
      <alignment horizontal="right" vertical="top" wrapText="1"/>
    </xf>
    <xf numFmtId="4" fontId="98" fillId="33" borderId="0" xfId="0" applyNumberFormat="1" applyFont="1" applyFill="1" applyAlignment="1">
      <alignment horizontal="left"/>
    </xf>
    <xf numFmtId="0" fontId="15" fillId="0" borderId="0" xfId="0" applyNumberFormat="1" applyFont="1" applyFill="1" applyBorder="1" applyAlignment="1">
      <alignment horizontal="right" vertical="top" wrapText="1"/>
    </xf>
    <xf numFmtId="178" fontId="15" fillId="0" borderId="35" xfId="80" applyNumberFormat="1" applyFont="1" applyFill="1" applyBorder="1" applyAlignment="1">
      <alignment horizontal="right" vertical="top" wrapText="1"/>
    </xf>
    <xf numFmtId="175" fontId="15" fillId="0" borderId="0" xfId="0" applyNumberFormat="1" applyFont="1" applyFill="1" applyBorder="1" applyAlignment="1">
      <alignment horizontal="right" vertical="top" wrapText="1"/>
    </xf>
    <xf numFmtId="0" fontId="15" fillId="0" borderId="22" xfId="80" applyNumberFormat="1" applyFont="1" applyFill="1" applyBorder="1" applyAlignment="1">
      <alignment horizontal="center" vertical="center"/>
    </xf>
    <xf numFmtId="178" fontId="15" fillId="0" borderId="44" xfId="80" applyNumberFormat="1" applyFont="1" applyFill="1" applyBorder="1" applyAlignment="1">
      <alignment horizontal="right" vertical="top" wrapText="1"/>
    </xf>
    <xf numFmtId="178" fontId="15" fillId="0" borderId="44" xfId="0" applyNumberFormat="1" applyFont="1" applyFill="1" applyBorder="1" applyAlignment="1">
      <alignment horizontal="right" vertical="top" wrapText="1"/>
    </xf>
    <xf numFmtId="0" fontId="15" fillId="0" borderId="44" xfId="0" applyNumberFormat="1" applyFont="1" applyFill="1" applyBorder="1" applyAlignment="1">
      <alignment horizontal="right" vertical="top" wrapText="1"/>
    </xf>
    <xf numFmtId="0" fontId="15" fillId="0" borderId="44" xfId="80" applyNumberFormat="1" applyFont="1" applyFill="1" applyBorder="1" applyAlignment="1">
      <alignment horizontal="right" vertical="top" wrapText="1"/>
    </xf>
    <xf numFmtId="171" fontId="15" fillId="0" borderId="44" xfId="0" applyNumberFormat="1" applyFont="1" applyFill="1" applyBorder="1" applyAlignment="1">
      <alignment horizontal="right" vertical="top" wrapText="1"/>
    </xf>
    <xf numFmtId="171" fontId="15" fillId="0" borderId="44" xfId="80" applyNumberFormat="1" applyFont="1" applyFill="1" applyBorder="1" applyAlignment="1">
      <alignment horizontal="right" vertical="top" wrapText="1"/>
    </xf>
    <xf numFmtId="178" fontId="15" fillId="0" borderId="18" xfId="0" applyNumberFormat="1" applyFont="1" applyFill="1" applyBorder="1" applyAlignment="1">
      <alignment horizontal="right" vertical="top" wrapText="1"/>
    </xf>
    <xf numFmtId="178" fontId="15" fillId="0" borderId="0" xfId="0" applyNumberFormat="1" applyFont="1" applyFill="1" applyBorder="1" applyAlignment="1">
      <alignment horizontal="right" vertical="top" wrapText="1"/>
    </xf>
    <xf numFmtId="180" fontId="0" fillId="0" borderId="0" xfId="0" applyNumberFormat="1" applyFill="1" applyAlignment="1">
      <alignment horizontal="right" vertical="center"/>
    </xf>
    <xf numFmtId="0" fontId="24" fillId="0" borderId="0" xfId="72" applyNumberFormat="1" applyFont="1" applyAlignment="1">
      <alignment horizontal="centerContinuous"/>
    </xf>
    <xf numFmtId="0" fontId="87" fillId="0" borderId="0" xfId="72"/>
    <xf numFmtId="0" fontId="14" fillId="0" borderId="0" xfId="72" applyNumberFormat="1" applyFont="1" applyAlignment="1">
      <alignment horizontal="centerContinuous"/>
    </xf>
    <xf numFmtId="0" fontId="15" fillId="0" borderId="30" xfId="72" applyFont="1" applyBorder="1" applyAlignment="1">
      <alignment horizontal="left"/>
    </xf>
    <xf numFmtId="0" fontId="15" fillId="0" borderId="33" xfId="72" applyFont="1" applyBorder="1" applyAlignment="1">
      <alignment horizontal="left"/>
    </xf>
    <xf numFmtId="0" fontId="15" fillId="0" borderId="37" xfId="72" applyNumberFormat="1" applyFont="1" applyBorder="1" applyAlignment="1">
      <alignment horizontal="center"/>
    </xf>
    <xf numFmtId="0" fontId="15" fillId="0" borderId="38" xfId="72" applyNumberFormat="1" applyFont="1" applyBorder="1" applyAlignment="1">
      <alignment horizontal="center"/>
    </xf>
    <xf numFmtId="0" fontId="15" fillId="0" borderId="39" xfId="72" applyNumberFormat="1" applyFont="1" applyBorder="1" applyAlignment="1">
      <alignment horizontal="center"/>
    </xf>
    <xf numFmtId="0" fontId="14" fillId="0" borderId="40" xfId="72" applyNumberFormat="1" applyFont="1" applyBorder="1" applyAlignment="1">
      <alignment horizontal="left" vertical="top" wrapText="1"/>
    </xf>
    <xf numFmtId="0" fontId="15" fillId="0" borderId="27" xfId="72" applyNumberFormat="1" applyFont="1" applyBorder="1" applyAlignment="1">
      <alignment horizontal="left" vertical="top"/>
    </xf>
    <xf numFmtId="0" fontId="15" fillId="0" borderId="41" xfId="72" applyNumberFormat="1" applyFont="1" applyBorder="1" applyAlignment="1">
      <alignment horizontal="left" vertical="top"/>
    </xf>
    <xf numFmtId="1" fontId="15" fillId="0" borderId="59" xfId="72" applyNumberFormat="1" applyFont="1" applyBorder="1" applyAlignment="1">
      <alignment horizontal="left" vertical="top" wrapText="1"/>
    </xf>
    <xf numFmtId="178" fontId="15" fillId="0" borderId="18" xfId="72" applyNumberFormat="1" applyFont="1" applyBorder="1" applyAlignment="1">
      <alignment horizontal="right" vertical="top"/>
    </xf>
    <xf numFmtId="0" fontId="15" fillId="0" borderId="18" xfId="72" applyNumberFormat="1" applyFont="1" applyBorder="1" applyAlignment="1">
      <alignment horizontal="right" vertical="top"/>
    </xf>
    <xf numFmtId="0" fontId="15" fillId="0" borderId="42" xfId="72" applyNumberFormat="1" applyFont="1" applyBorder="1" applyAlignment="1">
      <alignment horizontal="right" vertical="top"/>
    </xf>
    <xf numFmtId="0" fontId="15" fillId="0" borderId="59" xfId="72" applyNumberFormat="1" applyFont="1" applyBorder="1" applyAlignment="1">
      <alignment horizontal="left" vertical="top" wrapText="1"/>
    </xf>
    <xf numFmtId="0" fontId="15" fillId="0" borderId="43" xfId="72" applyNumberFormat="1" applyFont="1" applyBorder="1" applyAlignment="1">
      <alignment horizontal="left" vertical="top"/>
    </xf>
    <xf numFmtId="178" fontId="15" fillId="0" borderId="22" xfId="72" applyNumberFormat="1" applyFont="1" applyBorder="1" applyAlignment="1">
      <alignment horizontal="right" vertical="top"/>
    </xf>
    <xf numFmtId="0" fontId="15" fillId="0" borderId="22" xfId="72" applyNumberFormat="1" applyFont="1" applyBorder="1" applyAlignment="1">
      <alignment horizontal="right" vertical="top"/>
    </xf>
    <xf numFmtId="0" fontId="15" fillId="0" borderId="76" xfId="72" applyNumberFormat="1" applyFont="1" applyBorder="1" applyAlignment="1">
      <alignment horizontal="right" vertical="top"/>
    </xf>
    <xf numFmtId="0" fontId="15" fillId="0" borderId="46" xfId="72" applyNumberFormat="1" applyFont="1" applyBorder="1" applyAlignment="1">
      <alignment horizontal="left" vertical="top"/>
    </xf>
    <xf numFmtId="181" fontId="15" fillId="0" borderId="25" xfId="72" applyNumberFormat="1" applyFont="1" applyBorder="1" applyAlignment="1">
      <alignment horizontal="right" vertical="top"/>
    </xf>
    <xf numFmtId="0" fontId="15" fillId="0" borderId="25" xfId="72" applyNumberFormat="1" applyFont="1" applyBorder="1" applyAlignment="1">
      <alignment horizontal="right" vertical="top"/>
    </xf>
    <xf numFmtId="0" fontId="15" fillId="0" borderId="47" xfId="72" applyNumberFormat="1" applyFont="1" applyBorder="1" applyAlignment="1">
      <alignment horizontal="right" vertical="top"/>
    </xf>
    <xf numFmtId="3" fontId="15" fillId="0" borderId="25" xfId="72" applyNumberFormat="1" applyFont="1" applyBorder="1" applyAlignment="1">
      <alignment horizontal="right" vertical="top"/>
    </xf>
    <xf numFmtId="0" fontId="14" fillId="0" borderId="43" xfId="72" applyNumberFormat="1" applyFont="1" applyBorder="1" applyAlignment="1">
      <alignment horizontal="left" vertical="top" wrapText="1"/>
    </xf>
    <xf numFmtId="178" fontId="15" fillId="0" borderId="44" xfId="72" applyNumberFormat="1" applyFont="1" applyBorder="1" applyAlignment="1">
      <alignment horizontal="right" vertical="top"/>
    </xf>
    <xf numFmtId="0" fontId="15" fillId="0" borderId="44" xfId="72" applyNumberFormat="1" applyFont="1" applyBorder="1" applyAlignment="1">
      <alignment horizontal="right" vertical="top"/>
    </xf>
    <xf numFmtId="0" fontId="15" fillId="0" borderId="45" xfId="72" applyNumberFormat="1" applyFont="1" applyBorder="1" applyAlignment="1">
      <alignment horizontal="right" vertical="top"/>
    </xf>
    <xf numFmtId="0" fontId="14" fillId="0" borderId="48" xfId="72" applyNumberFormat="1" applyFont="1" applyBorder="1" applyAlignment="1">
      <alignment horizontal="left" vertical="top"/>
    </xf>
    <xf numFmtId="178" fontId="15" fillId="0" borderId="77" xfId="72" applyNumberFormat="1" applyFont="1" applyBorder="1" applyAlignment="1">
      <alignment horizontal="right" vertical="top"/>
    </xf>
    <xf numFmtId="0" fontId="15" fillId="0" borderId="57" xfId="72" applyNumberFormat="1" applyFont="1" applyBorder="1" applyAlignment="1">
      <alignment horizontal="right" vertical="top"/>
    </xf>
    <xf numFmtId="178" fontId="15" fillId="0" borderId="57" xfId="72" applyNumberFormat="1" applyFont="1" applyBorder="1" applyAlignment="1">
      <alignment horizontal="right" vertical="top"/>
    </xf>
    <xf numFmtId="0" fontId="15" fillId="0" borderId="67" xfId="72" applyNumberFormat="1" applyFont="1" applyBorder="1" applyAlignment="1">
      <alignment horizontal="right" vertical="top"/>
    </xf>
    <xf numFmtId="4" fontId="87" fillId="0" borderId="0" xfId="72" applyNumberFormat="1"/>
    <xf numFmtId="4" fontId="0" fillId="0" borderId="0" xfId="0" applyNumberFormat="1"/>
    <xf numFmtId="0" fontId="14" fillId="0" borderId="0" xfId="79" applyNumberFormat="1" applyFont="1" applyAlignment="1">
      <alignment horizontal="left"/>
    </xf>
    <xf numFmtId="0" fontId="87" fillId="0" borderId="0" xfId="79"/>
    <xf numFmtId="0" fontId="87" fillId="0" borderId="0" xfId="79" applyAlignment="1">
      <alignment horizontal="left"/>
    </xf>
    <xf numFmtId="0" fontId="24" fillId="0" borderId="0" xfId="79" applyNumberFormat="1" applyFont="1" applyAlignment="1">
      <alignment horizontal="centerContinuous" wrapText="1"/>
    </xf>
    <xf numFmtId="0" fontId="14" fillId="0" borderId="0" xfId="79" applyNumberFormat="1" applyFont="1" applyAlignment="1">
      <alignment horizontal="centerContinuous" wrapText="1"/>
    </xf>
    <xf numFmtId="0" fontId="15" fillId="0" borderId="30" xfId="79" applyFont="1" applyBorder="1" applyAlignment="1">
      <alignment horizontal="left"/>
    </xf>
    <xf numFmtId="0" fontId="15" fillId="0" borderId="31" xfId="79" applyFont="1" applyBorder="1" applyAlignment="1">
      <alignment horizontal="left"/>
    </xf>
    <xf numFmtId="0" fontId="15" fillId="0" borderId="60" xfId="79" applyFont="1" applyBorder="1" applyAlignment="1">
      <alignment horizontal="left"/>
    </xf>
    <xf numFmtId="0" fontId="15" fillId="0" borderId="32" xfId="79" applyFont="1" applyBorder="1" applyAlignment="1">
      <alignment horizontal="left"/>
    </xf>
    <xf numFmtId="0" fontId="15" fillId="0" borderId="33" xfId="79" applyFont="1" applyBorder="1" applyAlignment="1">
      <alignment horizontal="left"/>
    </xf>
    <xf numFmtId="0" fontId="15" fillId="0" borderId="34" xfId="79" applyFont="1" applyBorder="1" applyAlignment="1">
      <alignment horizontal="left"/>
    </xf>
    <xf numFmtId="0" fontId="15" fillId="0" borderId="56" xfId="79" applyFont="1" applyBorder="1" applyAlignment="1">
      <alignment horizontal="left"/>
    </xf>
    <xf numFmtId="0" fontId="15" fillId="0" borderId="37" xfId="79" applyFont="1" applyBorder="1" applyAlignment="1">
      <alignment horizontal="left"/>
    </xf>
    <xf numFmtId="0" fontId="15" fillId="0" borderId="39" xfId="79" applyFont="1" applyBorder="1" applyAlignment="1">
      <alignment horizontal="left"/>
    </xf>
    <xf numFmtId="0" fontId="14" fillId="0" borderId="53" xfId="79" applyNumberFormat="1" applyFont="1" applyBorder="1" applyAlignment="1">
      <alignment horizontal="left" vertical="top"/>
    </xf>
    <xf numFmtId="0" fontId="14" fillId="0" borderId="54" xfId="79" applyNumberFormat="1" applyFont="1" applyBorder="1" applyAlignment="1">
      <alignment horizontal="left" vertical="top" wrapText="1"/>
    </xf>
    <xf numFmtId="0" fontId="15" fillId="0" borderId="54" xfId="79" applyNumberFormat="1" applyFont="1" applyBorder="1" applyAlignment="1">
      <alignment horizontal="right" vertical="top"/>
    </xf>
    <xf numFmtId="0" fontId="15" fillId="0" borderId="54" xfId="79" applyNumberFormat="1" applyFont="1" applyBorder="1" applyAlignment="1">
      <alignment horizontal="left" vertical="top"/>
    </xf>
    <xf numFmtId="0" fontId="15" fillId="0" borderId="39" xfId="79" applyNumberFormat="1" applyFont="1" applyBorder="1" applyAlignment="1">
      <alignment horizontal="left" vertical="top"/>
    </xf>
    <xf numFmtId="0" fontId="15" fillId="0" borderId="46" xfId="79" applyNumberFormat="1" applyFont="1" applyBorder="1" applyAlignment="1">
      <alignment horizontal="left" vertical="top" wrapText="1"/>
    </xf>
    <xf numFmtId="0" fontId="15" fillId="0" borderId="25" xfId="79" applyNumberFormat="1" applyFont="1" applyBorder="1" applyAlignment="1">
      <alignment horizontal="left" vertical="top" wrapText="1"/>
    </xf>
    <xf numFmtId="0" fontId="15" fillId="0" borderId="25" xfId="79" applyNumberFormat="1" applyFont="1" applyBorder="1" applyAlignment="1">
      <alignment horizontal="right" vertical="top"/>
    </xf>
    <xf numFmtId="0" fontId="15" fillId="0" borderId="25" xfId="79" applyNumberFormat="1" applyFont="1" applyBorder="1" applyAlignment="1">
      <alignment horizontal="left" vertical="top"/>
    </xf>
    <xf numFmtId="0" fontId="15" fillId="0" borderId="47" xfId="79" applyNumberFormat="1" applyFont="1" applyBorder="1" applyAlignment="1">
      <alignment horizontal="left" vertical="top"/>
    </xf>
    <xf numFmtId="0" fontId="14" fillId="0" borderId="46" xfId="79" applyNumberFormat="1" applyFont="1" applyBorder="1" applyAlignment="1">
      <alignment horizontal="left" vertical="top"/>
    </xf>
    <xf numFmtId="0" fontId="14" fillId="0" borderId="25" xfId="79" applyNumberFormat="1" applyFont="1" applyBorder="1" applyAlignment="1">
      <alignment horizontal="left" vertical="top" wrapText="1"/>
    </xf>
    <xf numFmtId="0" fontId="15" fillId="0" borderId="47" xfId="79" applyNumberFormat="1" applyFont="1" applyBorder="1" applyAlignment="1">
      <alignment horizontal="right" vertical="top"/>
    </xf>
    <xf numFmtId="0" fontId="15" fillId="0" borderId="59" xfId="79" applyNumberFormat="1" applyFont="1" applyBorder="1" applyAlignment="1">
      <alignment horizontal="left" vertical="top" wrapText="1"/>
    </xf>
    <xf numFmtId="1" fontId="15" fillId="0" borderId="16" xfId="79" applyNumberFormat="1" applyFont="1" applyBorder="1" applyAlignment="1">
      <alignment horizontal="left" vertical="top" wrapText="1"/>
    </xf>
    <xf numFmtId="0" fontId="15" fillId="0" borderId="18" xfId="79" applyNumberFormat="1" applyFont="1" applyBorder="1" applyAlignment="1">
      <alignment horizontal="right" vertical="top"/>
    </xf>
    <xf numFmtId="178" fontId="15" fillId="0" borderId="18" xfId="79" applyNumberFormat="1" applyFont="1" applyBorder="1" applyAlignment="1">
      <alignment horizontal="right" vertical="top"/>
    </xf>
    <xf numFmtId="3" fontId="15" fillId="0" borderId="42" xfId="79" applyNumberFormat="1" applyFont="1" applyBorder="1" applyAlignment="1">
      <alignment horizontal="right" vertical="top"/>
    </xf>
    <xf numFmtId="4" fontId="15" fillId="0" borderId="42" xfId="79" applyNumberFormat="1" applyFont="1" applyBorder="1" applyAlignment="1">
      <alignment horizontal="right" vertical="top"/>
    </xf>
    <xf numFmtId="0" fontId="15" fillId="0" borderId="16" xfId="79" applyNumberFormat="1" applyFont="1" applyBorder="1" applyAlignment="1">
      <alignment horizontal="left" vertical="top" wrapText="1"/>
    </xf>
    <xf numFmtId="0" fontId="14" fillId="0" borderId="43" xfId="79" applyNumberFormat="1" applyFont="1" applyBorder="1" applyAlignment="1">
      <alignment horizontal="left" vertical="top"/>
    </xf>
    <xf numFmtId="0" fontId="14" fillId="0" borderId="44" xfId="79" applyNumberFormat="1" applyFont="1" applyBorder="1" applyAlignment="1">
      <alignment horizontal="left" vertical="top" wrapText="1"/>
    </xf>
    <xf numFmtId="0" fontId="15" fillId="0" borderId="44" xfId="79" applyNumberFormat="1" applyFont="1" applyBorder="1" applyAlignment="1">
      <alignment horizontal="right" vertical="top"/>
    </xf>
    <xf numFmtId="0" fontId="15" fillId="0" borderId="45" xfId="79" applyNumberFormat="1" applyFont="1" applyBorder="1" applyAlignment="1">
      <alignment horizontal="right" vertical="top"/>
    </xf>
    <xf numFmtId="0" fontId="15" fillId="0" borderId="44" xfId="79" applyNumberFormat="1" applyFont="1" applyBorder="1" applyAlignment="1">
      <alignment horizontal="left" vertical="top" wrapText="1"/>
    </xf>
    <xf numFmtId="0" fontId="15" fillId="0" borderId="44" xfId="79" applyNumberFormat="1" applyFont="1" applyBorder="1" applyAlignment="1">
      <alignment horizontal="left" vertical="top"/>
    </xf>
    <xf numFmtId="0" fontId="15" fillId="0" borderId="45" xfId="79" applyNumberFormat="1" applyFont="1" applyBorder="1" applyAlignment="1">
      <alignment horizontal="left" vertical="top"/>
    </xf>
    <xf numFmtId="0" fontId="14" fillId="0" borderId="30" xfId="79" applyNumberFormat="1" applyFont="1" applyBorder="1" applyAlignment="1">
      <alignment horizontal="left" vertical="top"/>
    </xf>
    <xf numFmtId="0" fontId="14" fillId="0" borderId="35" xfId="79" applyNumberFormat="1" applyFont="1" applyBorder="1" applyAlignment="1">
      <alignment horizontal="left" vertical="top" wrapText="1"/>
    </xf>
    <xf numFmtId="0" fontId="15" fillId="0" borderId="35" xfId="79" applyNumberFormat="1" applyFont="1" applyBorder="1" applyAlignment="1">
      <alignment horizontal="right" vertical="top"/>
    </xf>
    <xf numFmtId="0" fontId="15" fillId="0" borderId="35" xfId="79" applyNumberFormat="1" applyFont="1" applyBorder="1" applyAlignment="1">
      <alignment horizontal="left" vertical="top"/>
    </xf>
    <xf numFmtId="0" fontId="15" fillId="0" borderId="32" xfId="79" applyNumberFormat="1" applyFont="1" applyBorder="1" applyAlignment="1">
      <alignment horizontal="left" vertical="top"/>
    </xf>
    <xf numFmtId="0" fontId="14" fillId="0" borderId="33" xfId="79" applyNumberFormat="1" applyFont="1" applyBorder="1" applyAlignment="1">
      <alignment horizontal="left" vertical="top"/>
    </xf>
    <xf numFmtId="0" fontId="14" fillId="0" borderId="36" xfId="79" applyNumberFormat="1" applyFont="1" applyBorder="1" applyAlignment="1">
      <alignment horizontal="left" vertical="top" wrapText="1"/>
    </xf>
    <xf numFmtId="0" fontId="15" fillId="0" borderId="36" xfId="79" applyNumberFormat="1" applyFont="1" applyBorder="1" applyAlignment="1">
      <alignment horizontal="right" vertical="top"/>
    </xf>
    <xf numFmtId="0" fontId="15" fillId="0" borderId="36" xfId="79" applyNumberFormat="1" applyFont="1" applyBorder="1" applyAlignment="1">
      <alignment horizontal="left" vertical="top"/>
    </xf>
    <xf numFmtId="0" fontId="15" fillId="0" borderId="52" xfId="79" applyNumberFormat="1" applyFont="1" applyBorder="1" applyAlignment="1">
      <alignment horizontal="left" vertical="top"/>
    </xf>
    <xf numFmtId="4" fontId="87" fillId="0" borderId="0" xfId="79" applyNumberFormat="1"/>
    <xf numFmtId="3" fontId="87" fillId="0" borderId="83" xfId="75" applyNumberFormat="1" applyFont="1" applyBorder="1" applyAlignment="1">
      <alignment horizontal="right" vertical="center"/>
    </xf>
    <xf numFmtId="0" fontId="0" fillId="0" borderId="28" xfId="0" applyNumberFormat="1" applyFont="1" applyBorder="1" applyAlignment="1">
      <alignment horizontal="center" vertical="center" wrapText="1"/>
    </xf>
    <xf numFmtId="1" fontId="0" fillId="0" borderId="40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1" fontId="0" fillId="0" borderId="83" xfId="0" applyNumberFormat="1" applyFont="1" applyBorder="1" applyAlignment="1">
      <alignment horizontal="center" vertical="center"/>
    </xf>
    <xf numFmtId="0" fontId="112" fillId="0" borderId="28" xfId="0" applyFont="1" applyBorder="1" applyAlignment="1">
      <alignment horizontal="left"/>
    </xf>
    <xf numFmtId="0" fontId="112" fillId="0" borderId="28" xfId="0" applyNumberFormat="1" applyFont="1" applyBorder="1" applyAlignment="1">
      <alignment horizontal="right" vertical="center"/>
    </xf>
    <xf numFmtId="4" fontId="112" fillId="0" borderId="28" xfId="0" applyNumberFormat="1" applyFont="1" applyBorder="1" applyAlignment="1">
      <alignment horizontal="right" vertical="center"/>
    </xf>
    <xf numFmtId="3" fontId="112" fillId="0" borderId="28" xfId="0" applyNumberFormat="1" applyFont="1" applyBorder="1" applyAlignment="1">
      <alignment horizontal="right" vertical="center"/>
    </xf>
    <xf numFmtId="1" fontId="112" fillId="0" borderId="40" xfId="0" applyNumberFormat="1" applyFont="1" applyBorder="1" applyAlignment="1">
      <alignment horizontal="right" vertical="center"/>
    </xf>
    <xf numFmtId="3" fontId="112" fillId="0" borderId="83" xfId="0" applyNumberFormat="1" applyFont="1" applyBorder="1" applyAlignment="1">
      <alignment horizontal="right" vertical="center"/>
    </xf>
    <xf numFmtId="0" fontId="0" fillId="0" borderId="40" xfId="0" applyNumberFormat="1" applyFont="1" applyBorder="1" applyAlignment="1">
      <alignment horizontal="right" vertical="center"/>
    </xf>
    <xf numFmtId="0" fontId="0" fillId="0" borderId="28" xfId="0" applyNumberFormat="1" applyFont="1" applyBorder="1" applyAlignment="1">
      <alignment horizontal="left" vertical="center"/>
    </xf>
    <xf numFmtId="0" fontId="0" fillId="0" borderId="28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right" vertical="center"/>
    </xf>
    <xf numFmtId="4" fontId="0" fillId="0" borderId="28" xfId="0" applyNumberFormat="1" applyFont="1" applyBorder="1" applyAlignment="1">
      <alignment horizontal="right" vertical="center"/>
    </xf>
    <xf numFmtId="3" fontId="0" fillId="0" borderId="28" xfId="0" applyNumberFormat="1" applyFont="1" applyBorder="1" applyAlignment="1">
      <alignment horizontal="right" vertical="center"/>
    </xf>
    <xf numFmtId="1" fontId="0" fillId="0" borderId="40" xfId="0" applyNumberFormat="1" applyFont="1" applyBorder="1" applyAlignment="1">
      <alignment horizontal="right" vertical="center"/>
    </xf>
    <xf numFmtId="3" fontId="0" fillId="0" borderId="83" xfId="0" applyNumberFormat="1" applyFont="1" applyBorder="1" applyAlignment="1">
      <alignment horizontal="right" vertical="center"/>
    </xf>
    <xf numFmtId="178" fontId="87" fillId="0" borderId="0" xfId="79" applyNumberFormat="1"/>
    <xf numFmtId="2" fontId="15" fillId="0" borderId="16" xfId="73" applyNumberFormat="1" applyFont="1" applyBorder="1" applyAlignment="1">
      <alignment horizontal="left" vertical="top" wrapText="1"/>
    </xf>
    <xf numFmtId="0" fontId="24" fillId="0" borderId="0" xfId="79" applyNumberFormat="1" applyFont="1" applyAlignment="1">
      <alignment horizontal="centerContinuous"/>
    </xf>
    <xf numFmtId="0" fontId="14" fillId="0" borderId="0" xfId="79" applyNumberFormat="1" applyFont="1" applyAlignment="1">
      <alignment horizontal="centerContinuous"/>
    </xf>
    <xf numFmtId="0" fontId="15" fillId="0" borderId="37" xfId="79" applyNumberFormat="1" applyFont="1" applyBorder="1" applyAlignment="1">
      <alignment horizontal="center"/>
    </xf>
    <xf numFmtId="0" fontId="15" fillId="0" borderId="38" xfId="79" applyNumberFormat="1" applyFont="1" applyBorder="1" applyAlignment="1">
      <alignment horizontal="center"/>
    </xf>
    <xf numFmtId="0" fontId="15" fillId="0" borderId="39" xfId="79" applyNumberFormat="1" applyFont="1" applyBorder="1" applyAlignment="1">
      <alignment horizontal="center"/>
    </xf>
    <xf numFmtId="0" fontId="14" fillId="0" borderId="40" xfId="79" applyNumberFormat="1" applyFont="1" applyBorder="1" applyAlignment="1">
      <alignment horizontal="left" vertical="top" wrapText="1"/>
    </xf>
    <xf numFmtId="0" fontId="15" fillId="0" borderId="27" xfId="79" applyNumberFormat="1" applyFont="1" applyBorder="1" applyAlignment="1">
      <alignment horizontal="left" vertical="top"/>
    </xf>
    <xf numFmtId="0" fontId="15" fillId="0" borderId="41" xfId="79" applyNumberFormat="1" applyFont="1" applyBorder="1" applyAlignment="1">
      <alignment horizontal="left" vertical="top"/>
    </xf>
    <xf numFmtId="1" fontId="15" fillId="0" borderId="59" xfId="79" applyNumberFormat="1" applyFont="1" applyBorder="1" applyAlignment="1">
      <alignment horizontal="left" vertical="top" wrapText="1"/>
    </xf>
    <xf numFmtId="0" fontId="15" fillId="0" borderId="42" xfId="79" applyNumberFormat="1" applyFont="1" applyBorder="1" applyAlignment="1">
      <alignment horizontal="right" vertical="top"/>
    </xf>
    <xf numFmtId="0" fontId="15" fillId="0" borderId="59" xfId="79" applyNumberFormat="1" applyFont="1" applyBorder="1" applyAlignment="1">
      <alignment horizontal="right" vertical="top"/>
    </xf>
    <xf numFmtId="173" fontId="15" fillId="0" borderId="18" xfId="79" applyNumberFormat="1" applyFont="1" applyBorder="1" applyAlignment="1">
      <alignment horizontal="right" vertical="top"/>
    </xf>
    <xf numFmtId="0" fontId="14" fillId="0" borderId="43" xfId="79" applyNumberFormat="1" applyFont="1" applyBorder="1" applyAlignment="1">
      <alignment horizontal="left" vertical="top" wrapText="1"/>
    </xf>
    <xf numFmtId="178" fontId="15" fillId="0" borderId="44" xfId="79" applyNumberFormat="1" applyFont="1" applyBorder="1" applyAlignment="1">
      <alignment horizontal="right" vertical="top"/>
    </xf>
    <xf numFmtId="0" fontId="14" fillId="0" borderId="46" xfId="79" applyNumberFormat="1" applyFont="1" applyBorder="1" applyAlignment="1">
      <alignment horizontal="left" vertical="top" wrapText="1"/>
    </xf>
    <xf numFmtId="172" fontId="15" fillId="0" borderId="25" xfId="79" applyNumberFormat="1" applyFont="1" applyBorder="1" applyAlignment="1">
      <alignment horizontal="right" vertical="top"/>
    </xf>
    <xf numFmtId="0" fontId="14" fillId="0" borderId="48" xfId="79" applyNumberFormat="1" applyFont="1" applyBorder="1" applyAlignment="1">
      <alignment horizontal="left" vertical="top"/>
    </xf>
    <xf numFmtId="0" fontId="15" fillId="0" borderId="77" xfId="79" applyNumberFormat="1" applyFont="1" applyBorder="1" applyAlignment="1">
      <alignment horizontal="right" vertical="top"/>
    </xf>
    <xf numFmtId="0" fontId="15" fillId="0" borderId="57" xfId="79" applyNumberFormat="1" applyFont="1" applyBorder="1" applyAlignment="1">
      <alignment horizontal="right" vertical="top"/>
    </xf>
    <xf numFmtId="178" fontId="15" fillId="0" borderId="57" xfId="79" applyNumberFormat="1" applyFont="1" applyBorder="1" applyAlignment="1">
      <alignment horizontal="right" vertical="top"/>
    </xf>
    <xf numFmtId="0" fontId="15" fillId="0" borderId="67" xfId="79" applyNumberFormat="1" applyFont="1" applyBorder="1" applyAlignment="1">
      <alignment horizontal="right" vertical="top"/>
    </xf>
    <xf numFmtId="175" fontId="15" fillId="0" borderId="18" xfId="79" applyNumberFormat="1" applyFont="1" applyBorder="1" applyAlignment="1">
      <alignment horizontal="right" vertical="top"/>
    </xf>
    <xf numFmtId="4" fontId="15" fillId="0" borderId="18" xfId="79" applyNumberFormat="1" applyFont="1" applyBorder="1" applyAlignment="1">
      <alignment horizontal="right" vertical="top"/>
    </xf>
    <xf numFmtId="3" fontId="15" fillId="0" borderId="44" xfId="79" applyNumberFormat="1" applyFont="1" applyBorder="1" applyAlignment="1">
      <alignment horizontal="right" vertical="top"/>
    </xf>
    <xf numFmtId="3" fontId="15" fillId="0" borderId="45" xfId="79" applyNumberFormat="1" applyFont="1" applyBorder="1" applyAlignment="1">
      <alignment horizontal="right" vertical="top"/>
    </xf>
    <xf numFmtId="178" fontId="15" fillId="0" borderId="35" xfId="79" applyNumberFormat="1" applyFont="1" applyBorder="1" applyAlignment="1">
      <alignment horizontal="right" vertical="top"/>
    </xf>
    <xf numFmtId="37" fontId="28" fillId="0" borderId="28" xfId="44" applyNumberFormat="1" applyFont="1" applyFill="1" applyBorder="1"/>
    <xf numFmtId="37" fontId="13" fillId="0" borderId="28" xfId="44" applyNumberFormat="1" applyFont="1" applyFill="1" applyBorder="1"/>
    <xf numFmtId="0" fontId="13" fillId="0" borderId="28" xfId="44" applyNumberFormat="1" applyFont="1" applyFill="1" applyBorder="1" applyAlignment="1">
      <alignment horizontal="right"/>
    </xf>
    <xf numFmtId="0" fontId="28" fillId="0" borderId="28" xfId="44" applyFont="1" applyFill="1" applyBorder="1"/>
    <xf numFmtId="4" fontId="13" fillId="0" borderId="28" xfId="44" applyNumberFormat="1" applyFont="1" applyFill="1" applyBorder="1"/>
    <xf numFmtId="0" fontId="13" fillId="0" borderId="28" xfId="44" applyFont="1" applyFill="1" applyBorder="1" applyAlignment="1">
      <alignment horizontal="right"/>
    </xf>
    <xf numFmtId="37" fontId="13" fillId="0" borderId="28" xfId="44" applyNumberFormat="1" applyFont="1" applyFill="1" applyBorder="1" applyAlignment="1">
      <alignment horizontal="right"/>
    </xf>
    <xf numFmtId="37" fontId="29" fillId="0" borderId="28" xfId="44" applyNumberFormat="1" applyFont="1" applyFill="1" applyBorder="1"/>
    <xf numFmtId="4" fontId="97" fillId="0" borderId="28" xfId="44" applyNumberFormat="1" applyFont="1" applyFill="1" applyBorder="1"/>
    <xf numFmtId="37" fontId="29" fillId="0" borderId="28" xfId="44" applyNumberFormat="1" applyFont="1" applyFill="1" applyBorder="1" applyAlignment="1">
      <alignment vertical="center"/>
    </xf>
    <xf numFmtId="182" fontId="29" fillId="0" borderId="28" xfId="44" applyNumberFormat="1" applyFont="1" applyFill="1" applyBorder="1" applyAlignment="1">
      <alignment vertical="center"/>
    </xf>
    <xf numFmtId="182" fontId="28" fillId="0" borderId="28" xfId="44" applyNumberFormat="1" applyFont="1" applyFill="1" applyBorder="1"/>
    <xf numFmtId="0" fontId="29" fillId="0" borderId="28" xfId="44" applyFont="1" applyFill="1" applyBorder="1"/>
    <xf numFmtId="0" fontId="29" fillId="0" borderId="28" xfId="0" applyFont="1" applyFill="1" applyBorder="1"/>
    <xf numFmtId="178" fontId="14" fillId="0" borderId="89" xfId="80" applyNumberFormat="1" applyFont="1" applyBorder="1" applyAlignment="1">
      <alignment horizontal="left" vertical="top"/>
    </xf>
    <xf numFmtId="0" fontId="15" fillId="35" borderId="45" xfId="0" applyNumberFormat="1" applyFont="1" applyFill="1" applyBorder="1" applyAlignment="1">
      <alignment horizontal="right" vertical="top" wrapText="1"/>
    </xf>
    <xf numFmtId="4" fontId="0" fillId="0" borderId="0" xfId="0" applyNumberFormat="1" applyAlignment="1">
      <alignment horizontal="left"/>
    </xf>
    <xf numFmtId="178" fontId="15" fillId="38" borderId="18" xfId="71" applyNumberFormat="1" applyFont="1" applyFill="1" applyBorder="1" applyAlignment="1">
      <alignment horizontal="right" vertical="top"/>
    </xf>
    <xf numFmtId="4" fontId="31" fillId="0" borderId="40" xfId="0" applyNumberFormat="1" applyFont="1" applyFill="1" applyBorder="1"/>
    <xf numFmtId="0" fontId="109" fillId="34" borderId="22" xfId="0" applyFont="1" applyFill="1" applyBorder="1" applyAlignment="1">
      <alignment horizontal="center" vertical="center" wrapText="1"/>
    </xf>
    <xf numFmtId="170" fontId="7" fillId="34" borderId="28" xfId="0" applyNumberFormat="1" applyFont="1" applyFill="1" applyBorder="1" applyAlignment="1">
      <alignment horizontal="center" vertical="center"/>
    </xf>
    <xf numFmtId="49" fontId="10" fillId="32" borderId="0" xfId="0" applyNumberFormat="1" applyFont="1" applyFill="1"/>
    <xf numFmtId="0" fontId="87" fillId="0" borderId="0" xfId="70" applyAlignment="1">
      <alignment horizontal="left"/>
    </xf>
    <xf numFmtId="0" fontId="24" fillId="0" borderId="0" xfId="70" applyNumberFormat="1" applyFont="1" applyAlignment="1">
      <alignment horizontal="center"/>
    </xf>
    <xf numFmtId="0" fontId="14" fillId="0" borderId="0" xfId="70" applyNumberFormat="1" applyFont="1" applyAlignment="1">
      <alignment horizontal="center"/>
    </xf>
    <xf numFmtId="0" fontId="15" fillId="0" borderId="0" xfId="70" applyFont="1" applyAlignment="1">
      <alignment horizontal="left"/>
    </xf>
    <xf numFmtId="0" fontId="37" fillId="35" borderId="0" xfId="0" applyFont="1" applyFill="1" applyAlignment="1">
      <alignment horizontal="center"/>
    </xf>
    <xf numFmtId="0" fontId="38" fillId="35" borderId="0" xfId="44" applyFont="1" applyFill="1" applyAlignment="1">
      <alignment horizontal="center"/>
    </xf>
    <xf numFmtId="0" fontId="87" fillId="0" borderId="0" xfId="70"/>
    <xf numFmtId="170" fontId="31" fillId="33" borderId="40" xfId="0" applyNumberFormat="1" applyFont="1" applyFill="1" applyBorder="1"/>
    <xf numFmtId="0" fontId="15" fillId="0" borderId="0" xfId="0" applyFont="1" applyAlignment="1">
      <alignment horizontal="left"/>
    </xf>
    <xf numFmtId="0" fontId="14" fillId="0" borderId="0" xfId="0" applyNumberFormat="1" applyFont="1" applyAlignment="1">
      <alignment horizontal="center"/>
    </xf>
    <xf numFmtId="0" fontId="87" fillId="0" borderId="0" xfId="90" applyAlignment="1">
      <alignment horizontal="left"/>
    </xf>
    <xf numFmtId="0" fontId="24" fillId="0" borderId="0" xfId="90" applyNumberFormat="1" applyFont="1" applyAlignment="1">
      <alignment horizontal="centerContinuous" wrapText="1"/>
    </xf>
    <xf numFmtId="0" fontId="87" fillId="0" borderId="0" xfId="90"/>
    <xf numFmtId="0" fontId="14" fillId="0" borderId="0" xfId="90" applyNumberFormat="1" applyFont="1" applyAlignment="1">
      <alignment horizontal="centerContinuous" wrapText="1"/>
    </xf>
    <xf numFmtId="0" fontId="15" fillId="0" borderId="30" xfId="90" applyFont="1" applyBorder="1" applyAlignment="1">
      <alignment horizontal="left"/>
    </xf>
    <xf numFmtId="0" fontId="15" fillId="0" borderId="31" xfId="90" applyFont="1" applyBorder="1" applyAlignment="1">
      <alignment horizontal="left"/>
    </xf>
    <xf numFmtId="0" fontId="15" fillId="0" borderId="32" xfId="90" applyFont="1" applyBorder="1" applyAlignment="1">
      <alignment horizontal="left"/>
    </xf>
    <xf numFmtId="0" fontId="15" fillId="0" borderId="33" xfId="90" applyFont="1" applyBorder="1" applyAlignment="1">
      <alignment horizontal="left"/>
    </xf>
    <xf numFmtId="0" fontId="15" fillId="0" borderId="34" xfId="90" applyFont="1" applyBorder="1" applyAlignment="1">
      <alignment horizontal="left"/>
    </xf>
    <xf numFmtId="0" fontId="15" fillId="0" borderId="52" xfId="90" applyFont="1" applyBorder="1" applyAlignment="1">
      <alignment horizontal="left"/>
    </xf>
    <xf numFmtId="0" fontId="14" fillId="0" borderId="58" xfId="90" applyNumberFormat="1" applyFont="1" applyBorder="1" applyAlignment="1">
      <alignment horizontal="left" vertical="top" wrapText="1"/>
    </xf>
    <xf numFmtId="0" fontId="15" fillId="0" borderId="54" xfId="90" applyNumberFormat="1" applyFont="1" applyBorder="1" applyAlignment="1">
      <alignment horizontal="right" vertical="top"/>
    </xf>
    <xf numFmtId="178" fontId="15" fillId="0" borderId="69" xfId="90" applyNumberFormat="1" applyFont="1" applyBorder="1" applyAlignment="1">
      <alignment horizontal="right" vertical="top"/>
    </xf>
    <xf numFmtId="1" fontId="15" fillId="0" borderId="59" xfId="90" applyNumberFormat="1" applyFont="1" applyBorder="1" applyAlignment="1">
      <alignment horizontal="left" vertical="top" wrapText="1"/>
    </xf>
    <xf numFmtId="178" fontId="15" fillId="0" borderId="18" xfId="90" applyNumberFormat="1" applyFont="1" applyBorder="1" applyAlignment="1">
      <alignment horizontal="right" vertical="top"/>
    </xf>
    <xf numFmtId="0" fontId="15" fillId="0" borderId="42" xfId="90" applyNumberFormat="1" applyFont="1" applyBorder="1" applyAlignment="1">
      <alignment horizontal="right" vertical="top"/>
    </xf>
    <xf numFmtId="0" fontId="15" fillId="0" borderId="18" xfId="90" applyNumberFormat="1" applyFont="1" applyBorder="1" applyAlignment="1">
      <alignment horizontal="right" vertical="top"/>
    </xf>
    <xf numFmtId="178" fontId="15" fillId="0" borderId="42" xfId="90" applyNumberFormat="1" applyFont="1" applyBorder="1" applyAlignment="1">
      <alignment horizontal="right" vertical="top"/>
    </xf>
    <xf numFmtId="0" fontId="15" fillId="0" borderId="59" xfId="90" applyNumberFormat="1" applyFont="1" applyBorder="1" applyAlignment="1">
      <alignment horizontal="left" vertical="top" wrapText="1"/>
    </xf>
    <xf numFmtId="0" fontId="14" fillId="0" borderId="89" xfId="90" applyNumberFormat="1" applyFont="1" applyBorder="1" applyAlignment="1">
      <alignment horizontal="left" vertical="top" wrapText="1"/>
    </xf>
    <xf numFmtId="178" fontId="15" fillId="0" borderId="35" xfId="90" applyNumberFormat="1" applyFont="1" applyBorder="1" applyAlignment="1">
      <alignment horizontal="right" vertical="top"/>
    </xf>
    <xf numFmtId="178" fontId="15" fillId="0" borderId="73" xfId="90" applyNumberFormat="1" applyFont="1" applyBorder="1" applyAlignment="1">
      <alignment horizontal="right" vertical="top"/>
    </xf>
    <xf numFmtId="0" fontId="14" fillId="0" borderId="55" xfId="90" applyNumberFormat="1" applyFont="1" applyBorder="1" applyAlignment="1">
      <alignment horizontal="left" vertical="top" wrapText="1"/>
    </xf>
    <xf numFmtId="0" fontId="15" fillId="0" borderId="36" xfId="90" applyNumberFormat="1" applyFont="1" applyBorder="1" applyAlignment="1">
      <alignment horizontal="right" vertical="top"/>
    </xf>
    <xf numFmtId="178" fontId="15" fillId="0" borderId="84" xfId="90" applyNumberFormat="1" applyFont="1" applyBorder="1" applyAlignment="1">
      <alignment horizontal="right" vertical="top"/>
    </xf>
    <xf numFmtId="0" fontId="14" fillId="0" borderId="0" xfId="90" applyNumberFormat="1" applyFont="1" applyAlignment="1">
      <alignment horizontal="left"/>
    </xf>
    <xf numFmtId="0" fontId="15" fillId="33" borderId="45" xfId="0" applyNumberFormat="1" applyFont="1" applyFill="1" applyBorder="1" applyAlignment="1">
      <alignment horizontal="right" vertical="top" wrapText="1"/>
    </xf>
    <xf numFmtId="49" fontId="10" fillId="39" borderId="0" xfId="0" applyNumberFormat="1" applyFont="1" applyFill="1"/>
    <xf numFmtId="0" fontId="37" fillId="39" borderId="0" xfId="0" applyFont="1" applyFill="1" applyAlignment="1">
      <alignment horizontal="center"/>
    </xf>
    <xf numFmtId="0" fontId="15" fillId="0" borderId="30" xfId="90" applyNumberFormat="1" applyFont="1" applyBorder="1" applyAlignment="1">
      <alignment horizontal="center" vertical="center" wrapText="1"/>
    </xf>
    <xf numFmtId="0" fontId="15" fillId="0" borderId="55" xfId="90" applyNumberFormat="1" applyFont="1" applyBorder="1" applyAlignment="1">
      <alignment horizontal="center"/>
    </xf>
    <xf numFmtId="0" fontId="15" fillId="0" borderId="56" xfId="90" applyNumberFormat="1" applyFont="1" applyBorder="1" applyAlignment="1">
      <alignment horizontal="center"/>
    </xf>
    <xf numFmtId="0" fontId="15" fillId="0" borderId="36" xfId="90" applyNumberFormat="1" applyFont="1" applyBorder="1" applyAlignment="1">
      <alignment horizontal="center"/>
    </xf>
    <xf numFmtId="0" fontId="15" fillId="0" borderId="84" xfId="90" applyNumberFormat="1" applyFont="1" applyBorder="1" applyAlignment="1">
      <alignment horizontal="center"/>
    </xf>
    <xf numFmtId="0" fontId="15" fillId="0" borderId="43" xfId="90" applyNumberFormat="1" applyFont="1" applyBorder="1" applyAlignment="1">
      <alignment horizontal="left" vertical="top" wrapText="1"/>
    </xf>
    <xf numFmtId="0" fontId="15" fillId="0" borderId="44" xfId="90" applyNumberFormat="1" applyFont="1" applyBorder="1" applyAlignment="1">
      <alignment horizontal="right" vertical="top" wrapText="1"/>
    </xf>
    <xf numFmtId="178" fontId="15" fillId="0" borderId="44" xfId="90" applyNumberFormat="1" applyFont="1" applyBorder="1" applyAlignment="1">
      <alignment horizontal="right" vertical="top" wrapText="1"/>
    </xf>
    <xf numFmtId="0" fontId="15" fillId="0" borderId="45" xfId="90" applyNumberFormat="1" applyFont="1" applyBorder="1" applyAlignment="1">
      <alignment horizontal="right" vertical="top" wrapText="1"/>
    </xf>
    <xf numFmtId="0" fontId="15" fillId="0" borderId="43" xfId="90" applyNumberFormat="1" applyFont="1" applyBorder="1" applyAlignment="1">
      <alignment horizontal="left" vertical="top" wrapText="1" indent="1"/>
    </xf>
    <xf numFmtId="0" fontId="14" fillId="0" borderId="89" xfId="90" applyNumberFormat="1" applyFont="1" applyBorder="1" applyAlignment="1">
      <alignment horizontal="left" vertical="top"/>
    </xf>
    <xf numFmtId="0" fontId="15" fillId="0" borderId="35" xfId="90" applyNumberFormat="1" applyFont="1" applyBorder="1" applyAlignment="1">
      <alignment horizontal="right" vertical="top" wrapText="1"/>
    </xf>
    <xf numFmtId="178" fontId="15" fillId="0" borderId="35" xfId="90" applyNumberFormat="1" applyFont="1" applyBorder="1" applyAlignment="1">
      <alignment horizontal="right" vertical="top" wrapText="1"/>
    </xf>
    <xf numFmtId="0" fontId="15" fillId="0" borderId="73" xfId="90" applyNumberFormat="1" applyFont="1" applyBorder="1" applyAlignment="1">
      <alignment horizontal="right" vertical="top" wrapText="1"/>
    </xf>
    <xf numFmtId="0" fontId="2" fillId="0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left" wrapText="1"/>
    </xf>
    <xf numFmtId="0" fontId="15" fillId="0" borderId="0" xfId="0" applyNumberFormat="1" applyFont="1" applyAlignment="1">
      <alignment horizontal="left" wrapText="1"/>
    </xf>
    <xf numFmtId="0" fontId="24" fillId="0" borderId="0" xfId="0" applyNumberFormat="1" applyFont="1" applyAlignment="1">
      <alignment horizontal="center" wrapText="1"/>
    </xf>
    <xf numFmtId="0" fontId="14" fillId="0" borderId="0" xfId="0" applyNumberFormat="1" applyFont="1" applyAlignment="1">
      <alignment horizontal="center" wrapText="1"/>
    </xf>
    <xf numFmtId="165" fontId="33" fillId="0" borderId="0" xfId="0" applyNumberFormat="1" applyFont="1" applyFill="1" applyBorder="1" applyAlignment="1">
      <alignment horizontal="center" vertical="top" wrapText="1"/>
    </xf>
    <xf numFmtId="165" fontId="33" fillId="0" borderId="0" xfId="0" applyNumberFormat="1" applyFont="1" applyFill="1" applyBorder="1" applyAlignment="1">
      <alignment horizontal="left" wrapText="1"/>
    </xf>
    <xf numFmtId="165" fontId="33" fillId="0" borderId="3" xfId="0" applyNumberFormat="1" applyFont="1" applyFill="1" applyBorder="1" applyAlignment="1">
      <alignment wrapText="1"/>
    </xf>
    <xf numFmtId="165" fontId="33" fillId="0" borderId="0" xfId="0" applyNumberFormat="1" applyFont="1" applyFill="1" applyBorder="1" applyAlignment="1">
      <alignment wrapText="1"/>
    </xf>
    <xf numFmtId="170" fontId="0" fillId="0" borderId="0" xfId="0" applyNumberFormat="1" applyAlignment="1">
      <alignment horizontal="left"/>
    </xf>
    <xf numFmtId="0" fontId="15" fillId="0" borderId="49" xfId="0" applyFont="1" applyFill="1" applyBorder="1" applyAlignment="1">
      <alignment horizontal="center" wrapText="1"/>
    </xf>
    <xf numFmtId="0" fontId="15" fillId="0" borderId="77" xfId="0" applyFont="1" applyBorder="1" applyAlignment="1">
      <alignment horizontal="center" wrapText="1"/>
    </xf>
    <xf numFmtId="0" fontId="17" fillId="0" borderId="77" xfId="0" applyFont="1" applyBorder="1" applyAlignment="1">
      <alignment horizontal="center" wrapText="1"/>
    </xf>
    <xf numFmtId="0" fontId="20" fillId="0" borderId="77" xfId="0" applyFont="1" applyBorder="1" applyAlignment="1">
      <alignment horizontal="center" wrapText="1"/>
    </xf>
    <xf numFmtId="0" fontId="20" fillId="0" borderId="79" xfId="0" applyFont="1" applyBorder="1" applyAlignment="1">
      <alignment horizontal="center" wrapText="1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5" fillId="33" borderId="46" xfId="0" applyNumberFormat="1" applyFont="1" applyFill="1" applyBorder="1" applyAlignment="1">
      <alignment horizontal="left" vertical="top" wrapText="1"/>
    </xf>
    <xf numFmtId="0" fontId="15" fillId="0" borderId="59" xfId="0" applyNumberFormat="1" applyFont="1" applyFill="1" applyBorder="1" applyAlignment="1">
      <alignment horizontal="left" vertical="top" wrapText="1"/>
    </xf>
    <xf numFmtId="178" fontId="15" fillId="0" borderId="42" xfId="0" applyNumberFormat="1" applyFont="1" applyFill="1" applyBorder="1" applyAlignment="1">
      <alignment horizontal="right" vertical="top"/>
    </xf>
    <xf numFmtId="0" fontId="15" fillId="0" borderId="43" xfId="0" applyNumberFormat="1" applyFont="1" applyFill="1" applyBorder="1" applyAlignment="1">
      <alignment horizontal="left" vertical="top" wrapText="1"/>
    </xf>
    <xf numFmtId="178" fontId="15" fillId="34" borderId="45" xfId="0" applyNumberFormat="1" applyFont="1" applyFill="1" applyBorder="1" applyAlignment="1">
      <alignment horizontal="right" vertical="top"/>
    </xf>
    <xf numFmtId="170" fontId="2" fillId="0" borderId="0" xfId="0" applyNumberFormat="1" applyFont="1" applyAlignment="1">
      <alignment horizontal="left"/>
    </xf>
    <xf numFmtId="0" fontId="15" fillId="0" borderId="28" xfId="0" applyNumberFormat="1" applyFont="1" applyFill="1" applyBorder="1" applyAlignment="1">
      <alignment horizontal="left" vertical="top" wrapText="1"/>
    </xf>
    <xf numFmtId="0" fontId="15" fillId="0" borderId="27" xfId="0" applyNumberFormat="1" applyFont="1" applyBorder="1" applyAlignment="1">
      <alignment horizontal="left" vertical="top" wrapText="1"/>
    </xf>
    <xf numFmtId="0" fontId="15" fillId="0" borderId="27" xfId="0" applyNumberFormat="1" applyFont="1" applyBorder="1" applyAlignment="1">
      <alignment horizontal="right" vertical="top"/>
    </xf>
    <xf numFmtId="178" fontId="15" fillId="0" borderId="41" xfId="0" applyNumberFormat="1" applyFont="1" applyFill="1" applyBorder="1" applyAlignment="1">
      <alignment horizontal="right" vertical="top"/>
    </xf>
    <xf numFmtId="0" fontId="15" fillId="0" borderId="25" xfId="0" applyNumberFormat="1" applyFont="1" applyFill="1" applyBorder="1" applyAlignment="1">
      <alignment horizontal="left" vertical="top" wrapText="1"/>
    </xf>
    <xf numFmtId="178" fontId="15" fillId="0" borderId="47" xfId="0" applyNumberFormat="1" applyFont="1" applyBorder="1" applyAlignment="1">
      <alignment horizontal="right" vertical="top"/>
    </xf>
    <xf numFmtId="178" fontId="15" fillId="0" borderId="45" xfId="91" applyNumberFormat="1" applyFont="1" applyBorder="1" applyAlignment="1">
      <alignment horizontal="right" vertical="top"/>
    </xf>
    <xf numFmtId="178" fontId="15" fillId="34" borderId="42" xfId="0" applyNumberFormat="1" applyFont="1" applyFill="1" applyBorder="1" applyAlignment="1">
      <alignment horizontal="right" vertical="top"/>
    </xf>
    <xf numFmtId="0" fontId="15" fillId="0" borderId="46" xfId="0" applyNumberFormat="1" applyFont="1" applyFill="1" applyBorder="1" applyAlignment="1">
      <alignment horizontal="left" vertical="top" wrapText="1"/>
    </xf>
    <xf numFmtId="178" fontId="15" fillId="0" borderId="45" xfId="0" applyNumberFormat="1" applyFont="1" applyFill="1" applyBorder="1" applyAlignment="1">
      <alignment horizontal="right" vertical="top"/>
    </xf>
    <xf numFmtId="171" fontId="15" fillId="0" borderId="42" xfId="0" applyNumberFormat="1" applyFont="1" applyFill="1" applyBorder="1" applyAlignment="1">
      <alignment horizontal="right" vertical="top"/>
    </xf>
    <xf numFmtId="171" fontId="15" fillId="0" borderId="42" xfId="0" applyNumberFormat="1" applyFont="1" applyBorder="1" applyAlignment="1">
      <alignment horizontal="right" vertical="top"/>
    </xf>
    <xf numFmtId="178" fontId="15" fillId="0" borderId="42" xfId="91" applyNumberFormat="1" applyFont="1" applyFill="1" applyBorder="1" applyAlignment="1">
      <alignment horizontal="right" vertical="top"/>
    </xf>
    <xf numFmtId="178" fontId="15" fillId="34" borderId="44" xfId="0" applyNumberFormat="1" applyFont="1" applyFill="1" applyBorder="1" applyAlignment="1">
      <alignment horizontal="right" vertical="top"/>
    </xf>
    <xf numFmtId="175" fontId="15" fillId="0" borderId="47" xfId="0" applyNumberFormat="1" applyFont="1" applyBorder="1" applyAlignment="1">
      <alignment horizontal="right" vertical="top"/>
    </xf>
    <xf numFmtId="178" fontId="15" fillId="34" borderId="76" xfId="0" applyNumberFormat="1" applyFont="1" applyFill="1" applyBorder="1" applyAlignment="1">
      <alignment horizontal="right" vertical="top"/>
    </xf>
    <xf numFmtId="0" fontId="15" fillId="0" borderId="91" xfId="0" applyNumberFormat="1" applyFont="1" applyFill="1" applyBorder="1" applyAlignment="1">
      <alignment horizontal="right" vertical="top"/>
    </xf>
    <xf numFmtId="0" fontId="15" fillId="34" borderId="44" xfId="0" applyNumberFormat="1" applyFont="1" applyFill="1" applyBorder="1" applyAlignment="1">
      <alignment horizontal="right" vertical="top"/>
    </xf>
    <xf numFmtId="0" fontId="14" fillId="0" borderId="48" xfId="0" applyNumberFormat="1" applyFont="1" applyFill="1" applyBorder="1" applyAlignment="1">
      <alignment horizontal="left" vertical="top"/>
    </xf>
    <xf numFmtId="0" fontId="14" fillId="0" borderId="57" xfId="0" applyNumberFormat="1" applyFont="1" applyBorder="1" applyAlignment="1">
      <alignment horizontal="left" vertical="top" wrapText="1"/>
    </xf>
    <xf numFmtId="178" fontId="14" fillId="0" borderId="67" xfId="0" applyNumberFormat="1" applyFont="1" applyBorder="1" applyAlignment="1">
      <alignment horizontal="right" vertical="top"/>
    </xf>
    <xf numFmtId="178" fontId="14" fillId="0" borderId="67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/>
    </xf>
    <xf numFmtId="178" fontId="15" fillId="0" borderId="42" xfId="91" applyNumberFormat="1" applyFont="1" applyBorder="1" applyAlignment="1">
      <alignment horizontal="right" vertical="top"/>
    </xf>
    <xf numFmtId="175" fontId="13" fillId="0" borderId="0" xfId="0" applyNumberFormat="1" applyFont="1" applyAlignment="1">
      <alignment horizontal="left"/>
    </xf>
    <xf numFmtId="175" fontId="126" fillId="0" borderId="0" xfId="0" applyNumberFormat="1" applyFont="1" applyFill="1" applyAlignment="1">
      <alignment horizontal="left"/>
    </xf>
    <xf numFmtId="178" fontId="0" fillId="31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175" fontId="2" fillId="34" borderId="0" xfId="0" applyNumberFormat="1" applyFont="1" applyFill="1" applyAlignment="1">
      <alignment horizontal="left"/>
    </xf>
    <xf numFmtId="178" fontId="0" fillId="35" borderId="0" xfId="0" applyNumberFormat="1" applyFill="1" applyAlignment="1">
      <alignment horizontal="left"/>
    </xf>
    <xf numFmtId="175" fontId="13" fillId="0" borderId="0" xfId="0" applyNumberFormat="1" applyFont="1" applyFill="1" applyAlignment="1">
      <alignment horizontal="left"/>
    </xf>
    <xf numFmtId="178" fontId="0" fillId="0" borderId="0" xfId="0" applyNumberFormat="1" applyFill="1" applyAlignment="1">
      <alignment horizontal="left"/>
    </xf>
    <xf numFmtId="170" fontId="2" fillId="0" borderId="0" xfId="0" applyNumberFormat="1" applyFont="1" applyFill="1" applyAlignment="1">
      <alignment horizontal="left"/>
    </xf>
    <xf numFmtId="183" fontId="0" fillId="0" borderId="0" xfId="0" applyNumberFormat="1" applyFill="1" applyAlignment="1">
      <alignment horizontal="left"/>
    </xf>
    <xf numFmtId="0" fontId="15" fillId="0" borderId="79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5" fillId="0" borderId="25" xfId="0" applyNumberFormat="1" applyFont="1" applyFill="1" applyBorder="1" applyAlignment="1">
      <alignment horizontal="right" vertical="top"/>
    </xf>
    <xf numFmtId="0" fontId="15" fillId="0" borderId="16" xfId="0" applyNumberFormat="1" applyFont="1" applyFill="1" applyBorder="1" applyAlignment="1">
      <alignment horizontal="left" vertical="top" wrapText="1"/>
    </xf>
    <xf numFmtId="0" fontId="15" fillId="0" borderId="44" xfId="0" applyNumberFormat="1" applyFont="1" applyFill="1" applyBorder="1" applyAlignment="1">
      <alignment horizontal="left" vertical="top" wrapText="1"/>
    </xf>
    <xf numFmtId="171" fontId="15" fillId="0" borderId="18" xfId="0" applyNumberFormat="1" applyFont="1" applyFill="1" applyBorder="1" applyAlignment="1">
      <alignment horizontal="right" vertical="top"/>
    </xf>
    <xf numFmtId="171" fontId="15" fillId="0" borderId="18" xfId="0" applyNumberFormat="1" applyFont="1" applyBorder="1" applyAlignment="1">
      <alignment horizontal="right" vertical="top"/>
    </xf>
    <xf numFmtId="169" fontId="15" fillId="0" borderId="18" xfId="0" applyNumberFormat="1" applyFont="1" applyBorder="1" applyAlignment="1">
      <alignment horizontal="right" vertical="top"/>
    </xf>
    <xf numFmtId="171" fontId="15" fillId="0" borderId="44" xfId="0" applyNumberFormat="1" applyFont="1" applyBorder="1" applyAlignment="1">
      <alignment horizontal="right" vertical="top"/>
    </xf>
    <xf numFmtId="4" fontId="127" fillId="0" borderId="18" xfId="0" applyNumberFormat="1" applyFont="1" applyFill="1" applyBorder="1" applyAlignment="1">
      <alignment horizontal="right" vertical="top"/>
    </xf>
    <xf numFmtId="175" fontId="15" fillId="0" borderId="25" xfId="0" applyNumberFormat="1" applyFont="1" applyBorder="1" applyAlignment="1">
      <alignment horizontal="right" vertical="top"/>
    </xf>
    <xf numFmtId="178" fontId="15" fillId="0" borderId="18" xfId="92" applyNumberFormat="1" applyFont="1" applyFill="1" applyBorder="1" applyAlignment="1">
      <alignment horizontal="right" vertical="top"/>
    </xf>
    <xf numFmtId="178" fontId="115" fillId="0" borderId="18" xfId="0" applyNumberFormat="1" applyFont="1" applyFill="1" applyBorder="1" applyAlignment="1">
      <alignment horizontal="right" vertical="top"/>
    </xf>
    <xf numFmtId="171" fontId="127" fillId="0" borderId="18" xfId="0" applyNumberFormat="1" applyFont="1" applyBorder="1" applyAlignment="1">
      <alignment horizontal="right" vertical="top"/>
    </xf>
    <xf numFmtId="1" fontId="15" fillId="0" borderId="18" xfId="0" applyNumberFormat="1" applyFont="1" applyBorder="1" applyAlignment="1">
      <alignment horizontal="left" vertical="top" wrapText="1"/>
    </xf>
    <xf numFmtId="178" fontId="103" fillId="0" borderId="18" xfId="93" applyNumberFormat="1" applyFont="1" applyFill="1" applyBorder="1" applyAlignment="1">
      <alignment horizontal="right" vertical="top"/>
    </xf>
    <xf numFmtId="0" fontId="15" fillId="0" borderId="18" xfId="0" applyNumberFormat="1" applyFont="1" applyFill="1" applyBorder="1" applyAlignment="1">
      <alignment horizontal="left" vertical="top" wrapText="1"/>
    </xf>
    <xf numFmtId="178" fontId="15" fillId="0" borderId="28" xfId="0" applyNumberFormat="1" applyFont="1" applyFill="1" applyBorder="1" applyAlignment="1">
      <alignment horizontal="right" vertical="top"/>
    </xf>
    <xf numFmtId="178" fontId="15" fillId="34" borderId="25" xfId="0" applyNumberFormat="1" applyFont="1" applyFill="1" applyBorder="1" applyAlignment="1">
      <alignment horizontal="right" vertical="top"/>
    </xf>
    <xf numFmtId="178" fontId="15" fillId="31" borderId="44" xfId="0" applyNumberFormat="1" applyFont="1" applyFill="1" applyBorder="1" applyAlignment="1">
      <alignment horizontal="right" vertical="top"/>
    </xf>
    <xf numFmtId="0" fontId="15" fillId="33" borderId="43" xfId="0" applyNumberFormat="1" applyFont="1" applyFill="1" applyBorder="1" applyAlignment="1">
      <alignment horizontal="left" vertical="top" wrapText="1"/>
    </xf>
    <xf numFmtId="178" fontId="14" fillId="0" borderId="57" xfId="0" applyNumberFormat="1" applyFont="1" applyFill="1" applyBorder="1" applyAlignment="1">
      <alignment horizontal="right" vertical="top"/>
    </xf>
    <xf numFmtId="178" fontId="15" fillId="0" borderId="18" xfId="92" applyNumberFormat="1" applyFont="1" applyBorder="1" applyAlignment="1">
      <alignment horizontal="right" vertical="top"/>
    </xf>
    <xf numFmtId="0" fontId="2" fillId="0" borderId="0" xfId="0" applyFont="1" applyAlignment="1">
      <alignment horizontal="left"/>
    </xf>
    <xf numFmtId="178" fontId="126" fillId="0" borderId="0" xfId="0" applyNumberFormat="1" applyFont="1" applyAlignment="1">
      <alignment horizontal="left"/>
    </xf>
    <xf numFmtId="175" fontId="0" fillId="31" borderId="0" xfId="0" applyNumberFormat="1" applyFill="1" applyAlignment="1">
      <alignment horizontal="left"/>
    </xf>
    <xf numFmtId="0" fontId="15" fillId="0" borderId="16" xfId="94" applyNumberFormat="1" applyFont="1" applyBorder="1" applyAlignment="1">
      <alignment horizontal="left" vertical="top" wrapText="1"/>
    </xf>
    <xf numFmtId="0" fontId="15" fillId="0" borderId="18" xfId="94" applyNumberFormat="1" applyFont="1" applyBorder="1" applyAlignment="1">
      <alignment horizontal="right" vertical="top"/>
    </xf>
    <xf numFmtId="178" fontId="15" fillId="0" borderId="42" xfId="94" applyNumberFormat="1" applyFont="1" applyBorder="1" applyAlignment="1">
      <alignment horizontal="right" vertical="top"/>
    </xf>
    <xf numFmtId="178" fontId="15" fillId="0" borderId="45" xfId="94" applyNumberFormat="1" applyFont="1" applyBorder="1" applyAlignment="1">
      <alignment horizontal="right" vertical="top"/>
    </xf>
    <xf numFmtId="171" fontId="15" fillId="0" borderId="42" xfId="94" applyNumberFormat="1" applyFont="1" applyBorder="1" applyAlignment="1">
      <alignment horizontal="right" vertical="top"/>
    </xf>
    <xf numFmtId="178" fontId="15" fillId="0" borderId="18" xfId="95" applyNumberFormat="1" applyFont="1" applyBorder="1" applyAlignment="1">
      <alignment horizontal="right" vertical="top"/>
    </xf>
    <xf numFmtId="178" fontId="15" fillId="0" borderId="44" xfId="95" applyNumberFormat="1" applyFont="1" applyBorder="1" applyAlignment="1">
      <alignment horizontal="right" vertical="top"/>
    </xf>
    <xf numFmtId="178" fontId="15" fillId="35" borderId="42" xfId="90" applyNumberFormat="1" applyFont="1" applyFill="1" applyBorder="1" applyAlignment="1">
      <alignment horizontal="right" vertical="top"/>
    </xf>
    <xf numFmtId="178" fontId="15" fillId="35" borderId="18" xfId="90" applyNumberFormat="1" applyFont="1" applyFill="1" applyBorder="1" applyAlignment="1">
      <alignment horizontal="right" vertical="top"/>
    </xf>
    <xf numFmtId="0" fontId="2" fillId="0" borderId="0" xfId="0" applyFont="1"/>
    <xf numFmtId="1" fontId="15" fillId="0" borderId="59" xfId="96" applyNumberFormat="1" applyFont="1" applyBorder="1" applyAlignment="1">
      <alignment horizontal="left" vertical="top" wrapText="1"/>
    </xf>
    <xf numFmtId="178" fontId="15" fillId="0" borderId="18" xfId="96" applyNumberFormat="1" applyFont="1" applyBorder="1" applyAlignment="1">
      <alignment horizontal="right" vertical="top"/>
    </xf>
    <xf numFmtId="0" fontId="15" fillId="0" borderId="18" xfId="96" applyNumberFormat="1" applyFont="1" applyBorder="1" applyAlignment="1">
      <alignment horizontal="right" vertical="top"/>
    </xf>
    <xf numFmtId="0" fontId="15" fillId="0" borderId="42" xfId="96" applyNumberFormat="1" applyFont="1" applyBorder="1" applyAlignment="1">
      <alignment horizontal="right" vertical="top"/>
    </xf>
    <xf numFmtId="0" fontId="15" fillId="0" borderId="59" xfId="96" applyNumberFormat="1" applyFont="1" applyBorder="1" applyAlignment="1">
      <alignment horizontal="left" vertical="top" wrapText="1"/>
    </xf>
    <xf numFmtId="178" fontId="15" fillId="0" borderId="42" xfId="96" applyNumberFormat="1" applyFont="1" applyBorder="1" applyAlignment="1">
      <alignment horizontal="right" vertical="top"/>
    </xf>
    <xf numFmtId="0" fontId="14" fillId="0" borderId="43" xfId="96" applyNumberFormat="1" applyFont="1" applyBorder="1" applyAlignment="1">
      <alignment horizontal="left" vertical="top" wrapText="1"/>
    </xf>
    <xf numFmtId="178" fontId="15" fillId="0" borderId="44" xfId="96" applyNumberFormat="1" applyFont="1" applyBorder="1" applyAlignment="1">
      <alignment horizontal="right" vertical="top"/>
    </xf>
    <xf numFmtId="0" fontId="15" fillId="0" borderId="44" xfId="96" applyNumberFormat="1" applyFont="1" applyBorder="1" applyAlignment="1">
      <alignment horizontal="right" vertical="top"/>
    </xf>
    <xf numFmtId="0" fontId="15" fillId="0" borderId="45" xfId="96" applyNumberFormat="1" applyFont="1" applyBorder="1" applyAlignment="1">
      <alignment horizontal="right" vertical="top"/>
    </xf>
    <xf numFmtId="0" fontId="15" fillId="0" borderId="59" xfId="96" applyNumberFormat="1" applyFont="1" applyBorder="1" applyAlignment="1">
      <alignment horizontal="right" vertical="top"/>
    </xf>
    <xf numFmtId="172" fontId="15" fillId="0" borderId="18" xfId="96" applyNumberFormat="1" applyFont="1" applyBorder="1" applyAlignment="1">
      <alignment horizontal="right" vertical="top"/>
    </xf>
    <xf numFmtId="173" fontId="15" fillId="0" borderId="42" xfId="96" applyNumberFormat="1" applyFont="1" applyBorder="1" applyAlignment="1">
      <alignment horizontal="right" vertical="top"/>
    </xf>
    <xf numFmtId="178" fontId="15" fillId="0" borderId="45" xfId="96" applyNumberFormat="1" applyFont="1" applyBorder="1" applyAlignment="1">
      <alignment horizontal="right" vertical="top"/>
    </xf>
    <xf numFmtId="0" fontId="14" fillId="0" borderId="46" xfId="96" applyNumberFormat="1" applyFont="1" applyBorder="1" applyAlignment="1">
      <alignment horizontal="left" vertical="top" wrapText="1"/>
    </xf>
    <xf numFmtId="0" fontId="15" fillId="0" borderId="25" xfId="96" applyNumberFormat="1" applyFont="1" applyBorder="1" applyAlignment="1">
      <alignment horizontal="right" vertical="top"/>
    </xf>
    <xf numFmtId="172" fontId="15" fillId="0" borderId="25" xfId="96" applyNumberFormat="1" applyFont="1" applyBorder="1" applyAlignment="1">
      <alignment horizontal="right" vertical="top"/>
    </xf>
    <xf numFmtId="173" fontId="15" fillId="0" borderId="47" xfId="96" applyNumberFormat="1" applyFont="1" applyBorder="1" applyAlignment="1">
      <alignment horizontal="right" vertical="top"/>
    </xf>
    <xf numFmtId="0" fontId="14" fillId="0" borderId="40" xfId="96" applyNumberFormat="1" applyFont="1" applyBorder="1" applyAlignment="1">
      <alignment horizontal="left" vertical="top" wrapText="1"/>
    </xf>
    <xf numFmtId="0" fontId="15" fillId="0" borderId="27" xfId="96" applyNumberFormat="1" applyFont="1" applyBorder="1" applyAlignment="1">
      <alignment horizontal="left" vertical="top"/>
    </xf>
    <xf numFmtId="0" fontId="15" fillId="0" borderId="41" xfId="96" applyNumberFormat="1" applyFont="1" applyBorder="1" applyAlignment="1">
      <alignment horizontal="left" vertical="top"/>
    </xf>
    <xf numFmtId="0" fontId="87" fillId="0" borderId="0" xfId="97"/>
    <xf numFmtId="0" fontId="15" fillId="0" borderId="0" xfId="97" applyFont="1" applyAlignment="1">
      <alignment horizontal="left"/>
    </xf>
    <xf numFmtId="0" fontId="24" fillId="0" borderId="50" xfId="97" applyNumberFormat="1" applyFont="1" applyBorder="1" applyAlignment="1">
      <alignment horizontal="center" vertical="center"/>
    </xf>
    <xf numFmtId="0" fontId="97" fillId="24" borderId="92" xfId="97" applyNumberFormat="1" applyFont="1" applyFill="1" applyBorder="1" applyAlignment="1">
      <alignment horizontal="left"/>
    </xf>
    <xf numFmtId="0" fontId="97" fillId="24" borderId="64" xfId="97" applyNumberFormat="1" applyFont="1" applyFill="1" applyBorder="1" applyAlignment="1">
      <alignment horizontal="right"/>
    </xf>
    <xf numFmtId="3" fontId="97" fillId="24" borderId="64" xfId="97" applyNumberFormat="1" applyFont="1" applyFill="1" applyBorder="1" applyAlignment="1">
      <alignment horizontal="right"/>
    </xf>
    <xf numFmtId="1" fontId="97" fillId="0" borderId="24" xfId="97" applyNumberFormat="1" applyFont="1" applyBorder="1" applyAlignment="1">
      <alignment horizontal="left"/>
    </xf>
    <xf numFmtId="3" fontId="97" fillId="0" borderId="26" xfId="97" applyNumberFormat="1" applyFont="1" applyBorder="1" applyAlignment="1">
      <alignment horizontal="right"/>
    </xf>
    <xf numFmtId="0" fontId="97" fillId="0" borderId="26" xfId="97" applyNumberFormat="1" applyFont="1" applyBorder="1" applyAlignment="1">
      <alignment horizontal="right"/>
    </xf>
    <xf numFmtId="3" fontId="97" fillId="41" borderId="26" xfId="97" applyNumberFormat="1" applyFont="1" applyFill="1" applyBorder="1" applyAlignment="1">
      <alignment horizontal="right"/>
    </xf>
    <xf numFmtId="0" fontId="97" fillId="41" borderId="26" xfId="97" applyNumberFormat="1" applyFont="1" applyFill="1" applyBorder="1" applyAlignment="1">
      <alignment horizontal="right"/>
    </xf>
    <xf numFmtId="1" fontId="97" fillId="24" borderId="64" xfId="97" applyNumberFormat="1" applyFont="1" applyFill="1" applyBorder="1" applyAlignment="1">
      <alignment horizontal="right"/>
    </xf>
    <xf numFmtId="1" fontId="97" fillId="41" borderId="26" xfId="97" applyNumberFormat="1" applyFont="1" applyFill="1" applyBorder="1" applyAlignment="1">
      <alignment horizontal="right"/>
    </xf>
    <xf numFmtId="1" fontId="97" fillId="0" borderId="26" xfId="97" applyNumberFormat="1" applyFont="1" applyBorder="1" applyAlignment="1">
      <alignment horizontal="right"/>
    </xf>
    <xf numFmtId="4" fontId="97" fillId="24" borderId="64" xfId="97" applyNumberFormat="1" applyFont="1" applyFill="1" applyBorder="1" applyAlignment="1">
      <alignment horizontal="right"/>
    </xf>
    <xf numFmtId="4" fontId="97" fillId="0" borderId="26" xfId="97" applyNumberFormat="1" applyFont="1" applyBorder="1" applyAlignment="1">
      <alignment horizontal="right"/>
    </xf>
    <xf numFmtId="181" fontId="97" fillId="24" borderId="64" xfId="97" applyNumberFormat="1" applyFont="1" applyFill="1" applyBorder="1" applyAlignment="1">
      <alignment horizontal="right"/>
    </xf>
    <xf numFmtId="4" fontId="97" fillId="41" borderId="26" xfId="97" applyNumberFormat="1" applyFont="1" applyFill="1" applyBorder="1" applyAlignment="1">
      <alignment horizontal="right"/>
    </xf>
    <xf numFmtId="181" fontId="97" fillId="0" borderId="26" xfId="97" applyNumberFormat="1" applyFont="1" applyBorder="1" applyAlignment="1">
      <alignment horizontal="right"/>
    </xf>
    <xf numFmtId="181" fontId="97" fillId="41" borderId="26" xfId="97" applyNumberFormat="1" applyFont="1" applyFill="1" applyBorder="1" applyAlignment="1">
      <alignment horizontal="right"/>
    </xf>
    <xf numFmtId="2" fontId="97" fillId="24" borderId="64" xfId="97" applyNumberFormat="1" applyFont="1" applyFill="1" applyBorder="1" applyAlignment="1">
      <alignment horizontal="right"/>
    </xf>
    <xf numFmtId="2" fontId="97" fillId="41" borderId="26" xfId="97" applyNumberFormat="1" applyFont="1" applyFill="1" applyBorder="1" applyAlignment="1">
      <alignment horizontal="right"/>
    </xf>
    <xf numFmtId="2" fontId="97" fillId="0" borderId="26" xfId="97" applyNumberFormat="1" applyFont="1" applyBorder="1" applyAlignment="1">
      <alignment horizontal="right"/>
    </xf>
    <xf numFmtId="184" fontId="97" fillId="0" borderId="26" xfId="97" applyNumberFormat="1" applyFont="1" applyBorder="1" applyAlignment="1">
      <alignment horizontal="right"/>
    </xf>
    <xf numFmtId="0" fontId="97" fillId="0" borderId="48" xfId="97" applyNumberFormat="1" applyFont="1" applyBorder="1" applyAlignment="1">
      <alignment horizontal="right"/>
    </xf>
    <xf numFmtId="4" fontId="97" fillId="0" borderId="77" xfId="97" applyNumberFormat="1" applyFont="1" applyBorder="1" applyAlignment="1">
      <alignment horizontal="right"/>
    </xf>
    <xf numFmtId="4" fontId="97" fillId="41" borderId="79" xfId="97" applyNumberFormat="1" applyFont="1" applyFill="1" applyBorder="1" applyAlignment="1">
      <alignment horizontal="right"/>
    </xf>
    <xf numFmtId="0" fontId="97" fillId="0" borderId="50" xfId="97" applyNumberFormat="1" applyFont="1" applyBorder="1" applyAlignment="1">
      <alignment horizontal="center"/>
    </xf>
    <xf numFmtId="1" fontId="97" fillId="0" borderId="24" xfId="97" applyNumberFormat="1" applyFont="1" applyBorder="1" applyAlignment="1">
      <alignment horizontal="left" indent="2"/>
    </xf>
    <xf numFmtId="0" fontId="97" fillId="0" borderId="77" xfId="97" applyNumberFormat="1" applyFont="1" applyBorder="1" applyAlignment="1">
      <alignment horizontal="right"/>
    </xf>
    <xf numFmtId="3" fontId="0" fillId="0" borderId="0" xfId="0" applyNumberFormat="1"/>
    <xf numFmtId="1" fontId="0" fillId="0" borderId="0" xfId="0" applyNumberFormat="1"/>
    <xf numFmtId="0" fontId="24" fillId="0" borderId="0" xfId="81" applyNumberFormat="1" applyFont="1" applyAlignment="1">
      <alignment horizontal="centerContinuous" wrapText="1"/>
    </xf>
    <xf numFmtId="0" fontId="87" fillId="0" borderId="0" xfId="81"/>
    <xf numFmtId="0" fontId="14" fillId="0" borderId="0" xfId="81" applyNumberFormat="1" applyFont="1" applyAlignment="1">
      <alignment horizontal="centerContinuous" wrapText="1"/>
    </xf>
    <xf numFmtId="0" fontId="15" fillId="0" borderId="30" xfId="81" applyFont="1" applyBorder="1" applyAlignment="1">
      <alignment horizontal="left"/>
    </xf>
    <xf numFmtId="0" fontId="15" fillId="0" borderId="31" xfId="81" applyFont="1" applyBorder="1" applyAlignment="1">
      <alignment horizontal="left"/>
    </xf>
    <xf numFmtId="0" fontId="15" fillId="0" borderId="32" xfId="81" applyFont="1" applyBorder="1" applyAlignment="1">
      <alignment horizontal="left"/>
    </xf>
    <xf numFmtId="0" fontId="15" fillId="0" borderId="33" xfId="81" applyFont="1" applyBorder="1" applyAlignment="1">
      <alignment horizontal="left"/>
    </xf>
    <xf numFmtId="0" fontId="15" fillId="0" borderId="34" xfId="81" applyFont="1" applyBorder="1" applyAlignment="1">
      <alignment horizontal="left"/>
    </xf>
    <xf numFmtId="0" fontId="15" fillId="0" borderId="52" xfId="81" applyFont="1" applyBorder="1" applyAlignment="1">
      <alignment horizontal="left"/>
    </xf>
    <xf numFmtId="0" fontId="14" fillId="0" borderId="53" xfId="81" applyNumberFormat="1" applyFont="1" applyBorder="1" applyAlignment="1">
      <alignment horizontal="left" vertical="top"/>
    </xf>
    <xf numFmtId="0" fontId="14" fillId="0" borderId="54" xfId="81" applyNumberFormat="1" applyFont="1" applyBorder="1" applyAlignment="1">
      <alignment horizontal="left" vertical="top" wrapText="1"/>
    </xf>
    <xf numFmtId="178" fontId="15" fillId="0" borderId="54" xfId="81" applyNumberFormat="1" applyFont="1" applyBorder="1" applyAlignment="1">
      <alignment horizontal="right" vertical="top"/>
    </xf>
    <xf numFmtId="0" fontId="15" fillId="0" borderId="69" xfId="81" applyNumberFormat="1" applyFont="1" applyBorder="1" applyAlignment="1">
      <alignment horizontal="right" vertical="top"/>
    </xf>
    <xf numFmtId="0" fontId="15" fillId="0" borderId="46" xfId="81" applyNumberFormat="1" applyFont="1" applyBorder="1" applyAlignment="1">
      <alignment horizontal="left" vertical="top" wrapText="1"/>
    </xf>
    <xf numFmtId="0" fontId="15" fillId="0" borderId="25" xfId="81" applyNumberFormat="1" applyFont="1" applyBorder="1" applyAlignment="1">
      <alignment horizontal="left" vertical="top" wrapText="1"/>
    </xf>
    <xf numFmtId="178" fontId="15" fillId="0" borderId="25" xfId="81" applyNumberFormat="1" applyFont="1" applyBorder="1" applyAlignment="1">
      <alignment horizontal="right" vertical="top"/>
    </xf>
    <xf numFmtId="0" fontId="15" fillId="0" borderId="47" xfId="81" applyNumberFormat="1" applyFont="1" applyBorder="1" applyAlignment="1">
      <alignment horizontal="right" vertical="top"/>
    </xf>
    <xf numFmtId="0" fontId="15" fillId="0" borderId="59" xfId="81" applyNumberFormat="1" applyFont="1" applyBorder="1" applyAlignment="1">
      <alignment horizontal="left" vertical="top" wrapText="1"/>
    </xf>
    <xf numFmtId="1" fontId="15" fillId="0" borderId="16" xfId="81" applyNumberFormat="1" applyFont="1" applyBorder="1" applyAlignment="1">
      <alignment horizontal="left" vertical="top" wrapText="1"/>
    </xf>
    <xf numFmtId="0" fontId="15" fillId="0" borderId="18" xfId="81" applyNumberFormat="1" applyFont="1" applyBorder="1" applyAlignment="1">
      <alignment horizontal="right" vertical="top"/>
    </xf>
    <xf numFmtId="178" fontId="15" fillId="0" borderId="42" xfId="81" applyNumberFormat="1" applyFont="1" applyBorder="1" applyAlignment="1">
      <alignment horizontal="right" vertical="top"/>
    </xf>
    <xf numFmtId="0" fontId="15" fillId="0" borderId="16" xfId="81" applyNumberFormat="1" applyFont="1" applyBorder="1" applyAlignment="1">
      <alignment horizontal="left" vertical="top" wrapText="1"/>
    </xf>
    <xf numFmtId="0" fontId="15" fillId="0" borderId="42" xfId="81" applyNumberFormat="1" applyFont="1" applyBorder="1" applyAlignment="1">
      <alignment horizontal="right" vertical="top"/>
    </xf>
    <xf numFmtId="0" fontId="15" fillId="0" borderId="43" xfId="81" applyNumberFormat="1" applyFont="1" applyBorder="1" applyAlignment="1">
      <alignment horizontal="left" vertical="top" wrapText="1"/>
    </xf>
    <xf numFmtId="0" fontId="15" fillId="0" borderId="44" xfId="81" applyNumberFormat="1" applyFont="1" applyBorder="1" applyAlignment="1">
      <alignment horizontal="left" vertical="top" wrapText="1"/>
    </xf>
    <xf numFmtId="178" fontId="15" fillId="0" borderId="44" xfId="81" applyNumberFormat="1" applyFont="1" applyBorder="1" applyAlignment="1">
      <alignment horizontal="right" vertical="top"/>
    </xf>
    <xf numFmtId="178" fontId="15" fillId="0" borderId="45" xfId="81" applyNumberFormat="1" applyFont="1" applyBorder="1" applyAlignment="1">
      <alignment horizontal="right" vertical="top"/>
    </xf>
    <xf numFmtId="0" fontId="14" fillId="0" borderId="30" xfId="81" applyNumberFormat="1" applyFont="1" applyBorder="1" applyAlignment="1">
      <alignment horizontal="left" vertical="top"/>
    </xf>
    <xf numFmtId="0" fontId="14" fillId="0" borderId="35" xfId="81" applyNumberFormat="1" applyFont="1" applyBorder="1" applyAlignment="1">
      <alignment horizontal="left" vertical="top" wrapText="1"/>
    </xf>
    <xf numFmtId="178" fontId="15" fillId="0" borderId="35" xfId="81" applyNumberFormat="1" applyFont="1" applyBorder="1" applyAlignment="1">
      <alignment horizontal="right" vertical="top"/>
    </xf>
    <xf numFmtId="178" fontId="15" fillId="0" borderId="73" xfId="81" applyNumberFormat="1" applyFont="1" applyBorder="1" applyAlignment="1">
      <alignment horizontal="right" vertical="top"/>
    </xf>
    <xf numFmtId="0" fontId="14" fillId="0" borderId="33" xfId="81" applyNumberFormat="1" applyFont="1" applyBorder="1" applyAlignment="1">
      <alignment horizontal="left" vertical="top"/>
    </xf>
    <xf numFmtId="0" fontId="14" fillId="0" borderId="36" xfId="81" applyNumberFormat="1" applyFont="1" applyBorder="1" applyAlignment="1">
      <alignment horizontal="left" vertical="top" wrapText="1"/>
    </xf>
    <xf numFmtId="178" fontId="15" fillId="0" borderId="36" xfId="81" applyNumberFormat="1" applyFont="1" applyBorder="1" applyAlignment="1">
      <alignment horizontal="right" vertical="top"/>
    </xf>
    <xf numFmtId="0" fontId="15" fillId="0" borderId="84" xfId="81" applyNumberFormat="1" applyFont="1" applyBorder="1" applyAlignment="1">
      <alignment horizontal="right" vertical="top"/>
    </xf>
    <xf numFmtId="0" fontId="18" fillId="0" borderId="24" xfId="81" applyNumberFormat="1" applyFont="1" applyBorder="1" applyAlignment="1">
      <alignment horizontal="center"/>
    </xf>
    <xf numFmtId="0" fontId="87" fillId="0" borderId="24" xfId="81" applyFont="1" applyBorder="1" applyAlignment="1">
      <alignment horizontal="left"/>
    </xf>
    <xf numFmtId="4" fontId="87" fillId="0" borderId="24" xfId="81" applyNumberFormat="1" applyFont="1" applyBorder="1" applyAlignment="1">
      <alignment horizontal="right"/>
    </xf>
    <xf numFmtId="0" fontId="87" fillId="0" borderId="24" xfId="81" applyNumberFormat="1" applyFont="1" applyBorder="1" applyAlignment="1">
      <alignment horizontal="right"/>
    </xf>
    <xf numFmtId="3" fontId="87" fillId="0" borderId="24" xfId="81" applyNumberFormat="1" applyFont="1" applyBorder="1" applyAlignment="1">
      <alignment horizontal="right"/>
    </xf>
    <xf numFmtId="0" fontId="15" fillId="0" borderId="0" xfId="0" applyFont="1" applyFill="1" applyAlignment="1">
      <alignment horizontal="left"/>
    </xf>
    <xf numFmtId="0" fontId="0" fillId="0" borderId="0" xfId="0" applyFill="1"/>
    <xf numFmtId="178" fontId="15" fillId="0" borderId="0" xfId="80" applyNumberFormat="1" applyFont="1" applyFill="1" applyBorder="1" applyAlignment="1">
      <alignment horizontal="right" vertical="top" wrapText="1"/>
    </xf>
    <xf numFmtId="178" fontId="15" fillId="0" borderId="0" xfId="8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 vertical="center"/>
    </xf>
    <xf numFmtId="3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8" fillId="0" borderId="0" xfId="0" applyNumberFormat="1" applyFont="1" applyFill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0" fontId="15" fillId="0" borderId="77" xfId="72" applyNumberFormat="1" applyFont="1" applyBorder="1" applyAlignment="1">
      <alignment horizontal="right" vertical="top"/>
    </xf>
    <xf numFmtId="178" fontId="15" fillId="0" borderId="45" xfId="72" applyNumberFormat="1" applyFont="1" applyBorder="1" applyAlignment="1">
      <alignment horizontal="right" vertical="top"/>
    </xf>
    <xf numFmtId="178" fontId="15" fillId="0" borderId="67" xfId="72" applyNumberFormat="1" applyFont="1" applyBorder="1" applyAlignment="1">
      <alignment horizontal="right" vertical="top"/>
    </xf>
    <xf numFmtId="178" fontId="15" fillId="42" borderId="18" xfId="72" applyNumberFormat="1" applyFont="1" applyFill="1" applyBorder="1" applyAlignment="1">
      <alignment horizontal="right" vertical="top"/>
    </xf>
    <xf numFmtId="178" fontId="15" fillId="42" borderId="44" xfId="72" applyNumberFormat="1" applyFont="1" applyFill="1" applyBorder="1" applyAlignment="1">
      <alignment horizontal="right" vertical="top"/>
    </xf>
    <xf numFmtId="0" fontId="12" fillId="0" borderId="0" xfId="0" applyFont="1" applyBorder="1" applyAlignment="1">
      <alignment horizontal="center" wrapText="1"/>
    </xf>
    <xf numFmtId="165" fontId="15" fillId="0" borderId="0" xfId="0" applyNumberFormat="1" applyFont="1" applyBorder="1" applyAlignment="1">
      <alignment horizontal="center"/>
    </xf>
    <xf numFmtId="165" fontId="101" fillId="0" borderId="0" xfId="0" applyNumberFormat="1" applyFont="1" applyBorder="1"/>
    <xf numFmtId="165" fontId="15" fillId="0" borderId="0" xfId="0" applyNumberFormat="1" applyFont="1" applyBorder="1"/>
    <xf numFmtId="171" fontId="15" fillId="0" borderId="18" xfId="217" applyNumberFormat="1" applyFont="1" applyBorder="1" applyAlignment="1">
      <alignment horizontal="right" vertical="top"/>
    </xf>
    <xf numFmtId="0" fontId="15" fillId="0" borderId="0" xfId="217" applyNumberFormat="1" applyFont="1" applyBorder="1" applyAlignment="1">
      <alignment horizontal="right" vertical="top"/>
    </xf>
    <xf numFmtId="178" fontId="15" fillId="0" borderId="18" xfId="217" applyNumberFormat="1" applyFont="1" applyBorder="1" applyAlignment="1">
      <alignment horizontal="right" vertical="top"/>
    </xf>
    <xf numFmtId="0" fontId="15" fillId="0" borderId="3" xfId="102" applyNumberFormat="1" applyFont="1" applyFill="1" applyBorder="1" applyAlignment="1">
      <alignment horizontal="right" vertical="top"/>
    </xf>
    <xf numFmtId="0" fontId="0" fillId="0" borderId="17" xfId="0" applyBorder="1"/>
    <xf numFmtId="178" fontId="15" fillId="0" borderId="80" xfId="217" applyNumberFormat="1" applyFont="1" applyBorder="1" applyAlignment="1">
      <alignment horizontal="right" vertical="top"/>
    </xf>
    <xf numFmtId="0" fontId="15" fillId="0" borderId="3" xfId="217" applyNumberFormat="1" applyFont="1" applyBorder="1" applyAlignment="1">
      <alignment horizontal="right" vertical="top"/>
    </xf>
    <xf numFmtId="178" fontId="15" fillId="0" borderId="0" xfId="217" applyNumberFormat="1" applyFont="1" applyFill="1" applyBorder="1" applyAlignment="1">
      <alignment horizontal="right" vertical="top"/>
    </xf>
    <xf numFmtId="175" fontId="129" fillId="0" borderId="17" xfId="98" applyNumberFormat="1" applyFill="1" applyBorder="1"/>
    <xf numFmtId="0" fontId="129" fillId="0" borderId="0" xfId="98"/>
    <xf numFmtId="185" fontId="129" fillId="0" borderId="0" xfId="98" applyNumberFormat="1"/>
    <xf numFmtId="0" fontId="14" fillId="0" borderId="89" xfId="102" applyNumberFormat="1" applyFont="1" applyBorder="1" applyAlignment="1">
      <alignment horizontal="left" vertical="top"/>
    </xf>
    <xf numFmtId="0" fontId="15" fillId="0" borderId="30" xfId="104" applyFont="1" applyBorder="1" applyAlignment="1">
      <alignment horizontal="left"/>
    </xf>
    <xf numFmtId="0" fontId="15" fillId="0" borderId="31" xfId="104" applyFont="1" applyBorder="1" applyAlignment="1">
      <alignment horizontal="left"/>
    </xf>
    <xf numFmtId="0" fontId="15" fillId="0" borderId="32" xfId="104" applyFont="1" applyBorder="1" applyAlignment="1">
      <alignment horizontal="left"/>
    </xf>
    <xf numFmtId="0" fontId="15" fillId="0" borderId="33" xfId="104" applyFont="1" applyBorder="1" applyAlignment="1">
      <alignment horizontal="left"/>
    </xf>
    <xf numFmtId="0" fontId="15" fillId="0" borderId="34" xfId="104" applyFont="1" applyBorder="1" applyAlignment="1">
      <alignment horizontal="left"/>
    </xf>
    <xf numFmtId="0" fontId="15" fillId="0" borderId="52" xfId="104" applyFont="1" applyBorder="1" applyAlignment="1">
      <alignment horizontal="left"/>
    </xf>
    <xf numFmtId="0" fontId="14" fillId="0" borderId="58" xfId="104" applyNumberFormat="1" applyFont="1" applyBorder="1" applyAlignment="1">
      <alignment horizontal="left" vertical="top" wrapText="1"/>
    </xf>
    <xf numFmtId="1" fontId="15" fillId="0" borderId="59" xfId="104" applyNumberFormat="1" applyFont="1" applyBorder="1" applyAlignment="1">
      <alignment horizontal="left" vertical="top" wrapText="1"/>
    </xf>
    <xf numFmtId="0" fontId="14" fillId="0" borderId="89" xfId="104" applyNumberFormat="1" applyFont="1" applyBorder="1" applyAlignment="1">
      <alignment horizontal="left" vertical="top" wrapText="1"/>
    </xf>
    <xf numFmtId="0" fontId="14" fillId="0" borderId="55" xfId="104" applyNumberFormat="1" applyFont="1" applyBorder="1" applyAlignment="1">
      <alignment horizontal="left" vertical="top" wrapText="1"/>
    </xf>
    <xf numFmtId="3" fontId="129" fillId="0" borderId="0" xfId="98" applyNumberFormat="1"/>
    <xf numFmtId="0" fontId="139" fillId="0" borderId="0" xfId="98" applyFont="1"/>
    <xf numFmtId="0" fontId="130" fillId="0" borderId="0" xfId="98" applyFont="1" applyAlignment="1">
      <alignment horizontal="center"/>
    </xf>
    <xf numFmtId="0" fontId="14" fillId="0" borderId="0" xfId="102" applyNumberFormat="1" applyFont="1" applyAlignment="1">
      <alignment horizontal="left"/>
    </xf>
    <xf numFmtId="1" fontId="15" fillId="0" borderId="59" xfId="102" applyNumberFormat="1" applyFont="1" applyBorder="1" applyAlignment="1">
      <alignment horizontal="left" vertical="top"/>
    </xf>
    <xf numFmtId="0" fontId="15" fillId="0" borderId="59" xfId="102" applyNumberFormat="1" applyFont="1" applyBorder="1" applyAlignment="1">
      <alignment horizontal="left" vertical="top"/>
    </xf>
    <xf numFmtId="0" fontId="14" fillId="0" borderId="55" xfId="102" applyNumberFormat="1" applyFont="1" applyBorder="1" applyAlignment="1">
      <alignment horizontal="left" vertical="top"/>
    </xf>
    <xf numFmtId="0" fontId="129" fillId="0" borderId="0" xfId="98" applyAlignment="1"/>
    <xf numFmtId="0" fontId="15" fillId="0" borderId="54" xfId="104" applyNumberFormat="1" applyFont="1" applyBorder="1" applyAlignment="1">
      <alignment horizontal="right" vertical="top"/>
    </xf>
    <xf numFmtId="0" fontId="15" fillId="0" borderId="69" xfId="104" applyNumberFormat="1" applyFont="1" applyBorder="1" applyAlignment="1">
      <alignment horizontal="right" vertical="top"/>
    </xf>
    <xf numFmtId="0" fontId="15" fillId="0" borderId="18" xfId="104" applyNumberFormat="1" applyFont="1" applyBorder="1" applyAlignment="1">
      <alignment horizontal="right" vertical="top"/>
    </xf>
    <xf numFmtId="178" fontId="15" fillId="0" borderId="42" xfId="104" applyNumberFormat="1" applyFont="1" applyBorder="1" applyAlignment="1">
      <alignment horizontal="right" vertical="top"/>
    </xf>
    <xf numFmtId="0" fontId="15" fillId="0" borderId="59" xfId="104" applyNumberFormat="1" applyFont="1" applyBorder="1" applyAlignment="1">
      <alignment horizontal="left" vertical="top" wrapText="1"/>
    </xf>
    <xf numFmtId="171" fontId="15" fillId="0" borderId="42" xfId="104" applyNumberFormat="1" applyFont="1" applyBorder="1" applyAlignment="1">
      <alignment horizontal="right" vertical="top"/>
    </xf>
    <xf numFmtId="178" fontId="15" fillId="0" borderId="18" xfId="104" applyNumberFormat="1" applyFont="1" applyBorder="1" applyAlignment="1">
      <alignment horizontal="right" vertical="top"/>
    </xf>
    <xf numFmtId="0" fontId="15" fillId="0" borderId="42" xfId="104" applyNumberFormat="1" applyFont="1" applyBorder="1" applyAlignment="1">
      <alignment horizontal="right" vertical="top"/>
    </xf>
    <xf numFmtId="178" fontId="15" fillId="0" borderId="35" xfId="104" applyNumberFormat="1" applyFont="1" applyBorder="1" applyAlignment="1">
      <alignment horizontal="right" vertical="top"/>
    </xf>
    <xf numFmtId="178" fontId="15" fillId="0" borderId="73" xfId="104" applyNumberFormat="1" applyFont="1" applyBorder="1" applyAlignment="1">
      <alignment horizontal="right" vertical="top"/>
    </xf>
    <xf numFmtId="0" fontId="15" fillId="0" borderId="36" xfId="104" applyNumberFormat="1" applyFont="1" applyBorder="1" applyAlignment="1">
      <alignment horizontal="right" vertical="top"/>
    </xf>
    <xf numFmtId="0" fontId="15" fillId="0" borderId="84" xfId="104" applyNumberFormat="1" applyFont="1" applyBorder="1" applyAlignment="1">
      <alignment horizontal="right" vertical="top"/>
    </xf>
    <xf numFmtId="171" fontId="15" fillId="0" borderId="18" xfId="104" applyNumberFormat="1" applyFont="1" applyBorder="1" applyAlignment="1">
      <alignment horizontal="right" vertical="top"/>
    </xf>
    <xf numFmtId="0" fontId="14" fillId="0" borderId="58" xfId="217" applyNumberFormat="1" applyFont="1" applyBorder="1" applyAlignment="1">
      <alignment horizontal="left" vertical="top" wrapText="1"/>
    </xf>
    <xf numFmtId="1" fontId="15" fillId="0" borderId="59" xfId="217" applyNumberFormat="1" applyFont="1" applyBorder="1" applyAlignment="1">
      <alignment horizontal="left" vertical="top" wrapText="1"/>
    </xf>
    <xf numFmtId="0" fontId="14" fillId="0" borderId="89" xfId="217" applyNumberFormat="1" applyFont="1" applyBorder="1" applyAlignment="1">
      <alignment horizontal="left" vertical="top" wrapText="1"/>
    </xf>
    <xf numFmtId="0" fontId="14" fillId="0" borderId="55" xfId="217" applyNumberFormat="1" applyFont="1" applyBorder="1" applyAlignment="1">
      <alignment horizontal="left" vertical="top" wrapText="1"/>
    </xf>
    <xf numFmtId="3" fontId="129" fillId="0" borderId="0" xfId="98" applyNumberFormat="1" applyFill="1"/>
    <xf numFmtId="178" fontId="15" fillId="0" borderId="42" xfId="217" applyNumberFormat="1" applyFont="1" applyFill="1" applyBorder="1" applyAlignment="1">
      <alignment horizontal="right" vertical="top"/>
    </xf>
    <xf numFmtId="178" fontId="15" fillId="0" borderId="18" xfId="217" applyNumberFormat="1" applyFont="1" applyFill="1" applyBorder="1" applyAlignment="1">
      <alignment horizontal="right" vertical="top"/>
    </xf>
    <xf numFmtId="4" fontId="138" fillId="0" borderId="0" xfId="112" applyNumberFormat="1" applyFont="1" applyFill="1" applyAlignment="1"/>
    <xf numFmtId="0" fontId="87" fillId="0" borderId="0" xfId="102" applyFill="1" applyAlignment="1">
      <alignment horizontal="left"/>
    </xf>
    <xf numFmtId="0" fontId="15" fillId="0" borderId="42" xfId="217" applyNumberFormat="1" applyFont="1" applyFill="1" applyBorder="1" applyAlignment="1">
      <alignment horizontal="right" vertical="top"/>
    </xf>
    <xf numFmtId="0" fontId="129" fillId="0" borderId="0" xfId="98" applyFill="1" applyAlignment="1"/>
    <xf numFmtId="0" fontId="14" fillId="0" borderId="0" xfId="102" applyNumberFormat="1" applyFont="1" applyFill="1" applyAlignment="1">
      <alignment horizontal="left"/>
    </xf>
    <xf numFmtId="0" fontId="15" fillId="0" borderId="18" xfId="217" applyNumberFormat="1" applyFont="1" applyFill="1" applyBorder="1" applyAlignment="1">
      <alignment horizontal="right" vertical="top"/>
    </xf>
    <xf numFmtId="178" fontId="15" fillId="0" borderId="35" xfId="102" applyNumberFormat="1" applyFont="1" applyFill="1" applyBorder="1" applyAlignment="1">
      <alignment horizontal="right" vertical="top"/>
    </xf>
    <xf numFmtId="0" fontId="15" fillId="0" borderId="36" xfId="102" applyNumberFormat="1" applyFont="1" applyFill="1" applyBorder="1" applyAlignment="1">
      <alignment horizontal="right" vertical="top"/>
    </xf>
    <xf numFmtId="0" fontId="15" fillId="0" borderId="69" xfId="217" applyNumberFormat="1" applyFont="1" applyFill="1" applyBorder="1" applyAlignment="1">
      <alignment horizontal="right" vertical="top"/>
    </xf>
    <xf numFmtId="178" fontId="15" fillId="0" borderId="73" xfId="217" applyNumberFormat="1" applyFont="1" applyFill="1" applyBorder="1" applyAlignment="1">
      <alignment horizontal="right" vertical="top"/>
    </xf>
    <xf numFmtId="0" fontId="15" fillId="0" borderId="84" xfId="217" applyNumberFormat="1" applyFont="1" applyFill="1" applyBorder="1" applyAlignment="1">
      <alignment horizontal="right" vertical="top"/>
    </xf>
    <xf numFmtId="165" fontId="33" fillId="0" borderId="0" xfId="0" applyNumberFormat="1" applyFont="1" applyBorder="1" applyAlignment="1">
      <alignment wrapText="1"/>
    </xf>
    <xf numFmtId="3" fontId="12" fillId="0" borderId="0" xfId="0" applyNumberFormat="1" applyFont="1" applyFill="1" applyBorder="1" applyAlignment="1">
      <alignment horizontal="center" vertical="center"/>
    </xf>
    <xf numFmtId="165" fontId="35" fillId="0" borderId="0" xfId="0" applyNumberFormat="1" applyFont="1" applyBorder="1" applyAlignment="1">
      <alignment horizontal="center" vertical="top" wrapText="1"/>
    </xf>
    <xf numFmtId="165" fontId="35" fillId="0" borderId="0" xfId="0" applyNumberFormat="1" applyFont="1" applyBorder="1" applyAlignment="1">
      <alignment horizontal="left" vertical="top" wrapText="1"/>
    </xf>
    <xf numFmtId="165" fontId="114" fillId="0" borderId="0" xfId="0" applyNumberFormat="1" applyFont="1" applyBorder="1"/>
    <xf numFmtId="0" fontId="2" fillId="0" borderId="0" xfId="0" applyFont="1" applyFill="1"/>
    <xf numFmtId="4" fontId="129" fillId="0" borderId="17" xfId="98" applyNumberFormat="1" applyFill="1" applyBorder="1"/>
    <xf numFmtId="178" fontId="15" fillId="0" borderId="0" xfId="0" applyNumberFormat="1" applyFont="1" applyBorder="1" applyAlignment="1">
      <alignment horizontal="left" vertical="top"/>
    </xf>
    <xf numFmtId="0" fontId="15" fillId="0" borderId="84" xfId="217" applyNumberFormat="1" applyFont="1" applyBorder="1" applyAlignment="1">
      <alignment horizontal="right" vertical="top"/>
    </xf>
    <xf numFmtId="0" fontId="15" fillId="0" borderId="74" xfId="217" applyNumberFormat="1" applyFont="1" applyBorder="1" applyAlignment="1">
      <alignment horizontal="right" vertical="top"/>
    </xf>
    <xf numFmtId="0" fontId="15" fillId="0" borderId="0" xfId="217" applyNumberFormat="1" applyFont="1" applyFill="1" applyBorder="1" applyAlignment="1">
      <alignment horizontal="right" vertical="top"/>
    </xf>
    <xf numFmtId="0" fontId="129" fillId="0" borderId="17" xfId="98" applyBorder="1"/>
    <xf numFmtId="171" fontId="15" fillId="0" borderId="0" xfId="217" applyNumberFormat="1" applyFont="1" applyBorder="1" applyAlignment="1">
      <alignment horizontal="right" vertical="top"/>
    </xf>
    <xf numFmtId="178" fontId="15" fillId="0" borderId="0" xfId="217" applyNumberFormat="1" applyFont="1" applyBorder="1" applyAlignment="1">
      <alignment horizontal="right" vertical="top"/>
    </xf>
    <xf numFmtId="178" fontId="15" fillId="0" borderId="80" xfId="102" applyNumberFormat="1" applyFont="1" applyFill="1" applyBorder="1" applyAlignment="1">
      <alignment horizontal="right" vertical="top"/>
    </xf>
    <xf numFmtId="178" fontId="129" fillId="0" borderId="17" xfId="98" applyNumberFormat="1" applyFill="1" applyBorder="1"/>
    <xf numFmtId="178" fontId="15" fillId="0" borderId="73" xfId="217" applyNumberFormat="1" applyFont="1" applyBorder="1" applyAlignment="1">
      <alignment horizontal="right" vertical="top"/>
    </xf>
    <xf numFmtId="0" fontId="129" fillId="0" borderId="0" xfId="111"/>
    <xf numFmtId="185" fontId="129" fillId="0" borderId="0" xfId="111" applyNumberFormat="1"/>
    <xf numFmtId="3" fontId="137" fillId="0" borderId="0" xfId="142" applyNumberFormat="1" applyFont="1" applyAlignment="1"/>
    <xf numFmtId="0" fontId="1" fillId="0" borderId="0" xfId="142" applyAlignment="1"/>
    <xf numFmtId="4" fontId="138" fillId="0" borderId="0" xfId="142" applyNumberFormat="1" applyFont="1" applyAlignment="1"/>
    <xf numFmtId="0" fontId="135" fillId="0" borderId="0" xfId="142" applyFont="1" applyAlignment="1">
      <alignment horizontal="left" vertical="top" wrapText="1"/>
    </xf>
    <xf numFmtId="4" fontId="1" fillId="0" borderId="0" xfId="142" applyNumberFormat="1" applyAlignment="1"/>
    <xf numFmtId="4" fontId="135" fillId="0" borderId="0" xfId="142" applyNumberFormat="1" applyFont="1" applyAlignment="1">
      <alignment horizontal="left" vertical="top" wrapText="1"/>
    </xf>
    <xf numFmtId="0" fontId="133" fillId="0" borderId="0" xfId="142" applyFont="1" applyAlignment="1">
      <alignment wrapText="1"/>
    </xf>
    <xf numFmtId="0" fontId="134" fillId="0" borderId="0" xfId="142" applyFont="1" applyAlignment="1">
      <alignment horizontal="center" vertical="top" wrapText="1"/>
    </xf>
    <xf numFmtId="0" fontId="134" fillId="0" borderId="0" xfId="142" applyFont="1" applyAlignment="1">
      <alignment wrapText="1"/>
    </xf>
    <xf numFmtId="0" fontId="134" fillId="0" borderId="0" xfId="142" applyFont="1" applyAlignment="1">
      <alignment horizontal="center" vertical="top"/>
    </xf>
    <xf numFmtId="0" fontId="133" fillId="0" borderId="0" xfId="142" applyFont="1" applyAlignment="1">
      <alignment vertical="top" wrapText="1"/>
    </xf>
    <xf numFmtId="0" fontId="134" fillId="0" borderId="0" xfId="142" applyFont="1" applyAlignment="1">
      <alignment horizontal="left" wrapText="1"/>
    </xf>
    <xf numFmtId="0" fontId="134" fillId="0" borderId="0" xfId="142" applyFont="1" applyBorder="1" applyAlignment="1">
      <alignment vertical="top"/>
    </xf>
    <xf numFmtId="185" fontId="134" fillId="0" borderId="0" xfId="142" applyNumberFormat="1" applyFont="1" applyBorder="1" applyAlignment="1">
      <alignment wrapText="1"/>
    </xf>
    <xf numFmtId="0" fontId="133" fillId="0" borderId="0" xfId="142" applyFont="1" applyAlignment="1">
      <alignment horizontal="left" wrapText="1" indent="1"/>
    </xf>
    <xf numFmtId="0" fontId="133" fillId="0" borderId="0" xfId="142" applyFont="1" applyBorder="1" applyAlignment="1">
      <alignment horizontal="center" vertical="top"/>
    </xf>
    <xf numFmtId="185" fontId="133" fillId="0" borderId="0" xfId="142" applyNumberFormat="1" applyFont="1" applyBorder="1" applyAlignment="1">
      <alignment wrapText="1"/>
    </xf>
    <xf numFmtId="0" fontId="133" fillId="0" borderId="0" xfId="142" applyFont="1" applyBorder="1" applyAlignment="1">
      <alignment horizontal="center"/>
    </xf>
    <xf numFmtId="0" fontId="133" fillId="0" borderId="0" xfId="142" applyFont="1" applyAlignment="1">
      <alignment horizontal="left" wrapText="1"/>
    </xf>
    <xf numFmtId="0" fontId="133" fillId="0" borderId="0" xfId="142" applyFont="1" applyBorder="1" applyAlignment="1">
      <alignment vertical="top"/>
    </xf>
    <xf numFmtId="0" fontId="1" fillId="0" borderId="0" xfId="142"/>
    <xf numFmtId="0" fontId="134" fillId="0" borderId="0" xfId="142" applyFont="1" applyBorder="1" applyAlignment="1"/>
    <xf numFmtId="0" fontId="134" fillId="0" borderId="0" xfId="142" applyFont="1" applyBorder="1" applyAlignment="1">
      <alignment horizontal="center" vertical="top"/>
    </xf>
    <xf numFmtId="185" fontId="134" fillId="0" borderId="0" xfId="142" applyNumberFormat="1" applyFont="1" applyBorder="1" applyAlignment="1">
      <alignment horizontal="center" vertical="top" wrapText="1"/>
    </xf>
    <xf numFmtId="0" fontId="134" fillId="0" borderId="0" xfId="142" applyFont="1" applyBorder="1" applyAlignment="1">
      <alignment horizontal="center"/>
    </xf>
    <xf numFmtId="185" fontId="1" fillId="0" borderId="0" xfId="142" applyNumberFormat="1" applyAlignment="1"/>
    <xf numFmtId="0" fontId="130" fillId="0" borderId="0" xfId="142" applyFont="1" applyAlignment="1"/>
    <xf numFmtId="0" fontId="14" fillId="0" borderId="40" xfId="111" applyNumberFormat="1" applyFont="1" applyBorder="1" applyAlignment="1">
      <alignment horizontal="left" vertical="top" wrapText="1"/>
    </xf>
    <xf numFmtId="0" fontId="15" fillId="0" borderId="27" xfId="111" applyNumberFormat="1" applyFont="1" applyBorder="1" applyAlignment="1">
      <alignment horizontal="left" vertical="top"/>
    </xf>
    <xf numFmtId="1" fontId="15" fillId="0" borderId="59" xfId="111" applyNumberFormat="1" applyFont="1" applyBorder="1" applyAlignment="1">
      <alignment horizontal="left" vertical="top" wrapText="1"/>
    </xf>
    <xf numFmtId="0" fontId="15" fillId="0" borderId="18" xfId="111" applyNumberFormat="1" applyFont="1" applyBorder="1" applyAlignment="1">
      <alignment horizontal="right" vertical="top"/>
    </xf>
    <xf numFmtId="178" fontId="13" fillId="0" borderId="18" xfId="111" applyNumberFormat="1" applyFont="1" applyBorder="1" applyAlignment="1">
      <alignment horizontal="right" vertical="top"/>
    </xf>
    <xf numFmtId="0" fontId="14" fillId="0" borderId="43" xfId="111" applyNumberFormat="1" applyFont="1" applyBorder="1" applyAlignment="1">
      <alignment horizontal="left" vertical="top" wrapText="1"/>
    </xf>
    <xf numFmtId="0" fontId="15" fillId="0" borderId="44" xfId="111" applyNumberFormat="1" applyFont="1" applyBorder="1" applyAlignment="1">
      <alignment horizontal="right" vertical="top"/>
    </xf>
    <xf numFmtId="178" fontId="13" fillId="0" borderId="44" xfId="111" applyNumberFormat="1" applyFont="1" applyBorder="1" applyAlignment="1">
      <alignment horizontal="right" vertical="top"/>
    </xf>
    <xf numFmtId="178" fontId="15" fillId="0" borderId="18" xfId="111" applyNumberFormat="1" applyFont="1" applyBorder="1" applyAlignment="1">
      <alignment horizontal="right" vertical="top"/>
    </xf>
    <xf numFmtId="178" fontId="15" fillId="0" borderId="44" xfId="111" applyNumberFormat="1" applyFont="1" applyBorder="1" applyAlignment="1">
      <alignment horizontal="right" vertical="top"/>
    </xf>
    <xf numFmtId="0" fontId="24" fillId="0" borderId="0" xfId="111" applyNumberFormat="1" applyFont="1" applyAlignment="1">
      <alignment horizontal="centerContinuous" wrapText="1"/>
    </xf>
    <xf numFmtId="0" fontId="14" fillId="0" borderId="0" xfId="111" applyNumberFormat="1" applyFont="1" applyAlignment="1">
      <alignment horizontal="centerContinuous" wrapText="1"/>
    </xf>
    <xf numFmtId="0" fontId="15" fillId="0" borderId="30" xfId="111" applyFont="1" applyBorder="1" applyAlignment="1">
      <alignment horizontal="left"/>
    </xf>
    <xf numFmtId="0" fontId="15" fillId="0" borderId="31" xfId="111" applyFont="1" applyBorder="1" applyAlignment="1">
      <alignment horizontal="left"/>
    </xf>
    <xf numFmtId="0" fontId="15" fillId="0" borderId="33" xfId="111" applyFont="1" applyBorder="1" applyAlignment="1">
      <alignment horizontal="left"/>
    </xf>
    <xf numFmtId="0" fontId="15" fillId="0" borderId="34" xfId="111" applyFont="1" applyBorder="1" applyAlignment="1">
      <alignment horizontal="left"/>
    </xf>
    <xf numFmtId="0" fontId="14" fillId="0" borderId="58" xfId="111" applyNumberFormat="1" applyFont="1" applyBorder="1" applyAlignment="1">
      <alignment horizontal="left" vertical="top" wrapText="1"/>
    </xf>
    <xf numFmtId="3" fontId="13" fillId="0" borderId="54" xfId="111" applyNumberFormat="1" applyFont="1" applyBorder="1" applyAlignment="1">
      <alignment horizontal="right" vertical="top"/>
    </xf>
    <xf numFmtId="3" fontId="13" fillId="0" borderId="69" xfId="111" applyNumberFormat="1" applyFont="1" applyBorder="1" applyAlignment="1">
      <alignment horizontal="right" vertical="top"/>
    </xf>
    <xf numFmtId="3" fontId="136" fillId="0" borderId="0" xfId="111" applyNumberFormat="1" applyFont="1"/>
    <xf numFmtId="3" fontId="13" fillId="0" borderId="18" xfId="111" applyNumberFormat="1" applyFont="1" applyBorder="1" applyAlignment="1">
      <alignment horizontal="right" vertical="top"/>
    </xf>
    <xf numFmtId="0" fontId="15" fillId="0" borderId="59" xfId="111" applyNumberFormat="1" applyFont="1" applyBorder="1" applyAlignment="1">
      <alignment horizontal="left" vertical="top" wrapText="1"/>
    </xf>
    <xf numFmtId="0" fontId="14" fillId="0" borderId="89" xfId="111" applyNumberFormat="1" applyFont="1" applyBorder="1" applyAlignment="1">
      <alignment horizontal="left" vertical="top" wrapText="1"/>
    </xf>
    <xf numFmtId="3" fontId="13" fillId="0" borderId="35" xfId="111" applyNumberFormat="1" applyFont="1" applyBorder="1" applyAlignment="1">
      <alignment horizontal="right" vertical="top"/>
    </xf>
    <xf numFmtId="0" fontId="14" fillId="0" borderId="55" xfId="111" applyNumberFormat="1" applyFont="1" applyBorder="1" applyAlignment="1">
      <alignment horizontal="left" vertical="top" wrapText="1"/>
    </xf>
    <xf numFmtId="3" fontId="13" fillId="0" borderId="36" xfId="111" applyNumberFormat="1" applyFont="1" applyBorder="1" applyAlignment="1">
      <alignment horizontal="right" vertical="top"/>
    </xf>
    <xf numFmtId="0" fontId="24" fillId="0" borderId="0" xfId="113" applyNumberFormat="1" applyFont="1" applyAlignment="1">
      <alignment horizontal="centerContinuous" wrapText="1"/>
    </xf>
    <xf numFmtId="0" fontId="87" fillId="0" borderId="0" xfId="113"/>
    <xf numFmtId="0" fontId="14" fillId="0" borderId="0" xfId="113" applyNumberFormat="1" applyFont="1" applyAlignment="1">
      <alignment horizontal="centerContinuous" wrapText="1"/>
    </xf>
    <xf numFmtId="0" fontId="15" fillId="0" borderId="30" xfId="113" applyFont="1" applyBorder="1" applyAlignment="1">
      <alignment horizontal="left"/>
    </xf>
    <xf numFmtId="0" fontId="15" fillId="0" borderId="31" xfId="113" applyFont="1" applyBorder="1" applyAlignment="1">
      <alignment horizontal="left"/>
    </xf>
    <xf numFmtId="0" fontId="15" fillId="0" borderId="33" xfId="113" applyFont="1" applyBorder="1" applyAlignment="1">
      <alignment horizontal="left"/>
    </xf>
    <xf numFmtId="0" fontId="15" fillId="0" borderId="34" xfId="113" applyFont="1" applyBorder="1" applyAlignment="1">
      <alignment horizontal="left"/>
    </xf>
    <xf numFmtId="0" fontId="14" fillId="0" borderId="58" xfId="113" applyNumberFormat="1" applyFont="1" applyBorder="1" applyAlignment="1">
      <alignment horizontal="left" vertical="top" wrapText="1"/>
    </xf>
    <xf numFmtId="3" fontId="13" fillId="0" borderId="54" xfId="113" applyNumberFormat="1" applyFont="1" applyBorder="1" applyAlignment="1">
      <alignment horizontal="right" vertical="top"/>
    </xf>
    <xf numFmtId="1" fontId="15" fillId="0" borderId="59" xfId="113" applyNumberFormat="1" applyFont="1" applyBorder="1" applyAlignment="1">
      <alignment horizontal="left" vertical="top" wrapText="1"/>
    </xf>
    <xf numFmtId="3" fontId="13" fillId="0" borderId="18" xfId="113" applyNumberFormat="1" applyFont="1" applyBorder="1" applyAlignment="1">
      <alignment horizontal="right" vertical="top"/>
    </xf>
    <xf numFmtId="0" fontId="14" fillId="0" borderId="89" xfId="113" applyNumberFormat="1" applyFont="1" applyBorder="1" applyAlignment="1">
      <alignment horizontal="left" vertical="top" wrapText="1"/>
    </xf>
    <xf numFmtId="3" fontId="13" fillId="0" borderId="35" xfId="113" applyNumberFormat="1" applyFont="1" applyBorder="1" applyAlignment="1">
      <alignment horizontal="right" vertical="top"/>
    </xf>
    <xf numFmtId="0" fontId="14" fillId="0" borderId="55" xfId="113" applyNumberFormat="1" applyFont="1" applyBorder="1" applyAlignment="1">
      <alignment horizontal="left" vertical="top" wrapText="1"/>
    </xf>
    <xf numFmtId="3" fontId="13" fillId="0" borderId="36" xfId="113" applyNumberFormat="1" applyFont="1" applyBorder="1" applyAlignment="1">
      <alignment horizontal="right" vertical="top"/>
    </xf>
    <xf numFmtId="0" fontId="15" fillId="0" borderId="54" xfId="113" applyNumberFormat="1" applyFont="1" applyBorder="1" applyAlignment="1">
      <alignment horizontal="right" vertical="top"/>
    </xf>
    <xf numFmtId="178" fontId="15" fillId="0" borderId="18" xfId="113" applyNumberFormat="1" applyFont="1" applyBorder="1" applyAlignment="1">
      <alignment horizontal="right" vertical="top"/>
    </xf>
    <xf numFmtId="0" fontId="15" fillId="0" borderId="18" xfId="113" applyNumberFormat="1" applyFont="1" applyBorder="1" applyAlignment="1">
      <alignment horizontal="right" vertical="top"/>
    </xf>
    <xf numFmtId="178" fontId="15" fillId="0" borderId="35" xfId="113" applyNumberFormat="1" applyFont="1" applyBorder="1" applyAlignment="1">
      <alignment horizontal="right" vertical="top"/>
    </xf>
    <xf numFmtId="0" fontId="15" fillId="0" borderId="36" xfId="113" applyNumberFormat="1" applyFont="1" applyBorder="1" applyAlignment="1">
      <alignment horizontal="right" vertical="top"/>
    </xf>
    <xf numFmtId="3" fontId="13" fillId="0" borderId="47" xfId="111" applyNumberFormat="1" applyFont="1" applyBorder="1" applyAlignment="1">
      <alignment horizontal="right" vertical="top"/>
    </xf>
    <xf numFmtId="185" fontId="134" fillId="0" borderId="0" xfId="142" applyNumberFormat="1" applyFont="1" applyAlignment="1">
      <alignment horizontal="center" vertical="top" wrapText="1"/>
    </xf>
    <xf numFmtId="185" fontId="133" fillId="0" borderId="0" xfId="142" applyNumberFormat="1" applyFont="1" applyAlignment="1">
      <alignment vertical="top" wrapText="1"/>
    </xf>
    <xf numFmtId="185" fontId="15" fillId="0" borderId="27" xfId="111" applyNumberFormat="1" applyFont="1" applyBorder="1" applyAlignment="1">
      <alignment horizontal="left" vertical="top"/>
    </xf>
    <xf numFmtId="185" fontId="15" fillId="0" borderId="18" xfId="111" applyNumberFormat="1" applyFont="1" applyBorder="1" applyAlignment="1">
      <alignment horizontal="right" vertical="top"/>
    </xf>
    <xf numFmtId="185" fontId="15" fillId="0" borderId="44" xfId="111" applyNumberFormat="1" applyFont="1" applyBorder="1" applyAlignment="1">
      <alignment horizontal="right" vertical="top"/>
    </xf>
    <xf numFmtId="185" fontId="129" fillId="0" borderId="0" xfId="111" applyNumberFormat="1" applyAlignment="1">
      <alignment horizontal="left"/>
    </xf>
    <xf numFmtId="185" fontId="15" fillId="0" borderId="32" xfId="111" applyNumberFormat="1" applyFont="1" applyBorder="1" applyAlignment="1">
      <alignment horizontal="left"/>
    </xf>
    <xf numFmtId="185" fontId="15" fillId="0" borderId="52" xfId="111" applyNumberFormat="1" applyFont="1" applyBorder="1" applyAlignment="1">
      <alignment horizontal="left"/>
    </xf>
    <xf numFmtId="185" fontId="13" fillId="0" borderId="69" xfId="111" applyNumberFormat="1" applyFont="1" applyBorder="1" applyAlignment="1">
      <alignment horizontal="right" vertical="top"/>
    </xf>
    <xf numFmtId="185" fontId="13" fillId="0" borderId="42" xfId="111" applyNumberFormat="1" applyFont="1" applyBorder="1" applyAlignment="1">
      <alignment horizontal="right" vertical="top"/>
    </xf>
    <xf numFmtId="185" fontId="13" fillId="0" borderId="73" xfId="111" applyNumberFormat="1" applyFont="1" applyBorder="1" applyAlignment="1">
      <alignment horizontal="right" vertical="top"/>
    </xf>
    <xf numFmtId="185" fontId="13" fillId="0" borderId="84" xfId="111" applyNumberFormat="1" applyFont="1" applyBorder="1" applyAlignment="1">
      <alignment horizontal="right" vertical="top"/>
    </xf>
    <xf numFmtId="185" fontId="136" fillId="0" borderId="0" xfId="111" applyNumberFormat="1" applyFont="1"/>
    <xf numFmtId="185" fontId="137" fillId="0" borderId="0" xfId="142" applyNumberFormat="1" applyFont="1" applyAlignment="1"/>
    <xf numFmtId="185" fontId="87" fillId="0" borderId="0" xfId="113" applyNumberFormat="1" applyAlignment="1">
      <alignment horizontal="left"/>
    </xf>
    <xf numFmtId="185" fontId="87" fillId="0" borderId="0" xfId="113" applyNumberFormat="1"/>
    <xf numFmtId="185" fontId="15" fillId="0" borderId="32" xfId="113" applyNumberFormat="1" applyFont="1" applyBorder="1" applyAlignment="1">
      <alignment horizontal="left"/>
    </xf>
    <xf numFmtId="185" fontId="15" fillId="0" borderId="52" xfId="113" applyNumberFormat="1" applyFont="1" applyBorder="1" applyAlignment="1">
      <alignment horizontal="left"/>
    </xf>
    <xf numFmtId="185" fontId="13" fillId="0" borderId="69" xfId="113" applyNumberFormat="1" applyFont="1" applyBorder="1" applyAlignment="1">
      <alignment horizontal="right" vertical="top"/>
    </xf>
    <xf numFmtId="185" fontId="13" fillId="0" borderId="42" xfId="113" applyNumberFormat="1" applyFont="1" applyBorder="1" applyAlignment="1">
      <alignment horizontal="right" vertical="top"/>
    </xf>
    <xf numFmtId="185" fontId="13" fillId="0" borderId="73" xfId="113" applyNumberFormat="1" applyFont="1" applyBorder="1" applyAlignment="1">
      <alignment horizontal="right" vertical="top"/>
    </xf>
    <xf numFmtId="185" fontId="13" fillId="0" borderId="84" xfId="113" applyNumberFormat="1" applyFont="1" applyBorder="1" applyAlignment="1">
      <alignment horizontal="right" vertical="top"/>
    </xf>
    <xf numFmtId="185" fontId="15" fillId="0" borderId="69" xfId="113" applyNumberFormat="1" applyFont="1" applyBorder="1" applyAlignment="1">
      <alignment horizontal="right" vertical="top"/>
    </xf>
    <xf numFmtId="185" fontId="15" fillId="0" borderId="42" xfId="113" applyNumberFormat="1" applyFont="1" applyBorder="1" applyAlignment="1">
      <alignment horizontal="right" vertical="top"/>
    </xf>
    <xf numFmtId="185" fontId="15" fillId="0" borderId="73" xfId="113" applyNumberFormat="1" applyFont="1" applyBorder="1" applyAlignment="1">
      <alignment horizontal="right" vertical="top"/>
    </xf>
    <xf numFmtId="185" fontId="15" fillId="0" borderId="84" xfId="113" applyNumberFormat="1" applyFont="1" applyBorder="1" applyAlignment="1">
      <alignment horizontal="right" vertical="top"/>
    </xf>
    <xf numFmtId="185" fontId="13" fillId="0" borderId="54" xfId="111" applyNumberFormat="1" applyFont="1" applyBorder="1" applyAlignment="1">
      <alignment horizontal="right" vertical="top"/>
    </xf>
    <xf numFmtId="185" fontId="13" fillId="0" borderId="25" xfId="111" applyNumberFormat="1" applyFont="1" applyBorder="1" applyAlignment="1">
      <alignment horizontal="right" vertical="top"/>
    </xf>
    <xf numFmtId="0" fontId="138" fillId="0" borderId="0" xfId="142" applyFont="1"/>
    <xf numFmtId="4" fontId="133" fillId="0" borderId="0" xfId="142" applyNumberFormat="1" applyFont="1" applyAlignment="1">
      <alignment horizontal="left" vertical="top" wrapText="1"/>
    </xf>
    <xf numFmtId="0" fontId="138" fillId="0" borderId="0" xfId="142" applyFont="1" applyAlignment="1"/>
    <xf numFmtId="0" fontId="13" fillId="0" borderId="30" xfId="111" applyFont="1" applyBorder="1" applyAlignment="1">
      <alignment horizontal="left"/>
    </xf>
    <xf numFmtId="0" fontId="13" fillId="0" borderId="31" xfId="111" applyFont="1" applyBorder="1" applyAlignment="1">
      <alignment horizontal="left"/>
    </xf>
    <xf numFmtId="185" fontId="13" fillId="0" borderId="32" xfId="111" applyNumberFormat="1" applyFont="1" applyBorder="1" applyAlignment="1">
      <alignment horizontal="left"/>
    </xf>
    <xf numFmtId="0" fontId="136" fillId="0" borderId="0" xfId="111" applyFont="1"/>
    <xf numFmtId="0" fontId="13" fillId="0" borderId="33" xfId="111" applyFont="1" applyBorder="1" applyAlignment="1">
      <alignment horizontal="left"/>
    </xf>
    <xf numFmtId="0" fontId="13" fillId="0" borderId="34" xfId="111" applyFont="1" applyBorder="1" applyAlignment="1">
      <alignment horizontal="left"/>
    </xf>
    <xf numFmtId="185" fontId="13" fillId="0" borderId="52" xfId="111" applyNumberFormat="1" applyFont="1" applyBorder="1" applyAlignment="1">
      <alignment horizontal="left"/>
    </xf>
    <xf numFmtId="0" fontId="97" fillId="0" borderId="58" xfId="111" applyNumberFormat="1" applyFont="1" applyBorder="1" applyAlignment="1">
      <alignment horizontal="left" vertical="top" wrapText="1"/>
    </xf>
    <xf numFmtId="1" fontId="13" fillId="0" borderId="59" xfId="111" applyNumberFormat="1" applyFont="1" applyBorder="1" applyAlignment="1">
      <alignment horizontal="left" vertical="top" wrapText="1"/>
    </xf>
    <xf numFmtId="0" fontId="13" fillId="0" borderId="59" xfId="111" applyNumberFormat="1" applyFont="1" applyBorder="1" applyAlignment="1">
      <alignment horizontal="left" vertical="top" wrapText="1"/>
    </xf>
    <xf numFmtId="0" fontId="97" fillId="0" borderId="89" xfId="111" applyNumberFormat="1" applyFont="1" applyBorder="1" applyAlignment="1">
      <alignment horizontal="left" vertical="top" wrapText="1"/>
    </xf>
    <xf numFmtId="0" fontId="97" fillId="0" borderId="55" xfId="111" applyNumberFormat="1" applyFont="1" applyBorder="1" applyAlignment="1">
      <alignment horizontal="left" vertical="top" wrapText="1"/>
    </xf>
    <xf numFmtId="0" fontId="136" fillId="0" borderId="0" xfId="111" applyFont="1" applyAlignment="1">
      <alignment horizontal="left"/>
    </xf>
    <xf numFmtId="0" fontId="97" fillId="0" borderId="0" xfId="111" applyNumberFormat="1" applyFont="1" applyAlignment="1">
      <alignment horizontal="centerContinuous" wrapText="1"/>
    </xf>
    <xf numFmtId="185" fontId="13" fillId="0" borderId="31" xfId="111" applyNumberFormat="1" applyFont="1" applyBorder="1" applyAlignment="1">
      <alignment horizontal="left"/>
    </xf>
    <xf numFmtId="0" fontId="13" fillId="0" borderId="32" xfId="111" applyFont="1" applyBorder="1" applyAlignment="1">
      <alignment horizontal="left"/>
    </xf>
    <xf numFmtId="185" fontId="13" fillId="0" borderId="34" xfId="111" applyNumberFormat="1" applyFont="1" applyBorder="1" applyAlignment="1">
      <alignment horizontal="left"/>
    </xf>
    <xf numFmtId="0" fontId="13" fillId="0" borderId="52" xfId="111" applyFont="1" applyBorder="1" applyAlignment="1">
      <alignment horizontal="left"/>
    </xf>
    <xf numFmtId="0" fontId="97" fillId="0" borderId="53" xfId="111" applyNumberFormat="1" applyFont="1" applyBorder="1" applyAlignment="1">
      <alignment horizontal="left" vertical="top"/>
    </xf>
    <xf numFmtId="0" fontId="97" fillId="0" borderId="54" xfId="111" applyNumberFormat="1" applyFont="1" applyBorder="1" applyAlignment="1">
      <alignment horizontal="left" vertical="top" wrapText="1"/>
    </xf>
    <xf numFmtId="0" fontId="13" fillId="0" borderId="46" xfId="111" applyNumberFormat="1" applyFont="1" applyBorder="1" applyAlignment="1">
      <alignment horizontal="left" vertical="top" wrapText="1"/>
    </xf>
    <xf numFmtId="0" fontId="13" fillId="0" borderId="25" xfId="111" applyNumberFormat="1" applyFont="1" applyBorder="1" applyAlignment="1">
      <alignment horizontal="left" vertical="top" wrapText="1"/>
    </xf>
    <xf numFmtId="0" fontId="13" fillId="0" borderId="43" xfId="111" applyNumberFormat="1" applyFont="1" applyBorder="1" applyAlignment="1">
      <alignment horizontal="left" vertical="top" wrapText="1"/>
    </xf>
    <xf numFmtId="0" fontId="137" fillId="0" borderId="0" xfId="142" applyFont="1" applyAlignment="1"/>
    <xf numFmtId="0" fontId="132" fillId="0" borderId="0" xfId="111" applyFont="1" applyFill="1" applyBorder="1" applyAlignment="1">
      <alignment vertical="center" wrapText="1"/>
    </xf>
    <xf numFmtId="0" fontId="13" fillId="0" borderId="0" xfId="111" applyNumberFormat="1" applyFont="1" applyAlignment="1">
      <alignment horizontal="left" wrapText="1"/>
    </xf>
    <xf numFmtId="0" fontId="13" fillId="0" borderId="0" xfId="111" applyFont="1" applyAlignment="1">
      <alignment horizontal="left"/>
    </xf>
    <xf numFmtId="0" fontId="15" fillId="0" borderId="32" xfId="113" applyFont="1" applyBorder="1" applyAlignment="1">
      <alignment horizontal="left"/>
    </xf>
    <xf numFmtId="0" fontId="15" fillId="0" borderId="52" xfId="113" applyFont="1" applyBorder="1" applyAlignment="1">
      <alignment horizontal="left"/>
    </xf>
    <xf numFmtId="178" fontId="15" fillId="0" borderId="54" xfId="113" applyNumberFormat="1" applyFont="1" applyBorder="1" applyAlignment="1">
      <alignment horizontal="right" vertical="top"/>
    </xf>
    <xf numFmtId="0" fontId="15" fillId="0" borderId="69" xfId="113" applyNumberFormat="1" applyFont="1" applyBorder="1" applyAlignment="1">
      <alignment horizontal="right" vertical="top"/>
    </xf>
    <xf numFmtId="178" fontId="15" fillId="0" borderId="42" xfId="113" applyNumberFormat="1" applyFont="1" applyBorder="1" applyAlignment="1">
      <alignment horizontal="right" vertical="top"/>
    </xf>
    <xf numFmtId="0" fontId="15" fillId="0" borderId="59" xfId="113" applyNumberFormat="1" applyFont="1" applyBorder="1" applyAlignment="1">
      <alignment horizontal="left" vertical="top" wrapText="1"/>
    </xf>
    <xf numFmtId="0" fontId="15" fillId="0" borderId="42" xfId="113" applyNumberFormat="1" applyFont="1" applyBorder="1" applyAlignment="1">
      <alignment horizontal="right" vertical="top"/>
    </xf>
    <xf numFmtId="171" fontId="15" fillId="0" borderId="42" xfId="113" applyNumberFormat="1" applyFont="1" applyBorder="1" applyAlignment="1">
      <alignment horizontal="right" vertical="top"/>
    </xf>
    <xf numFmtId="178" fontId="15" fillId="0" borderId="73" xfId="113" applyNumberFormat="1" applyFont="1" applyBorder="1" applyAlignment="1">
      <alignment horizontal="right" vertical="top"/>
    </xf>
    <xf numFmtId="178" fontId="15" fillId="0" borderId="36" xfId="113" applyNumberFormat="1" applyFont="1" applyBorder="1" applyAlignment="1">
      <alignment horizontal="right" vertical="top"/>
    </xf>
    <xf numFmtId="0" fontId="15" fillId="0" borderId="84" xfId="113" applyNumberFormat="1" applyFont="1" applyBorder="1" applyAlignment="1">
      <alignment horizontal="right" vertical="top"/>
    </xf>
    <xf numFmtId="1" fontId="15" fillId="0" borderId="16" xfId="113" applyNumberFormat="1" applyFont="1" applyBorder="1" applyAlignment="1">
      <alignment horizontal="left" vertical="top" wrapText="1"/>
    </xf>
    <xf numFmtId="0" fontId="15" fillId="0" borderId="16" xfId="113" applyNumberFormat="1" applyFont="1" applyBorder="1" applyAlignment="1">
      <alignment horizontal="left" vertical="top" wrapText="1"/>
    </xf>
    <xf numFmtId="0" fontId="15" fillId="0" borderId="44" xfId="113" applyNumberFormat="1" applyFont="1" applyBorder="1" applyAlignment="1">
      <alignment horizontal="left" vertical="top" wrapText="1"/>
    </xf>
    <xf numFmtId="178" fontId="15" fillId="0" borderId="44" xfId="113" applyNumberFormat="1" applyFont="1" applyBorder="1" applyAlignment="1">
      <alignment horizontal="right" vertical="top"/>
    </xf>
    <xf numFmtId="178" fontId="15" fillId="0" borderId="45" xfId="113" applyNumberFormat="1" applyFont="1" applyBorder="1" applyAlignment="1">
      <alignment horizontal="right" vertical="top"/>
    </xf>
    <xf numFmtId="0" fontId="15" fillId="0" borderId="25" xfId="113" applyNumberFormat="1" applyFont="1" applyBorder="1" applyAlignment="1">
      <alignment horizontal="left" vertical="top" wrapText="1"/>
    </xf>
    <xf numFmtId="178" fontId="15" fillId="0" borderId="25" xfId="113" applyNumberFormat="1" applyFont="1" applyBorder="1" applyAlignment="1">
      <alignment horizontal="right" vertical="top"/>
    </xf>
    <xf numFmtId="0" fontId="15" fillId="0" borderId="47" xfId="113" applyNumberFormat="1" applyFont="1" applyBorder="1" applyAlignment="1">
      <alignment horizontal="right" vertical="top"/>
    </xf>
    <xf numFmtId="0" fontId="14" fillId="0" borderId="35" xfId="113" applyNumberFormat="1" applyFont="1" applyBorder="1" applyAlignment="1">
      <alignment horizontal="left" vertical="top" wrapText="1"/>
    </xf>
    <xf numFmtId="0" fontId="14" fillId="0" borderId="36" xfId="113" applyNumberFormat="1" applyFont="1" applyBorder="1" applyAlignment="1">
      <alignment horizontal="left" vertical="top" wrapText="1"/>
    </xf>
    <xf numFmtId="0" fontId="24" fillId="0" borderId="0" xfId="217" applyNumberFormat="1" applyFont="1" applyAlignment="1">
      <alignment horizontal="centerContinuous" wrapText="1"/>
    </xf>
    <xf numFmtId="0" fontId="87" fillId="0" borderId="0" xfId="217"/>
    <xf numFmtId="0" fontId="14" fillId="0" borderId="0" xfId="217" applyNumberFormat="1" applyFont="1" applyAlignment="1">
      <alignment horizontal="centerContinuous" wrapText="1"/>
    </xf>
    <xf numFmtId="0" fontId="15" fillId="0" borderId="30" xfId="217" applyFont="1" applyBorder="1" applyAlignment="1">
      <alignment horizontal="left"/>
    </xf>
    <xf numFmtId="0" fontId="15" fillId="0" borderId="31" xfId="217" applyFont="1" applyBorder="1" applyAlignment="1">
      <alignment horizontal="left"/>
    </xf>
    <xf numFmtId="0" fontId="15" fillId="0" borderId="33" xfId="217" applyFont="1" applyBorder="1" applyAlignment="1">
      <alignment horizontal="left"/>
    </xf>
    <xf numFmtId="0" fontId="15" fillId="0" borderId="34" xfId="217" applyFont="1" applyBorder="1" applyAlignment="1">
      <alignment horizontal="left"/>
    </xf>
    <xf numFmtId="0" fontId="14" fillId="0" borderId="58" xfId="217" applyNumberFormat="1" applyFont="1" applyBorder="1" applyAlignment="1">
      <alignment horizontal="left" vertical="top" wrapText="1"/>
    </xf>
    <xf numFmtId="0" fontId="15" fillId="0" borderId="54" xfId="217" applyNumberFormat="1" applyFont="1" applyBorder="1" applyAlignment="1">
      <alignment horizontal="right" vertical="top"/>
    </xf>
    <xf numFmtId="1" fontId="15" fillId="0" borderId="59" xfId="217" applyNumberFormat="1" applyFont="1" applyBorder="1" applyAlignment="1">
      <alignment horizontal="left" vertical="top" wrapText="1"/>
    </xf>
    <xf numFmtId="0" fontId="15" fillId="0" borderId="18" xfId="217" applyNumberFormat="1" applyFont="1" applyBorder="1" applyAlignment="1">
      <alignment horizontal="right" vertical="top"/>
    </xf>
    <xf numFmtId="0" fontId="14" fillId="0" borderId="89" xfId="217" applyNumberFormat="1" applyFont="1" applyBorder="1" applyAlignment="1">
      <alignment horizontal="left" vertical="top" wrapText="1"/>
    </xf>
    <xf numFmtId="178" fontId="15" fillId="0" borderId="35" xfId="217" applyNumberFormat="1" applyFont="1" applyBorder="1" applyAlignment="1">
      <alignment horizontal="right" vertical="top"/>
    </xf>
    <xf numFmtId="0" fontId="14" fillId="0" borderId="55" xfId="217" applyNumberFormat="1" applyFont="1" applyBorder="1" applyAlignment="1">
      <alignment horizontal="left" vertical="top" wrapText="1"/>
    </xf>
    <xf numFmtId="0" fontId="15" fillId="0" borderId="36" xfId="217" applyNumberFormat="1" applyFont="1" applyBorder="1" applyAlignment="1">
      <alignment horizontal="right" vertical="top"/>
    </xf>
    <xf numFmtId="4" fontId="138" fillId="0" borderId="0" xfId="142" applyNumberFormat="1" applyFont="1" applyFill="1" applyAlignment="1"/>
    <xf numFmtId="178" fontId="15" fillId="0" borderId="0" xfId="111" applyNumberFormat="1" applyFont="1" applyBorder="1" applyAlignment="1">
      <alignment horizontal="right" vertical="top"/>
    </xf>
    <xf numFmtId="0" fontId="1" fillId="0" borderId="0" xfId="142" applyBorder="1" applyAlignment="1"/>
    <xf numFmtId="178" fontId="1" fillId="0" borderId="0" xfId="142" applyNumberFormat="1" applyBorder="1" applyAlignment="1"/>
    <xf numFmtId="185" fontId="140" fillId="0" borderId="0" xfId="142" applyNumberFormat="1" applyFont="1" applyBorder="1" applyAlignment="1">
      <alignment wrapText="1"/>
    </xf>
    <xf numFmtId="181" fontId="137" fillId="0" borderId="0" xfId="142" applyNumberFormat="1" applyFont="1" applyAlignment="1"/>
    <xf numFmtId="181" fontId="141" fillId="0" borderId="0" xfId="111" applyNumberFormat="1" applyFont="1" applyFill="1" applyBorder="1" applyAlignment="1">
      <alignment vertical="center" textRotation="90" wrapText="1"/>
    </xf>
    <xf numFmtId="181" fontId="1" fillId="47" borderId="0" xfId="142" applyNumberFormat="1" applyFont="1" applyFill="1" applyAlignment="1">
      <alignment horizontal="center" vertical="center"/>
    </xf>
    <xf numFmtId="4" fontId="138" fillId="31" borderId="0" xfId="142" applyNumberFormat="1" applyFont="1" applyFill="1" applyAlignment="1"/>
    <xf numFmtId="175" fontId="129" fillId="0" borderId="17" xfId="98" applyNumberFormat="1" applyBorder="1"/>
    <xf numFmtId="175" fontId="0" fillId="0" borderId="17" xfId="0" applyNumberFormat="1" applyBorder="1"/>
    <xf numFmtId="178" fontId="0" fillId="0" borderId="17" xfId="0" applyNumberFormat="1" applyBorder="1"/>
    <xf numFmtId="178" fontId="129" fillId="0" borderId="17" xfId="98" applyNumberFormat="1" applyBorder="1"/>
    <xf numFmtId="171" fontId="15" fillId="0" borderId="17" xfId="217" applyNumberFormat="1" applyFont="1" applyFill="1" applyBorder="1" applyAlignment="1">
      <alignment horizontal="right" vertical="top"/>
    </xf>
    <xf numFmtId="178" fontId="15" fillId="0" borderId="17" xfId="217" applyNumberFormat="1" applyFont="1" applyFill="1" applyBorder="1" applyAlignment="1">
      <alignment horizontal="right" vertical="top"/>
    </xf>
    <xf numFmtId="0" fontId="15" fillId="0" borderId="59" xfId="217" applyNumberFormat="1" applyFont="1" applyBorder="1" applyAlignment="1">
      <alignment horizontal="left" vertical="top" wrapText="1"/>
    </xf>
    <xf numFmtId="178" fontId="15" fillId="0" borderId="42" xfId="217" applyNumberFormat="1" applyFont="1" applyBorder="1" applyAlignment="1">
      <alignment horizontal="right" vertical="top"/>
    </xf>
    <xf numFmtId="0" fontId="15" fillId="0" borderId="69" xfId="217" applyNumberFormat="1" applyFont="1" applyBorder="1" applyAlignment="1">
      <alignment horizontal="right" vertical="top"/>
    </xf>
    <xf numFmtId="0" fontId="15" fillId="0" borderId="52" xfId="217" applyFont="1" applyBorder="1" applyAlignment="1">
      <alignment horizontal="left"/>
    </xf>
    <xf numFmtId="0" fontId="15" fillId="0" borderId="32" xfId="217" applyFont="1" applyBorder="1" applyAlignment="1">
      <alignment horizontal="left"/>
    </xf>
    <xf numFmtId="0" fontId="15" fillId="0" borderId="42" xfId="217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left" wrapText="1"/>
    </xf>
    <xf numFmtId="165" fontId="33" fillId="0" borderId="0" xfId="0" applyNumberFormat="1" applyFont="1" applyBorder="1" applyAlignment="1">
      <alignment horizontal="left" wrapText="1"/>
    </xf>
    <xf numFmtId="0" fontId="15" fillId="0" borderId="0" xfId="71" applyNumberFormat="1" applyFont="1" applyBorder="1" applyAlignment="1">
      <alignment vertical="top" wrapText="1"/>
    </xf>
    <xf numFmtId="0" fontId="142" fillId="0" borderId="93" xfId="0" applyFont="1" applyFill="1" applyBorder="1" applyAlignment="1">
      <alignment horizontal="center" wrapText="1"/>
    </xf>
    <xf numFmtId="0" fontId="142" fillId="48" borderId="93" xfId="0" applyFont="1" applyFill="1" applyBorder="1" applyAlignment="1">
      <alignment horizontal="center" wrapText="1"/>
    </xf>
    <xf numFmtId="0" fontId="31" fillId="0" borderId="0" xfId="0" applyFont="1" applyBorder="1"/>
    <xf numFmtId="0" fontId="7" fillId="0" borderId="0" xfId="0" applyFont="1" applyBorder="1"/>
    <xf numFmtId="0" fontId="31" fillId="0" borderId="0" xfId="0" applyFont="1" applyAlignment="1">
      <alignment wrapText="1"/>
    </xf>
    <xf numFmtId="3" fontId="7" fillId="0" borderId="0" xfId="0" applyNumberFormat="1" applyFont="1" applyFill="1"/>
    <xf numFmtId="0" fontId="142" fillId="48" borderId="0" xfId="0" applyFont="1" applyFill="1" applyAlignment="1">
      <alignment horizontal="left" vertical="center" wrapText="1"/>
    </xf>
    <xf numFmtId="0" fontId="142" fillId="48" borderId="0" xfId="0" applyFont="1" applyFill="1" applyAlignment="1">
      <alignment horizontal="center" vertical="center" wrapText="1"/>
    </xf>
    <xf numFmtId="0" fontId="144" fillId="0" borderId="0" xfId="0" applyFont="1" applyAlignment="1">
      <alignment wrapText="1"/>
    </xf>
    <xf numFmtId="170" fontId="19" fillId="0" borderId="0" xfId="0" applyNumberFormat="1" applyFont="1" applyAlignment="1">
      <alignment horizontal="right"/>
    </xf>
    <xf numFmtId="0" fontId="145" fillId="0" borderId="0" xfId="0" applyFont="1" applyAlignment="1">
      <alignment horizontal="center" wrapText="1"/>
    </xf>
    <xf numFmtId="0" fontId="145" fillId="0" borderId="0" xfId="0" applyFont="1" applyAlignment="1">
      <alignment horizontal="center" vertical="top"/>
    </xf>
    <xf numFmtId="170" fontId="144" fillId="0" borderId="0" xfId="0" applyNumberFormat="1" applyFont="1" applyAlignment="1">
      <alignment horizontal="right"/>
    </xf>
    <xf numFmtId="170" fontId="144" fillId="0" borderId="0" xfId="0" applyNumberFormat="1" applyFont="1" applyAlignment="1"/>
    <xf numFmtId="170" fontId="144" fillId="0" borderId="0" xfId="0" applyNumberFormat="1" applyFont="1" applyFill="1" applyAlignment="1">
      <alignment horizontal="right"/>
    </xf>
    <xf numFmtId="0" fontId="144" fillId="0" borderId="0" xfId="0" applyFont="1" applyAlignment="1">
      <alignment horizontal="center"/>
    </xf>
    <xf numFmtId="170" fontId="144" fillId="0" borderId="0" xfId="0" applyNumberFormat="1" applyFont="1" applyFill="1" applyAlignment="1"/>
    <xf numFmtId="165" fontId="144" fillId="0" borderId="24" xfId="0" applyNumberFormat="1" applyFont="1" applyFill="1" applyBorder="1" applyAlignment="1">
      <alignment horizontal="right"/>
    </xf>
    <xf numFmtId="165" fontId="144" fillId="0" borderId="0" xfId="0" applyNumberFormat="1" applyFont="1" applyAlignment="1"/>
    <xf numFmtId="165" fontId="144" fillId="0" borderId="24" xfId="0" applyNumberFormat="1" applyFont="1" applyFill="1" applyBorder="1" applyAlignment="1"/>
    <xf numFmtId="0" fontId="145" fillId="0" borderId="0" xfId="0" applyFont="1" applyAlignment="1">
      <alignment horizontal="center"/>
    </xf>
    <xf numFmtId="165" fontId="144" fillId="0" borderId="0" xfId="0" applyNumberFormat="1" applyFont="1" applyFill="1" applyBorder="1" applyAlignment="1">
      <alignment horizontal="right"/>
    </xf>
    <xf numFmtId="165" fontId="144" fillId="0" borderId="0" xfId="0" applyNumberFormat="1" applyFont="1" applyFill="1" applyBorder="1" applyAlignment="1"/>
    <xf numFmtId="170" fontId="145" fillId="0" borderId="0" xfId="0" applyNumberFormat="1" applyFont="1" applyFill="1" applyAlignment="1">
      <alignment horizontal="right"/>
    </xf>
    <xf numFmtId="170" fontId="145" fillId="0" borderId="0" xfId="0" applyNumberFormat="1" applyFont="1" applyFill="1" applyAlignment="1"/>
    <xf numFmtId="170" fontId="144" fillId="0" borderId="74" xfId="0" applyNumberFormat="1" applyFont="1" applyFill="1" applyBorder="1" applyAlignment="1">
      <alignment horizontal="right"/>
    </xf>
    <xf numFmtId="170" fontId="144" fillId="0" borderId="74" xfId="0" applyNumberFormat="1" applyFont="1" applyFill="1" applyBorder="1" applyAlignment="1"/>
    <xf numFmtId="0" fontId="144" fillId="0" borderId="0" xfId="0" applyFont="1" applyFill="1" applyAlignment="1">
      <alignment horizontal="center"/>
    </xf>
    <xf numFmtId="170" fontId="144" fillId="0" borderId="0" xfId="0" applyNumberFormat="1" applyFont="1" applyFill="1" applyBorder="1" applyAlignment="1"/>
    <xf numFmtId="170" fontId="144" fillId="0" borderId="51" xfId="0" applyNumberFormat="1" applyFont="1" applyFill="1" applyBorder="1" applyAlignment="1">
      <alignment horizontal="right"/>
    </xf>
    <xf numFmtId="170" fontId="144" fillId="0" borderId="51" xfId="0" applyNumberFormat="1" applyFont="1" applyFill="1" applyBorder="1" applyAlignment="1"/>
    <xf numFmtId="0" fontId="144" fillId="0" borderId="0" xfId="0" applyFont="1" applyFill="1" applyAlignment="1"/>
    <xf numFmtId="170" fontId="144" fillId="0" borderId="24" xfId="0" applyNumberFormat="1" applyFont="1" applyBorder="1" applyAlignment="1">
      <alignment horizontal="right"/>
    </xf>
    <xf numFmtId="170" fontId="144" fillId="0" borderId="24" xfId="0" applyNumberFormat="1" applyFont="1" applyFill="1" applyBorder="1" applyAlignment="1"/>
    <xf numFmtId="170" fontId="144" fillId="0" borderId="51" xfId="0" applyNumberFormat="1" applyFont="1" applyBorder="1" applyAlignment="1">
      <alignment horizontal="right"/>
    </xf>
    <xf numFmtId="170" fontId="144" fillId="0" borderId="51" xfId="0" applyNumberFormat="1" applyFont="1" applyBorder="1" applyAlignment="1"/>
    <xf numFmtId="0" fontId="143" fillId="0" borderId="0" xfId="0" applyFont="1" applyAlignment="1">
      <alignment vertical="top" wrapText="1"/>
    </xf>
    <xf numFmtId="3" fontId="143" fillId="0" borderId="61" xfId="0" applyNumberFormat="1" applyFont="1" applyBorder="1" applyAlignment="1">
      <alignment horizontal="center" wrapText="1"/>
    </xf>
    <xf numFmtId="3" fontId="143" fillId="0" borderId="0" xfId="0" applyNumberFormat="1" applyFont="1" applyBorder="1" applyAlignment="1">
      <alignment horizontal="center" wrapText="1"/>
    </xf>
    <xf numFmtId="165" fontId="143" fillId="0" borderId="61" xfId="0" applyNumberFormat="1" applyFont="1" applyBorder="1" applyAlignment="1">
      <alignment horizontal="center" wrapText="1"/>
    </xf>
    <xf numFmtId="3" fontId="143" fillId="0" borderId="61" xfId="0" applyNumberFormat="1" applyFont="1" applyBorder="1" applyAlignment="1">
      <alignment horizontal="right" wrapText="1"/>
    </xf>
    <xf numFmtId="3" fontId="146" fillId="0" borderId="0" xfId="0" applyNumberFormat="1" applyFont="1" applyFill="1"/>
    <xf numFmtId="3" fontId="147" fillId="0" borderId="0" xfId="0" applyNumberFormat="1" applyFont="1"/>
    <xf numFmtId="0" fontId="148" fillId="0" borderId="0" xfId="0" applyFont="1"/>
    <xf numFmtId="3" fontId="143" fillId="0" borderId="0" xfId="0" applyNumberFormat="1" applyFont="1" applyBorder="1" applyAlignment="1">
      <alignment wrapText="1"/>
    </xf>
    <xf numFmtId="165" fontId="143" fillId="0" borderId="0" xfId="0" applyNumberFormat="1" applyFont="1" applyBorder="1" applyAlignment="1">
      <alignment horizontal="center" wrapText="1"/>
    </xf>
    <xf numFmtId="3" fontId="143" fillId="0" borderId="0" xfId="0" applyNumberFormat="1" applyFont="1" applyFill="1" applyBorder="1" applyAlignment="1">
      <alignment wrapText="1"/>
    </xf>
    <xf numFmtId="3" fontId="143" fillId="0" borderId="0" xfId="0" applyNumberFormat="1" applyFont="1" applyBorder="1" applyAlignment="1">
      <alignment horizontal="right" wrapText="1"/>
    </xf>
    <xf numFmtId="0" fontId="147" fillId="0" borderId="0" xfId="0" applyFont="1"/>
    <xf numFmtId="165" fontId="143" fillId="0" borderId="0" xfId="0" applyNumberFormat="1" applyFont="1" applyFill="1" applyBorder="1" applyAlignment="1">
      <alignment horizontal="center" wrapText="1"/>
    </xf>
    <xf numFmtId="3" fontId="143" fillId="0" borderId="0" xfId="0" applyNumberFormat="1" applyFont="1" applyAlignment="1">
      <alignment horizontal="center" wrapText="1"/>
    </xf>
    <xf numFmtId="3" fontId="143" fillId="0" borderId="0" xfId="0" applyNumberFormat="1" applyFont="1" applyFill="1" applyAlignment="1">
      <alignment horizontal="center" wrapText="1"/>
    </xf>
    <xf numFmtId="3" fontId="143" fillId="0" borderId="0" xfId="0" applyNumberFormat="1" applyFont="1" applyFill="1" applyBorder="1" applyAlignment="1">
      <alignment horizontal="right" wrapText="1"/>
    </xf>
    <xf numFmtId="0" fontId="143" fillId="0" borderId="0" xfId="0" applyFont="1" applyFill="1" applyAlignment="1">
      <alignment vertical="top" wrapText="1"/>
    </xf>
    <xf numFmtId="3" fontId="143" fillId="0" borderId="0" xfId="0" applyNumberFormat="1" applyFont="1" applyAlignment="1">
      <alignment horizontal="right" wrapText="1"/>
    </xf>
    <xf numFmtId="3" fontId="143" fillId="0" borderId="0" xfId="0" applyNumberFormat="1" applyFont="1" applyFill="1" applyBorder="1" applyAlignment="1">
      <alignment horizontal="center" wrapText="1"/>
    </xf>
    <xf numFmtId="3" fontId="143" fillId="0" borderId="0" xfId="0" applyNumberFormat="1" applyFont="1" applyFill="1" applyAlignment="1">
      <alignment horizontal="right" wrapText="1"/>
    </xf>
    <xf numFmtId="0" fontId="147" fillId="0" borderId="0" xfId="0" applyFont="1" applyFill="1"/>
    <xf numFmtId="3" fontId="143" fillId="0" borderId="62" xfId="0" applyNumberFormat="1" applyFont="1" applyFill="1" applyBorder="1" applyAlignment="1">
      <alignment horizontal="center" wrapText="1"/>
    </xf>
    <xf numFmtId="3" fontId="143" fillId="0" borderId="62" xfId="0" applyNumberFormat="1" applyFont="1" applyFill="1" applyBorder="1" applyAlignment="1">
      <alignment horizontal="right" wrapText="1"/>
    </xf>
    <xf numFmtId="3" fontId="143" fillId="0" borderId="62" xfId="0" applyNumberFormat="1" applyFont="1" applyBorder="1" applyAlignment="1">
      <alignment horizontal="right" wrapText="1"/>
    </xf>
    <xf numFmtId="185" fontId="143" fillId="0" borderId="0" xfId="0" applyNumberFormat="1" applyFont="1" applyBorder="1" applyAlignment="1">
      <alignment wrapText="1"/>
    </xf>
    <xf numFmtId="185" fontId="143" fillId="0" borderId="51" xfId="0" applyNumberFormat="1" applyFont="1" applyBorder="1" applyAlignment="1">
      <alignment wrapText="1"/>
    </xf>
    <xf numFmtId="3" fontId="143" fillId="0" borderId="3" xfId="0" applyNumberFormat="1" applyFont="1" applyBorder="1" applyAlignment="1">
      <alignment horizontal="center" wrapText="1"/>
    </xf>
    <xf numFmtId="3" fontId="143" fillId="0" borderId="3" xfId="0" applyNumberFormat="1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0" fontId="7" fillId="0" borderId="24" xfId="0" applyFont="1" applyBorder="1" applyAlignment="1">
      <alignment wrapText="1"/>
    </xf>
    <xf numFmtId="0" fontId="7" fillId="0" borderId="24" xfId="0" applyFont="1" applyFill="1" applyBorder="1" applyAlignment="1"/>
    <xf numFmtId="0" fontId="7" fillId="0" borderId="24" xfId="0" applyFont="1" applyBorder="1" applyAlignment="1"/>
    <xf numFmtId="0" fontId="7" fillId="0" borderId="0" xfId="0" applyFont="1" applyBorder="1" applyAlignment="1"/>
    <xf numFmtId="0" fontId="19" fillId="0" borderId="0" xfId="0" applyFont="1" applyBorder="1" applyAlignment="1">
      <alignment wrapText="1"/>
    </xf>
    <xf numFmtId="0" fontId="12" fillId="0" borderId="21" xfId="0" applyFont="1" applyBorder="1" applyAlignment="1"/>
    <xf numFmtId="0" fontId="12" fillId="0" borderId="0" xfId="0" applyFont="1" applyBorder="1" applyAlignment="1"/>
    <xf numFmtId="0" fontId="142" fillId="48" borderId="0" xfId="0" applyFont="1" applyFill="1" applyAlignment="1">
      <alignment wrapText="1"/>
    </xf>
    <xf numFmtId="0" fontId="12" fillId="0" borderId="21" xfId="0" applyFont="1" applyBorder="1" applyAlignment="1">
      <alignment horizontal="left"/>
    </xf>
    <xf numFmtId="165" fontId="15" fillId="0" borderId="0" xfId="233" applyNumberFormat="1" applyFont="1" applyBorder="1"/>
    <xf numFmtId="165" fontId="15" fillId="0" borderId="0" xfId="233" applyNumberFormat="1" applyFont="1" applyFill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wrapText="1"/>
    </xf>
    <xf numFmtId="165" fontId="15" fillId="0" borderId="24" xfId="233" applyNumberFormat="1" applyFont="1" applyBorder="1"/>
    <xf numFmtId="0" fontId="45" fillId="0" borderId="24" xfId="0" applyFont="1" applyBorder="1" applyAlignment="1">
      <alignment horizontal="right"/>
    </xf>
    <xf numFmtId="185" fontId="7" fillId="0" borderId="0" xfId="0" applyNumberFormat="1" applyFont="1" applyFill="1"/>
    <xf numFmtId="0" fontId="14" fillId="0" borderId="0" xfId="90" applyNumberFormat="1" applyFont="1" applyAlignment="1">
      <alignment horizontal="left" wrapText="1"/>
    </xf>
    <xf numFmtId="0" fontId="15" fillId="0" borderId="0" xfId="90" applyNumberFormat="1" applyFont="1" applyAlignment="1">
      <alignment horizontal="left" wrapText="1"/>
    </xf>
    <xf numFmtId="0" fontId="24" fillId="0" borderId="0" xfId="90" applyNumberFormat="1" applyFont="1" applyAlignment="1">
      <alignment horizontal="center"/>
    </xf>
    <xf numFmtId="0" fontId="14" fillId="0" borderId="0" xfId="90" applyNumberFormat="1" applyFont="1" applyAlignment="1">
      <alignment horizontal="center"/>
    </xf>
    <xf numFmtId="0" fontId="15" fillId="0" borderId="0" xfId="90" applyFont="1" applyAlignment="1">
      <alignment horizontal="left"/>
    </xf>
    <xf numFmtId="0" fontId="15" fillId="0" borderId="64" xfId="90" applyNumberFormat="1" applyFont="1" applyBorder="1" applyAlignment="1">
      <alignment horizontal="center" vertical="center" wrapText="1"/>
    </xf>
    <xf numFmtId="0" fontId="15" fillId="0" borderId="85" xfId="90" applyNumberFormat="1" applyFont="1" applyBorder="1" applyAlignment="1">
      <alignment horizontal="center" vertical="center" wrapText="1"/>
    </xf>
    <xf numFmtId="0" fontId="15" fillId="0" borderId="86" xfId="9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Alignment="1">
      <alignment horizontal="left" wrapText="1"/>
    </xf>
    <xf numFmtId="0" fontId="31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6" fillId="0" borderId="2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2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5" fillId="0" borderId="24" xfId="0" applyFont="1" applyBorder="1" applyAlignment="1">
      <alignment horizontal="right"/>
    </xf>
    <xf numFmtId="0" fontId="12" fillId="0" borderId="0" xfId="0" applyNumberFormat="1" applyFont="1" applyFill="1" applyAlignment="1">
      <alignment horizontal="center" vertical="center" wrapText="1"/>
    </xf>
    <xf numFmtId="0" fontId="144" fillId="0" borderId="0" xfId="0" applyFont="1" applyAlignment="1">
      <alignment horizontal="left" wrapText="1"/>
    </xf>
    <xf numFmtId="170" fontId="45" fillId="0" borderId="24" xfId="0" applyNumberFormat="1" applyFont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144" fillId="0" borderId="0" xfId="0" applyFont="1" applyFill="1" applyAlignment="1">
      <alignment horizontal="left" wrapText="1"/>
    </xf>
    <xf numFmtId="0" fontId="145" fillId="0" borderId="0" xfId="0" applyFont="1" applyAlignment="1">
      <alignment horizontal="left"/>
    </xf>
    <xf numFmtId="0" fontId="26" fillId="0" borderId="21" xfId="0" applyFont="1" applyBorder="1" applyAlignment="1">
      <alignment horizontal="center" wrapText="1"/>
    </xf>
    <xf numFmtId="0" fontId="144" fillId="0" borderId="0" xfId="0" applyFont="1" applyAlignment="1">
      <alignment horizontal="center" vertical="top" wrapText="1"/>
    </xf>
    <xf numFmtId="0" fontId="143" fillId="0" borderId="0" xfId="0" applyFont="1" applyAlignment="1">
      <alignment horizontal="left" vertical="top" wrapText="1"/>
    </xf>
    <xf numFmtId="165" fontId="33" fillId="0" borderId="0" xfId="0" applyNumberFormat="1" applyFont="1" applyFill="1" applyBorder="1" applyAlignment="1">
      <alignment horizontal="left" wrapText="1"/>
    </xf>
    <xf numFmtId="165" fontId="33" fillId="0" borderId="0" xfId="0" applyNumberFormat="1" applyFont="1" applyBorder="1" applyAlignment="1">
      <alignment horizontal="center" vertical="top" wrapText="1"/>
    </xf>
    <xf numFmtId="165" fontId="33" fillId="0" borderId="0" xfId="0" applyNumberFormat="1" applyFont="1" applyBorder="1" applyAlignment="1">
      <alignment horizontal="left" wrapText="1"/>
    </xf>
    <xf numFmtId="165" fontId="33" fillId="0" borderId="0" xfId="0" applyNumberFormat="1" applyFont="1" applyBorder="1" applyAlignment="1">
      <alignment horizontal="right" wrapText="1"/>
    </xf>
    <xf numFmtId="165" fontId="10" fillId="0" borderId="0" xfId="0" applyNumberFormat="1" applyFont="1" applyBorder="1" applyAlignment="1">
      <alignment horizontal="right"/>
    </xf>
    <xf numFmtId="165" fontId="26" fillId="0" borderId="0" xfId="0" applyNumberFormat="1" applyFont="1" applyBorder="1" applyAlignment="1">
      <alignment horizontal="left" wrapText="1"/>
    </xf>
    <xf numFmtId="165" fontId="35" fillId="0" borderId="0" xfId="0" applyNumberFormat="1" applyFont="1" applyBorder="1" applyAlignment="1">
      <alignment horizontal="left" wrapText="1"/>
    </xf>
    <xf numFmtId="165" fontId="33" fillId="0" borderId="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165" fontId="33" fillId="0" borderId="80" xfId="0" applyNumberFormat="1" applyFont="1" applyFill="1" applyBorder="1" applyAlignment="1">
      <alignment wrapText="1"/>
    </xf>
    <xf numFmtId="165" fontId="33" fillId="0" borderId="3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horizontal="left"/>
    </xf>
    <xf numFmtId="165" fontId="35" fillId="0" borderId="0" xfId="0" applyNumberFormat="1" applyFont="1" applyBorder="1" applyAlignment="1">
      <alignment horizontal="left" vertical="top" wrapText="1"/>
    </xf>
    <xf numFmtId="165" fontId="131" fillId="0" borderId="0" xfId="0" applyNumberFormat="1" applyFont="1" applyBorder="1" applyAlignment="1">
      <alignment horizontal="left" wrapText="1"/>
    </xf>
    <xf numFmtId="0" fontId="13" fillId="0" borderId="3" xfId="0" applyFont="1" applyFill="1" applyBorder="1"/>
    <xf numFmtId="0" fontId="0" fillId="0" borderId="3" xfId="0" applyFill="1" applyBorder="1"/>
    <xf numFmtId="165" fontId="33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left"/>
    </xf>
    <xf numFmtId="0" fontId="12" fillId="0" borderId="21" xfId="0" applyFont="1" applyBorder="1" applyAlignment="1">
      <alignment horizontal="left" wrapText="1"/>
    </xf>
    <xf numFmtId="0" fontId="7" fillId="0" borderId="24" xfId="0" applyFont="1" applyBorder="1" applyAlignment="1">
      <alignment horizontal="center" wrapText="1"/>
    </xf>
    <xf numFmtId="165" fontId="12" fillId="0" borderId="0" xfId="0" applyNumberFormat="1" applyFont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49" fillId="0" borderId="0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/>
    </xf>
    <xf numFmtId="0" fontId="15" fillId="0" borderId="0" xfId="111" applyNumberFormat="1" applyFont="1" applyAlignment="1">
      <alignment horizontal="left" wrapText="1"/>
    </xf>
    <xf numFmtId="0" fontId="97" fillId="0" borderId="0" xfId="111" applyNumberFormat="1" applyFont="1" applyAlignment="1">
      <alignment horizontal="left" wrapText="1"/>
    </xf>
    <xf numFmtId="0" fontId="14" fillId="0" borderId="0" xfId="111" applyNumberFormat="1" applyFont="1" applyAlignment="1">
      <alignment horizontal="left" wrapText="1"/>
    </xf>
    <xf numFmtId="0" fontId="14" fillId="0" borderId="0" xfId="113" applyNumberFormat="1" applyFont="1" applyAlignment="1">
      <alignment horizontal="left" wrapText="1"/>
    </xf>
    <xf numFmtId="0" fontId="15" fillId="0" borderId="0" xfId="113" applyNumberFormat="1" applyFont="1" applyAlignment="1">
      <alignment horizontal="left" wrapText="1"/>
    </xf>
    <xf numFmtId="0" fontId="15" fillId="0" borderId="0" xfId="217" applyNumberFormat="1" applyFont="1" applyAlignment="1">
      <alignment horizontal="left" wrapText="1"/>
    </xf>
    <xf numFmtId="0" fontId="15" fillId="0" borderId="0" xfId="72" applyFont="1" applyAlignment="1">
      <alignment horizontal="left"/>
    </xf>
    <xf numFmtId="0" fontId="15" fillId="0" borderId="60" xfId="72" applyNumberFormat="1" applyFont="1" applyBorder="1" applyAlignment="1">
      <alignment horizontal="center"/>
    </xf>
    <xf numFmtId="0" fontId="15" fillId="0" borderId="32" xfId="72" applyNumberFormat="1" applyFont="1" applyBorder="1" applyAlignment="1">
      <alignment horizontal="center"/>
    </xf>
    <xf numFmtId="0" fontId="0" fillId="40" borderId="23" xfId="0" applyFill="1" applyBorder="1" applyAlignment="1">
      <alignment horizontal="center"/>
    </xf>
    <xf numFmtId="0" fontId="0" fillId="40" borderId="21" xfId="0" applyFill="1" applyBorder="1" applyAlignment="1">
      <alignment horizontal="center"/>
    </xf>
    <xf numFmtId="0" fontId="0" fillId="40" borderId="44" xfId="0" applyFill="1" applyBorder="1" applyAlignment="1">
      <alignment horizontal="center"/>
    </xf>
    <xf numFmtId="0" fontId="14" fillId="0" borderId="0" xfId="0" applyNumberFormat="1" applyFont="1" applyAlignment="1">
      <alignment horizontal="left" wrapText="1"/>
    </xf>
    <xf numFmtId="0" fontId="24" fillId="0" borderId="0" xfId="0" applyNumberFormat="1" applyFont="1" applyAlignment="1">
      <alignment horizontal="center" wrapText="1"/>
    </xf>
    <xf numFmtId="0" fontId="14" fillId="0" borderId="0" xfId="0" applyNumberFormat="1" applyFont="1" applyAlignment="1">
      <alignment horizontal="center" wrapText="1"/>
    </xf>
    <xf numFmtId="0" fontId="15" fillId="0" borderId="0" xfId="0" applyNumberFormat="1" applyFont="1" applyAlignment="1">
      <alignment horizontal="left" wrapText="1"/>
    </xf>
    <xf numFmtId="0" fontId="0" fillId="25" borderId="23" xfId="0" applyFill="1" applyBorder="1" applyAlignment="1">
      <alignment horizontal="center"/>
    </xf>
    <xf numFmtId="0" fontId="0" fillId="25" borderId="21" xfId="0" applyFill="1" applyBorder="1" applyAlignment="1">
      <alignment horizontal="center"/>
    </xf>
    <xf numFmtId="0" fontId="18" fillId="40" borderId="22" xfId="0" applyFont="1" applyFill="1" applyBorder="1" applyAlignment="1">
      <alignment horizontal="center"/>
    </xf>
    <xf numFmtId="0" fontId="24" fillId="0" borderId="0" xfId="0" applyNumberFormat="1" applyFont="1" applyBorder="1" applyAlignment="1">
      <alignment horizontal="center" wrapText="1"/>
    </xf>
    <xf numFmtId="0" fontId="14" fillId="0" borderId="0" xfId="0" applyNumberFormat="1" applyFont="1" applyBorder="1" applyAlignment="1">
      <alignment horizontal="center" wrapText="1"/>
    </xf>
    <xf numFmtId="0" fontId="17" fillId="25" borderId="22" xfId="0" applyNumberFormat="1" applyFont="1" applyFill="1" applyBorder="1" applyAlignment="1">
      <alignment horizontal="center" wrapText="1"/>
    </xf>
    <xf numFmtId="0" fontId="15" fillId="0" borderId="0" xfId="71" applyNumberFormat="1" applyFont="1" applyAlignment="1">
      <alignment horizontal="left" wrapText="1"/>
    </xf>
    <xf numFmtId="4" fontId="47" fillId="0" borderId="0" xfId="44" applyNumberFormat="1" applyFont="1" applyFill="1" applyAlignment="1">
      <alignment horizontal="left" wrapText="1"/>
    </xf>
    <xf numFmtId="0" fontId="97" fillId="36" borderId="50" xfId="71" applyNumberFormat="1" applyFont="1" applyFill="1" applyBorder="1" applyAlignment="1">
      <alignment horizontal="center" vertical="top"/>
    </xf>
    <xf numFmtId="0" fontId="87" fillId="0" borderId="28" xfId="71" applyNumberFormat="1" applyFont="1" applyBorder="1" applyAlignment="1">
      <alignment horizontal="left" vertical="top" wrapText="1"/>
    </xf>
    <xf numFmtId="1" fontId="87" fillId="36" borderId="90" xfId="71" applyNumberFormat="1" applyFont="1" applyFill="1" applyBorder="1" applyAlignment="1">
      <alignment horizontal="left" vertical="top"/>
    </xf>
    <xf numFmtId="0" fontId="87" fillId="36" borderId="28" xfId="71" applyNumberFormat="1" applyFont="1" applyFill="1" applyBorder="1" applyAlignment="1">
      <alignment horizontal="left" vertical="top" wrapText="1"/>
    </xf>
    <xf numFmtId="0" fontId="87" fillId="36" borderId="90" xfId="71" applyNumberFormat="1" applyFont="1" applyFill="1" applyBorder="1" applyAlignment="1">
      <alignment horizontal="left" vertical="top"/>
    </xf>
    <xf numFmtId="0" fontId="17" fillId="0" borderId="48" xfId="0" applyFont="1" applyBorder="1" applyAlignment="1">
      <alignment horizontal="center" vertical="top" wrapText="1"/>
    </xf>
    <xf numFmtId="0" fontId="17" fillId="0" borderId="67" xfId="0" applyFont="1" applyBorder="1" applyAlignment="1">
      <alignment horizontal="center" vertical="top" wrapText="1"/>
    </xf>
    <xf numFmtId="0" fontId="15" fillId="0" borderId="0" xfId="81" applyNumberFormat="1" applyFont="1" applyAlignment="1">
      <alignment horizontal="left" wrapText="1"/>
    </xf>
    <xf numFmtId="0" fontId="15" fillId="0" borderId="0" xfId="81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60" xfId="0" applyNumberFormat="1" applyFont="1" applyBorder="1" applyAlignment="1">
      <alignment horizontal="center"/>
    </xf>
    <xf numFmtId="0" fontId="15" fillId="0" borderId="32" xfId="0" applyNumberFormat="1" applyFont="1" applyBorder="1" applyAlignment="1">
      <alignment horizontal="center"/>
    </xf>
    <xf numFmtId="0" fontId="15" fillId="0" borderId="0" xfId="73" applyFont="1" applyAlignment="1">
      <alignment horizontal="left"/>
    </xf>
    <xf numFmtId="0" fontId="15" fillId="0" borderId="0" xfId="0" applyFont="1" applyBorder="1" applyAlignment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73" applyNumberFormat="1" applyFont="1" applyAlignment="1">
      <alignment horizontal="left" wrapText="1"/>
    </xf>
    <xf numFmtId="0" fontId="15" fillId="0" borderId="0" xfId="0" applyNumberFormat="1" applyFont="1" applyBorder="1" applyAlignment="1">
      <alignment horizontal="left" wrapText="1"/>
    </xf>
    <xf numFmtId="0" fontId="70" fillId="0" borderId="0" xfId="0" applyFont="1" applyAlignment="1">
      <alignment horizontal="left" wrapText="1"/>
    </xf>
    <xf numFmtId="0" fontId="96" fillId="0" borderId="0" xfId="0" applyFont="1" applyAlignment="1">
      <alignment horizontal="left" wrapText="1"/>
    </xf>
    <xf numFmtId="0" fontId="0" fillId="0" borderId="0" xfId="0" applyNumberFormat="1" applyAlignment="1">
      <alignment horizontal="center"/>
    </xf>
    <xf numFmtId="0" fontId="15" fillId="0" borderId="0" xfId="79" applyNumberFormat="1" applyFont="1" applyAlignment="1">
      <alignment horizontal="left" wrapText="1"/>
    </xf>
    <xf numFmtId="0" fontId="15" fillId="0" borderId="0" xfId="79" applyFont="1" applyAlignment="1">
      <alignment horizontal="left"/>
    </xf>
    <xf numFmtId="0" fontId="15" fillId="0" borderId="60" xfId="79" applyNumberFormat="1" applyFont="1" applyBorder="1" applyAlignment="1">
      <alignment horizontal="center"/>
    </xf>
    <xf numFmtId="0" fontId="15" fillId="0" borderId="32" xfId="79" applyNumberFormat="1" applyFont="1" applyBorder="1" applyAlignment="1">
      <alignment horizontal="center"/>
    </xf>
    <xf numFmtId="0" fontId="15" fillId="0" borderId="32" xfId="0" applyNumberFormat="1" applyFont="1" applyBorder="1" applyAlignment="1">
      <alignment horizontal="center" vertical="center" wrapText="1"/>
    </xf>
    <xf numFmtId="0" fontId="15" fillId="0" borderId="52" xfId="0" applyNumberFormat="1" applyFont="1" applyBorder="1" applyAlignment="1">
      <alignment horizontal="center" vertical="center" wrapText="1"/>
    </xf>
    <xf numFmtId="0" fontId="24" fillId="0" borderId="0" xfId="0" applyNumberFormat="1" applyFont="1" applyAlignment="1">
      <alignment horizontal="center"/>
    </xf>
    <xf numFmtId="0" fontId="15" fillId="0" borderId="72" xfId="0" applyNumberFormat="1" applyFont="1" applyBorder="1" applyAlignment="1">
      <alignment horizontal="center" vertical="center" wrapText="1"/>
    </xf>
    <xf numFmtId="0" fontId="15" fillId="0" borderId="60" xfId="0" applyNumberFormat="1" applyFont="1" applyBorder="1" applyAlignment="1">
      <alignment horizontal="center" vertical="center" wrapText="1"/>
    </xf>
    <xf numFmtId="0" fontId="15" fillId="0" borderId="56" xfId="0" applyNumberFormat="1" applyFont="1" applyBorder="1" applyAlignment="1">
      <alignment horizontal="center" vertical="center" wrapText="1"/>
    </xf>
    <xf numFmtId="0" fontId="15" fillId="0" borderId="16" xfId="0" applyNumberFormat="1" applyFont="1" applyBorder="1" applyAlignment="1">
      <alignment horizontal="center" vertical="center" wrapText="1"/>
    </xf>
    <xf numFmtId="4" fontId="15" fillId="0" borderId="65" xfId="80" applyNumberFormat="1" applyFont="1" applyBorder="1" applyAlignment="1">
      <alignment horizontal="center" vertical="center" wrapText="1"/>
    </xf>
    <xf numFmtId="4" fontId="15" fillId="0" borderId="85" xfId="80" applyNumberFormat="1" applyFont="1" applyBorder="1" applyAlignment="1">
      <alignment horizontal="center" vertical="center" wrapText="1"/>
    </xf>
    <xf numFmtId="0" fontId="15" fillId="0" borderId="65" xfId="80" applyNumberFormat="1" applyFont="1" applyBorder="1" applyAlignment="1">
      <alignment horizontal="center" vertical="center" wrapText="1"/>
    </xf>
    <xf numFmtId="0" fontId="15" fillId="0" borderId="85" xfId="80" applyNumberFormat="1" applyFont="1" applyBorder="1" applyAlignment="1">
      <alignment horizontal="center" vertical="center" wrapText="1"/>
    </xf>
    <xf numFmtId="0" fontId="15" fillId="0" borderId="86" xfId="8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horizontal="left" wrapText="1"/>
    </xf>
    <xf numFmtId="4" fontId="2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left" wrapText="1"/>
    </xf>
    <xf numFmtId="4" fontId="15" fillId="0" borderId="0" xfId="0" applyNumberFormat="1" applyFont="1" applyAlignment="1">
      <alignment horizontal="left"/>
    </xf>
    <xf numFmtId="0" fontId="0" fillId="0" borderId="85" xfId="0" applyNumberFormat="1" applyFont="1" applyBorder="1" applyAlignment="1">
      <alignment horizontal="center" vertical="center"/>
    </xf>
    <xf numFmtId="0" fontId="0" fillId="0" borderId="83" xfId="0" applyNumberFormat="1" applyFont="1" applyBorder="1" applyAlignment="1">
      <alignment horizontal="center" vertical="center" wrapText="1"/>
    </xf>
    <xf numFmtId="0" fontId="112" fillId="0" borderId="40" xfId="0" applyNumberFormat="1" applyFont="1" applyBorder="1" applyAlignment="1">
      <alignment horizontal="left" vertical="center"/>
    </xf>
    <xf numFmtId="0" fontId="0" fillId="0" borderId="28" xfId="0" applyNumberFormat="1" applyFont="1" applyBorder="1" applyAlignment="1">
      <alignment horizontal="center" vertical="center" wrapText="1"/>
    </xf>
    <xf numFmtId="0" fontId="0" fillId="0" borderId="85" xfId="0" applyNumberFormat="1" applyFont="1" applyBorder="1" applyAlignment="1">
      <alignment horizontal="center" vertical="center" wrapText="1"/>
    </xf>
    <xf numFmtId="0" fontId="0" fillId="0" borderId="73" xfId="0" applyNumberFormat="1" applyFont="1" applyBorder="1" applyAlignment="1">
      <alignment horizontal="center" vertical="center" wrapText="1"/>
    </xf>
    <xf numFmtId="0" fontId="0" fillId="0" borderId="40" xfId="0" applyNumberFormat="1" applyFont="1" applyBorder="1" applyAlignment="1">
      <alignment horizontal="center" vertical="center" wrapText="1"/>
    </xf>
    <xf numFmtId="0" fontId="0" fillId="0" borderId="63" xfId="0" applyNumberFormat="1" applyFont="1" applyBorder="1" applyAlignment="1">
      <alignment horizontal="center" vertical="center"/>
    </xf>
    <xf numFmtId="0" fontId="97" fillId="0" borderId="50" xfId="97" applyNumberFormat="1" applyFont="1" applyBorder="1" applyAlignment="1">
      <alignment horizontal="center"/>
    </xf>
    <xf numFmtId="0" fontId="24" fillId="0" borderId="49" xfId="97" applyNumberFormat="1" applyFont="1" applyBorder="1" applyAlignment="1">
      <alignment horizontal="center" vertical="center"/>
    </xf>
    <xf numFmtId="0" fontId="97" fillId="0" borderId="24" xfId="97" applyNumberFormat="1" applyFont="1" applyBorder="1" applyAlignment="1">
      <alignment horizontal="center"/>
    </xf>
    <xf numFmtId="0" fontId="128" fillId="0" borderId="0" xfId="97" applyNumberFormat="1" applyFont="1" applyAlignment="1">
      <alignment horizontal="justify"/>
    </xf>
    <xf numFmtId="0" fontId="48" fillId="0" borderId="0" xfId="97" applyNumberFormat="1" applyFont="1" applyAlignment="1">
      <alignment horizontal="left" wrapText="1"/>
    </xf>
    <xf numFmtId="0" fontId="87" fillId="0" borderId="0" xfId="97" applyNumberFormat="1" applyAlignment="1">
      <alignment horizontal="right"/>
    </xf>
    <xf numFmtId="0" fontId="24" fillId="0" borderId="50" xfId="97" applyNumberFormat="1" applyFont="1" applyBorder="1" applyAlignment="1">
      <alignment horizontal="center" vertical="center"/>
    </xf>
    <xf numFmtId="0" fontId="149" fillId="0" borderId="0" xfId="0" applyFont="1" applyAlignment="1">
      <alignment horizontal="center" vertical="center" wrapText="1"/>
    </xf>
    <xf numFmtId="0" fontId="149" fillId="0" borderId="0" xfId="0" applyFont="1" applyAlignment="1">
      <alignment horizontal="center" wrapText="1"/>
    </xf>
    <xf numFmtId="0" fontId="149" fillId="0" borderId="0" xfId="0" applyFont="1" applyAlignment="1">
      <alignment wrapText="1"/>
    </xf>
    <xf numFmtId="0" fontId="119" fillId="0" borderId="0" xfId="0" applyFont="1" applyAlignment="1">
      <alignment wrapText="1"/>
    </xf>
    <xf numFmtId="0" fontId="119" fillId="0" borderId="0" xfId="0" applyFont="1" applyAlignment="1">
      <alignment wrapText="1"/>
    </xf>
    <xf numFmtId="0" fontId="150" fillId="0" borderId="0" xfId="0" applyFont="1" applyAlignment="1">
      <alignment wrapText="1"/>
    </xf>
    <xf numFmtId="0" fontId="35" fillId="0" borderId="0" xfId="0" applyFont="1" applyAlignment="1">
      <alignment wrapText="1"/>
    </xf>
    <xf numFmtId="185" fontId="144" fillId="0" borderId="0" xfId="0" applyNumberFormat="1" applyFont="1" applyBorder="1" applyAlignment="1">
      <alignment wrapText="1"/>
    </xf>
    <xf numFmtId="185" fontId="143" fillId="0" borderId="51" xfId="0" applyNumberFormat="1" applyFont="1" applyBorder="1" applyAlignment="1">
      <alignment horizontal="center" wrapText="1"/>
    </xf>
  </cellXfs>
  <cellStyles count="23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116"/>
    <cellStyle name="20% - Акцент1 3" xfId="117"/>
    <cellStyle name="20% - Акцент2 2" xfId="118"/>
    <cellStyle name="20% - Акцент2 3" xfId="119"/>
    <cellStyle name="20% - Акцент3 2" xfId="120"/>
    <cellStyle name="20% - Акцент3 3" xfId="121"/>
    <cellStyle name="20% - Акцент4 2" xfId="122"/>
    <cellStyle name="20% - Акцент4 3" xfId="123"/>
    <cellStyle name="20% - Акцент5 2" xfId="124"/>
    <cellStyle name="20% - Акцент5 3" xfId="125"/>
    <cellStyle name="20% - Акцент6 2" xfId="126"/>
    <cellStyle name="20% - Акцент6 3" xfId="127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Акцент1 2" xfId="129"/>
    <cellStyle name="40% - Акцент1 3" xfId="130"/>
    <cellStyle name="40% - Акцент2 2" xfId="131"/>
    <cellStyle name="40% - Акцент2 3" xfId="132"/>
    <cellStyle name="40% - Акцент3 2" xfId="133"/>
    <cellStyle name="40% - Акцент3 3" xfId="134"/>
    <cellStyle name="40% - Акцент4 2" xfId="135"/>
    <cellStyle name="40% - Акцент4 3" xfId="136"/>
    <cellStyle name="40% - Акцент5 2" xfId="137"/>
    <cellStyle name="40% - Акцент5 3" xfId="138"/>
    <cellStyle name="40% - Акцент6 2" xfId="139"/>
    <cellStyle name="40% - Акцент6 3" xfId="140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60% - Акцент1 2" xfId="143"/>
    <cellStyle name="60% - Акцент1 3" xfId="144"/>
    <cellStyle name="60% - Акцент2 2" xfId="145"/>
    <cellStyle name="60% - Акцент2 3" xfId="146"/>
    <cellStyle name="60% - Акцент3 2" xfId="147"/>
    <cellStyle name="60% - Акцент3 3" xfId="148"/>
    <cellStyle name="60% - Акцент4 2" xfId="149"/>
    <cellStyle name="60% - Акцент4 3" xfId="150"/>
    <cellStyle name="60% - Акцент5 2" xfId="151"/>
    <cellStyle name="60% - Акцент5 3" xfId="152"/>
    <cellStyle name="60% - Акцент6 2" xfId="153"/>
    <cellStyle name="60% - Акцент6 3" xfId="154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[0] 2" xfId="106"/>
    <cellStyle name="Comma 2" xfId="28"/>
    <cellStyle name="Comma 2 2" xfId="100"/>
    <cellStyle name="Comma 2 2 2" xfId="105"/>
    <cellStyle name="Comma 2 2 3" xfId="168"/>
    <cellStyle name="Comma 2 2 4" xfId="155"/>
    <cellStyle name="Comma 2 3" xfId="156"/>
    <cellStyle name="Comma 2 4" xfId="157"/>
    <cellStyle name="Comma 2 5" xfId="101"/>
    <cellStyle name="Comma 2 6" xfId="229"/>
    <cellStyle name="Comma 3" xfId="103"/>
    <cellStyle name="Explanatory Text" xfId="29"/>
    <cellStyle name="Good" xfId="30"/>
    <cellStyle name="Heading" xfId="31"/>
    <cellStyle name="Heading 1" xfId="32"/>
    <cellStyle name="Heading 2" xfId="33"/>
    <cellStyle name="Heading 3" xfId="34"/>
    <cellStyle name="Heading 4" xfId="35"/>
    <cellStyle name="Input" xfId="36"/>
    <cellStyle name="Legal 8? x 14 in" xfId="99"/>
    <cellStyle name="Linked Cell" xfId="37"/>
    <cellStyle name="Neutral" xfId="38"/>
    <cellStyle name="Normal 11" xfId="110"/>
    <cellStyle name="Normal 2" xfId="39"/>
    <cellStyle name="Normal 2 10" xfId="161"/>
    <cellStyle name="Normal 2 2" xfId="40"/>
    <cellStyle name="Normal 2 2 2" xfId="162"/>
    <cellStyle name="Normal 2 2 2 2" xfId="163"/>
    <cellStyle name="Normal 2 2 2 3" xfId="223"/>
    <cellStyle name="Normal 2 2 2 4" xfId="221"/>
    <cellStyle name="Normal 2 2 3" xfId="164"/>
    <cellStyle name="Normal 2 2 4" xfId="222"/>
    <cellStyle name="Normal 2 2 5" xfId="227"/>
    <cellStyle name="Normal 3" xfId="41"/>
    <cellStyle name="Normal 3 2" xfId="108"/>
    <cellStyle name="Normal 3 2 2" xfId="165"/>
    <cellStyle name="Normal 3 2 3" xfId="224"/>
    <cellStyle name="Normal 3 2 4" xfId="220"/>
    <cellStyle name="Normal 3 3" xfId="166"/>
    <cellStyle name="Normal 3 4" xfId="159"/>
    <cellStyle name="Normal 3 5" xfId="158"/>
    <cellStyle name="Normal 4" xfId="42"/>
    <cellStyle name="Normal 4 2" xfId="167"/>
    <cellStyle name="Normal 4 3" xfId="225"/>
    <cellStyle name="Normal 4 4" xfId="219"/>
    <cellStyle name="Normal 4 5" xfId="234"/>
    <cellStyle name="Normal_811" xfId="43"/>
    <cellStyle name="Normal_Worksheet in TB LS Blank Leadsheet Excel Template - Used by Trial Balance to Create Leadsheets" xfId="44"/>
    <cellStyle name="Note" xfId="45"/>
    <cellStyle name="Output" xfId="46"/>
    <cellStyle name="Percent (0)" xfId="47"/>
    <cellStyle name="Percent (0) 2" xfId="169"/>
    <cellStyle name="Percent (0) 3" xfId="226"/>
    <cellStyle name="Percent (0) 4" xfId="218"/>
    <cellStyle name="Percent (0) 5" xfId="235"/>
    <cellStyle name="Percent 2" xfId="107"/>
    <cellStyle name="Style 1" xfId="48"/>
    <cellStyle name="Tickmark" xfId="49"/>
    <cellStyle name="Title" xfId="50"/>
    <cellStyle name="Total" xfId="51"/>
    <cellStyle name="Warning Text" xfId="52"/>
    <cellStyle name="Акцент1" xfId="53" builtinId="29" customBuiltin="1"/>
    <cellStyle name="Акцент1 2" xfId="170"/>
    <cellStyle name="Акцент1 3" xfId="171"/>
    <cellStyle name="Акцент2" xfId="54" builtinId="33" customBuiltin="1"/>
    <cellStyle name="Акцент2 2" xfId="172"/>
    <cellStyle name="Акцент2 3" xfId="173"/>
    <cellStyle name="Акцент3" xfId="55" builtinId="37" customBuiltin="1"/>
    <cellStyle name="Акцент3 2" xfId="174"/>
    <cellStyle name="Акцент3 3" xfId="175"/>
    <cellStyle name="Акцент4" xfId="56" builtinId="41" customBuiltin="1"/>
    <cellStyle name="Акцент4 2" xfId="176"/>
    <cellStyle name="Акцент4 3" xfId="177"/>
    <cellStyle name="Акцент5" xfId="57" builtinId="45" customBuiltin="1"/>
    <cellStyle name="Акцент5 2" xfId="178"/>
    <cellStyle name="Акцент5 3" xfId="179"/>
    <cellStyle name="Акцент6" xfId="58" builtinId="49" customBuiltin="1"/>
    <cellStyle name="Акцент6 2" xfId="180"/>
    <cellStyle name="Акцент6 3" xfId="181"/>
    <cellStyle name="Ввод " xfId="59" builtinId="20" customBuiltin="1"/>
    <cellStyle name="Ввод  2" xfId="182"/>
    <cellStyle name="Ввод  3" xfId="183"/>
    <cellStyle name="Вывод" xfId="60" builtinId="21" customBuiltin="1"/>
    <cellStyle name="Вывод 2" xfId="184"/>
    <cellStyle name="Вывод 3" xfId="185"/>
    <cellStyle name="Вычисление" xfId="61" builtinId="22" customBuiltin="1"/>
    <cellStyle name="Вычисление 2" xfId="186"/>
    <cellStyle name="Вычисление 3" xfId="187"/>
    <cellStyle name="Заголовок 1" xfId="62" builtinId="16" customBuiltin="1"/>
    <cellStyle name="Заголовок 1 2" xfId="188"/>
    <cellStyle name="Заголовок 1 3" xfId="189"/>
    <cellStyle name="Заголовок 2" xfId="63" builtinId="17" customBuiltin="1"/>
    <cellStyle name="Заголовок 2 2" xfId="190"/>
    <cellStyle name="Заголовок 2 3" xfId="191"/>
    <cellStyle name="Заголовок 3" xfId="64" builtinId="18" customBuiltin="1"/>
    <cellStyle name="Заголовок 3 2" xfId="192"/>
    <cellStyle name="Заголовок 3 3" xfId="193"/>
    <cellStyle name="Заголовок 4" xfId="65" builtinId="19" customBuiltin="1"/>
    <cellStyle name="Заголовок 4 2" xfId="194"/>
    <cellStyle name="Заголовок 4 3" xfId="195"/>
    <cellStyle name="Итог" xfId="66" builtinId="25" customBuiltin="1"/>
    <cellStyle name="Итог 2" xfId="196"/>
    <cellStyle name="Итог 3" xfId="197"/>
    <cellStyle name="Контрольная ячейка" xfId="67" builtinId="23" customBuiltin="1"/>
    <cellStyle name="Контрольная ячейка 2" xfId="198"/>
    <cellStyle name="Контрольная ячейка 3" xfId="199"/>
    <cellStyle name="Название" xfId="68" builtinId="15" customBuiltin="1"/>
    <cellStyle name="Название 2" xfId="200"/>
    <cellStyle name="Название 3" xfId="201"/>
    <cellStyle name="Нейтральный" xfId="69" builtinId="28" customBuiltin="1"/>
    <cellStyle name="Нейтральный 2" xfId="202"/>
    <cellStyle name="Нейтральный 3" xfId="203"/>
    <cellStyle name="Обычный" xfId="0" builtinId="0"/>
    <cellStyle name="Обычный 2" xfId="70"/>
    <cellStyle name="Обычный 2 2" xfId="112"/>
    <cellStyle name="Обычный 2 3" xfId="142"/>
    <cellStyle name="Обычный 2 4" xfId="141"/>
    <cellStyle name="Обычный 3" xfId="98"/>
    <cellStyle name="Обычный 3 2" xfId="115"/>
    <cellStyle name="Обычный 3 3" xfId="128"/>
    <cellStyle name="Обычный 3 4" xfId="228"/>
    <cellStyle name="Обычный 4" xfId="216"/>
    <cellStyle name="Обычный 5" xfId="114"/>
    <cellStyle name="Обычный 6" xfId="111"/>
    <cellStyle name="Обычный 6 2" xfId="230"/>
    <cellStyle name="Обычный 7 2" xfId="231"/>
    <cellStyle name="Обычный 8" xfId="233"/>
    <cellStyle name="Обычный_5610" xfId="90"/>
    <cellStyle name="Обычный_Доходы" xfId="91"/>
    <cellStyle name="Обычный_Коррек текущего периода" xfId="71"/>
    <cellStyle name="Обычный_курсовая" xfId="217"/>
    <cellStyle name="Обычный_Лист1" xfId="72"/>
    <cellStyle name="Обычный_Лист2" xfId="102"/>
    <cellStyle name="Обычный_Лист3" xfId="97"/>
    <cellStyle name="Обычный_Лист4" xfId="104"/>
    <cellStyle name="Обычный_облигации" xfId="73"/>
    <cellStyle name="Обычный_облигации_1" xfId="74"/>
    <cellStyle name="Обычный_облигации_2" xfId="75"/>
    <cellStyle name="Обычный_ОДДС (расчеты)" xfId="113"/>
    <cellStyle name="Обычный_Переоценка" xfId="76"/>
    <cellStyle name="Обычный_Переоценка_1" xfId="77"/>
    <cellStyle name="Обычный_пр дох" xfId="94"/>
    <cellStyle name="Обычный_пр расх" xfId="95"/>
    <cellStyle name="Обычный_Расходы" xfId="93"/>
    <cellStyle name="Обычный_Расходы_1" xfId="92"/>
    <cellStyle name="Обычный_РБП Бонды" xfId="78"/>
    <cellStyle name="Обычный_РБП Бонды_1" xfId="79"/>
    <cellStyle name="Обычный_Резервы" xfId="80"/>
    <cellStyle name="Обычный_Элим дох расх" xfId="81"/>
    <cellStyle name="Обычный_Элиминир ДЗ и КЗ" xfId="96"/>
    <cellStyle name="Плохой" xfId="82" builtinId="27" customBuiltin="1"/>
    <cellStyle name="Плохой 2" xfId="204"/>
    <cellStyle name="Плохой 3" xfId="205"/>
    <cellStyle name="Пояснение" xfId="83" builtinId="53" customBuiltin="1"/>
    <cellStyle name="Пояснение 2" xfId="206"/>
    <cellStyle name="Пояснение 3" xfId="207"/>
    <cellStyle name="Примечание" xfId="84" builtinId="10" customBuiltin="1"/>
    <cellStyle name="Примечание 2" xfId="208"/>
    <cellStyle name="Примечание 3" xfId="209"/>
    <cellStyle name="Процентный" xfId="85" builtinId="5"/>
    <cellStyle name="Процентный 2 2" xfId="232"/>
    <cellStyle name="Связанная ячейка" xfId="86" builtinId="24" customBuiltin="1"/>
    <cellStyle name="Связанная ячейка 2" xfId="210"/>
    <cellStyle name="Связанная ячейка 3" xfId="211"/>
    <cellStyle name="Текст предупреждения" xfId="87" builtinId="11" customBuiltin="1"/>
    <cellStyle name="Текст предупреждения 2" xfId="212"/>
    <cellStyle name="Текст предупреждения 3" xfId="213"/>
    <cellStyle name="Финансовый" xfId="88" builtinId="3"/>
    <cellStyle name="Финансовый 3" xfId="109"/>
    <cellStyle name="Финансовый 3 2" xfId="160"/>
    <cellStyle name="Хороший" xfId="89" builtinId="26" customBuiltin="1"/>
    <cellStyle name="Хороший 2" xfId="214"/>
    <cellStyle name="Хороший 3" xfId="2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9A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76</xdr:row>
      <xdr:rowOff>0</xdr:rowOff>
    </xdr:from>
    <xdr:to>
      <xdr:col>1</xdr:col>
      <xdr:colOff>1352550</xdr:colOff>
      <xdr:row>76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14300" y="112776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74</xdr:row>
      <xdr:rowOff>0</xdr:rowOff>
    </xdr:from>
    <xdr:to>
      <xdr:col>1</xdr:col>
      <xdr:colOff>1352550</xdr:colOff>
      <xdr:row>74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14300" y="109537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74</xdr:row>
      <xdr:rowOff>0</xdr:rowOff>
    </xdr:from>
    <xdr:to>
      <xdr:col>1</xdr:col>
      <xdr:colOff>1352550</xdr:colOff>
      <xdr:row>74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4300" y="109537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38</xdr:row>
      <xdr:rowOff>0</xdr:rowOff>
    </xdr:from>
    <xdr:to>
      <xdr:col>1</xdr:col>
      <xdr:colOff>1352550</xdr:colOff>
      <xdr:row>38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14300" y="112776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1352550</xdr:colOff>
      <xdr:row>36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14300" y="109537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1352550</xdr:colOff>
      <xdr:row>36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4300" y="109537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72</xdr:row>
      <xdr:rowOff>0</xdr:rowOff>
    </xdr:from>
    <xdr:to>
      <xdr:col>1</xdr:col>
      <xdr:colOff>1352550</xdr:colOff>
      <xdr:row>72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9525" y="108775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72</xdr:row>
      <xdr:rowOff>0</xdr:rowOff>
    </xdr:from>
    <xdr:to>
      <xdr:col>1</xdr:col>
      <xdr:colOff>1352550</xdr:colOff>
      <xdr:row>72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9525" y="108775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30</xdr:row>
      <xdr:rowOff>0</xdr:rowOff>
    </xdr:from>
    <xdr:to>
      <xdr:col>1</xdr:col>
      <xdr:colOff>1352550</xdr:colOff>
      <xdr:row>30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04775" y="54864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30</xdr:row>
      <xdr:rowOff>0</xdr:rowOff>
    </xdr:from>
    <xdr:to>
      <xdr:col>1</xdr:col>
      <xdr:colOff>1352550</xdr:colOff>
      <xdr:row>30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04775" y="54864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59</xdr:row>
      <xdr:rowOff>0</xdr:rowOff>
    </xdr:from>
    <xdr:to>
      <xdr:col>3</xdr:col>
      <xdr:colOff>0</xdr:colOff>
      <xdr:row>59</xdr:row>
      <xdr:rowOff>0</xdr:rowOff>
    </xdr:to>
    <xdr:sp macro="" textlink="">
      <xdr:nvSpPr>
        <xdr:cNvPr id="195580" name="Line 3"/>
        <xdr:cNvSpPr>
          <a:spLocks noChangeShapeType="1"/>
        </xdr:cNvSpPr>
      </xdr:nvSpPr>
      <xdr:spPr bwMode="auto">
        <a:xfrm>
          <a:off x="4533900" y="1343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0</xdr:colOff>
      <xdr:row>59</xdr:row>
      <xdr:rowOff>0</xdr:rowOff>
    </xdr:to>
    <xdr:sp macro="" textlink="">
      <xdr:nvSpPr>
        <xdr:cNvPr id="195581" name="Line 4"/>
        <xdr:cNvSpPr>
          <a:spLocks noChangeShapeType="1"/>
        </xdr:cNvSpPr>
      </xdr:nvSpPr>
      <xdr:spPr bwMode="auto">
        <a:xfrm>
          <a:off x="4533900" y="1343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0</xdr:colOff>
      <xdr:row>59</xdr:row>
      <xdr:rowOff>0</xdr:rowOff>
    </xdr:to>
    <xdr:sp macro="" textlink="">
      <xdr:nvSpPr>
        <xdr:cNvPr id="195582" name="Line 5"/>
        <xdr:cNvSpPr>
          <a:spLocks noChangeShapeType="1"/>
        </xdr:cNvSpPr>
      </xdr:nvSpPr>
      <xdr:spPr bwMode="auto">
        <a:xfrm>
          <a:off x="4533900" y="1343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0</xdr:colOff>
      <xdr:row>59</xdr:row>
      <xdr:rowOff>0</xdr:rowOff>
    </xdr:to>
    <xdr:sp macro="" textlink="">
      <xdr:nvSpPr>
        <xdr:cNvPr id="195583" name="Line 6"/>
        <xdr:cNvSpPr>
          <a:spLocks noChangeShapeType="1"/>
        </xdr:cNvSpPr>
      </xdr:nvSpPr>
      <xdr:spPr bwMode="auto">
        <a:xfrm>
          <a:off x="4533900" y="1343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215</xdr:row>
      <xdr:rowOff>0</xdr:rowOff>
    </xdr:from>
    <xdr:to>
      <xdr:col>8</xdr:col>
      <xdr:colOff>28575</xdr:colOff>
      <xdr:row>261</xdr:row>
      <xdr:rowOff>85725</xdr:rowOff>
    </xdr:to>
    <xdr:pic>
      <xdr:nvPicPr>
        <xdr:cNvPr id="3562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2757725"/>
          <a:ext cx="9477375" cy="7534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ulnara.sadibekova/&#1056;&#1072;&#1073;&#1086;&#1095;&#1080;&#1081;%20&#1089;&#1090;&#1086;&#1083;/&#1052;&#1040;&#1050;&#1045;&#1058;&#1067;/&#1052;&#1072;&#1082;&#1077;&#1090;&#1099;%20FINAL%202014/&#1052;&#1040;&#1050;&#1045;&#1058;%20RG%20Brands%20&#1089;&#1077;&#1085;&#1090;&#1103;&#1073;&#1088;&#1100;%202014&#1075;(2-&#1086;&#1077;%20&#1079;&#1072;&#1082;&#1088;&#1099;&#1090;&#1080;&#1077;)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акет ФО"/>
      <sheetName val="Баланс "/>
      <sheetName val="ОПУ"/>
      <sheetName val="СК"/>
      <sheetName val="ОДД косвен."/>
      <sheetName val="ОДД прямой"/>
      <sheetName val="Коррек текущего периода"/>
      <sheetName val="Элим дох расх"/>
      <sheetName val="Элиминир ДЗ и КЗ"/>
      <sheetName val="облигации"/>
      <sheetName val="Переоценка"/>
      <sheetName val="РБП Бонды"/>
      <sheetName val="Резервы"/>
    </sheetNames>
    <sheetDataSet>
      <sheetData sheetId="0"/>
      <sheetData sheetId="1"/>
      <sheetData sheetId="2">
        <row r="6">
          <cell r="F6">
            <v>29616014.910307296</v>
          </cell>
        </row>
      </sheetData>
      <sheetData sheetId="3"/>
      <sheetData sheetId="4"/>
      <sheetData sheetId="5">
        <row r="24">
          <cell r="B24" t="str">
            <v>Погашение ВФП связанной стороной</v>
          </cell>
        </row>
        <row r="42">
          <cell r="B42" t="str">
            <v>Погашение задолженности по облигациям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29"/>
  <sheetViews>
    <sheetView topLeftCell="A22" workbookViewId="0">
      <selection activeCell="J43" sqref="J43"/>
    </sheetView>
  </sheetViews>
  <sheetFormatPr defaultColWidth="16.5703125" defaultRowHeight="12.75" outlineLevelRow="2"/>
  <cols>
    <col min="1" max="1" width="6.140625" style="13" customWidth="1"/>
    <col min="2" max="4" width="17.28515625" style="13" customWidth="1"/>
  </cols>
  <sheetData>
    <row r="1" spans="1:5" ht="59.65" customHeight="1">
      <c r="A1" s="902"/>
      <c r="B1" s="1513" t="s">
        <v>768</v>
      </c>
      <c r="C1" s="1513"/>
      <c r="D1" s="911" t="s">
        <v>72</v>
      </c>
    </row>
    <row r="2" spans="1:5" ht="15.6" customHeight="1">
      <c r="A2" s="902"/>
      <c r="B2" s="912" t="s">
        <v>698</v>
      </c>
      <c r="C2" s="913"/>
      <c r="D2" s="913"/>
    </row>
    <row r="3" spans="1:5" ht="12.6" customHeight="1">
      <c r="A3" s="903"/>
      <c r="B3" s="914" t="s">
        <v>769</v>
      </c>
      <c r="C3" s="913"/>
      <c r="D3" s="913"/>
    </row>
    <row r="4" spans="1:5" ht="12.6" customHeight="1">
      <c r="A4" s="904"/>
      <c r="B4" s="1514" t="s">
        <v>699</v>
      </c>
      <c r="C4" s="1514"/>
      <c r="D4" s="1514"/>
    </row>
    <row r="5" spans="1:5" ht="12.6" customHeight="1">
      <c r="A5" s="904"/>
      <c r="B5" s="1514" t="s">
        <v>123</v>
      </c>
      <c r="C5" s="1514"/>
      <c r="D5" s="1514"/>
    </row>
    <row r="6" spans="1:5" s="13" customFormat="1" ht="5.25" customHeight="1" thickBot="1">
      <c r="A6" s="901"/>
      <c r="B6" s="913"/>
      <c r="C6" s="913"/>
      <c r="D6" s="913"/>
    </row>
    <row r="7" spans="1:5">
      <c r="A7" s="907"/>
      <c r="B7" s="915" t="s">
        <v>148</v>
      </c>
      <c r="C7" s="916" t="s">
        <v>149</v>
      </c>
      <c r="D7" s="917" t="s">
        <v>150</v>
      </c>
    </row>
    <row r="8" spans="1:5" ht="13.5" thickBot="1">
      <c r="A8" s="907"/>
      <c r="B8" s="918"/>
      <c r="C8" s="919"/>
      <c r="D8" s="920"/>
    </row>
    <row r="9" spans="1:5" ht="12.6" customHeight="1" thickBot="1">
      <c r="A9" s="907"/>
      <c r="B9" s="921" t="s">
        <v>151</v>
      </c>
      <c r="C9" s="922"/>
      <c r="D9" s="923">
        <v>4197249580.21</v>
      </c>
    </row>
    <row r="10" spans="1:5" ht="12.6" customHeight="1">
      <c r="A10" s="907"/>
      <c r="B10" s="924">
        <v>5300</v>
      </c>
      <c r="C10" s="925">
        <v>16627074</v>
      </c>
      <c r="D10" s="926"/>
    </row>
    <row r="11" spans="1:5" ht="12.6" customHeight="1" outlineLevel="1">
      <c r="A11" s="907"/>
      <c r="B11" s="924">
        <v>5310</v>
      </c>
      <c r="C11" s="925">
        <v>16627074</v>
      </c>
      <c r="D11" s="926"/>
    </row>
    <row r="12" spans="1:5" ht="12.6" customHeight="1">
      <c r="A12" s="907"/>
      <c r="B12" s="924">
        <v>5400</v>
      </c>
      <c r="C12" s="927"/>
      <c r="D12" s="928">
        <v>53209121.380000003</v>
      </c>
    </row>
    <row r="13" spans="1:5" ht="12.6" customHeight="1" outlineLevel="1">
      <c r="A13" s="907"/>
      <c r="B13" s="924">
        <v>5420</v>
      </c>
      <c r="C13" s="927"/>
      <c r="D13" s="928">
        <v>53209121.380000003</v>
      </c>
      <c r="E13" s="245">
        <f>D13-C11</f>
        <v>36582047.380000003</v>
      </c>
    </row>
    <row r="14" spans="1:5" ht="12.6" customHeight="1">
      <c r="A14" s="907"/>
      <c r="B14" s="924">
        <v>5500</v>
      </c>
      <c r="C14" s="925">
        <v>2249623355.96</v>
      </c>
      <c r="D14" s="926"/>
    </row>
    <row r="15" spans="1:5" ht="12.6" customHeight="1" outlineLevel="1">
      <c r="A15" s="907"/>
      <c r="B15" s="924">
        <v>5520</v>
      </c>
      <c r="C15" s="925">
        <v>2249623355.96</v>
      </c>
      <c r="D15" s="926"/>
      <c r="E15" s="245">
        <f>D9-C15</f>
        <v>1947626224.25</v>
      </c>
    </row>
    <row r="16" spans="1:5" ht="12.6" customHeight="1">
      <c r="A16" s="907"/>
      <c r="B16" s="924">
        <v>6000</v>
      </c>
      <c r="C16" s="925">
        <v>1477245511.0899999</v>
      </c>
      <c r="D16" s="1044">
        <v>10659287261.029999</v>
      </c>
    </row>
    <row r="17" spans="1:12" ht="12.6" customHeight="1" outlineLevel="1">
      <c r="A17" s="907"/>
      <c r="B17" s="924">
        <v>6010</v>
      </c>
      <c r="C17" s="927"/>
      <c r="D17" s="1044">
        <v>10659287261.029999</v>
      </c>
    </row>
    <row r="18" spans="1:12" ht="12.6" customHeight="1" outlineLevel="1">
      <c r="A18" s="907"/>
      <c r="B18" s="924">
        <v>6020</v>
      </c>
      <c r="C18" s="1045">
        <v>71735279.450000003</v>
      </c>
      <c r="D18" s="926"/>
    </row>
    <row r="19" spans="1:12" ht="12.6" customHeight="1" outlineLevel="1">
      <c r="A19" s="907"/>
      <c r="B19" s="924">
        <v>6030</v>
      </c>
      <c r="C19" s="1045">
        <v>1405510231.6400001</v>
      </c>
      <c r="D19" s="926"/>
    </row>
    <row r="20" spans="1:12" ht="12.6" customHeight="1" outlineLevel="2">
      <c r="A20" s="907"/>
      <c r="B20" s="924">
        <v>6032</v>
      </c>
      <c r="C20" s="1045">
        <v>1405510231.6400001</v>
      </c>
      <c r="D20" s="926"/>
    </row>
    <row r="21" spans="1:12" ht="12.6" customHeight="1">
      <c r="A21" s="907"/>
      <c r="B21" s="924">
        <v>6100</v>
      </c>
      <c r="C21" s="927"/>
      <c r="D21" s="928">
        <v>1982380735.7900002</v>
      </c>
    </row>
    <row r="22" spans="1:12" ht="12.6" customHeight="1" outlineLevel="1">
      <c r="A22" s="907"/>
      <c r="B22" s="924">
        <v>6110</v>
      </c>
      <c r="C22" s="927"/>
      <c r="D22" s="928">
        <v>12710314.939999999</v>
      </c>
    </row>
    <row r="23" spans="1:12" ht="12.6" customHeight="1" outlineLevel="2">
      <c r="A23" s="907"/>
      <c r="B23" s="929" t="s">
        <v>672</v>
      </c>
      <c r="C23" s="927"/>
      <c r="D23" s="1044">
        <v>10040236.35</v>
      </c>
    </row>
    <row r="24" spans="1:12" ht="12.6" customHeight="1" outlineLevel="2">
      <c r="A24" s="907"/>
      <c r="B24" s="929" t="s">
        <v>673</v>
      </c>
      <c r="C24" s="927"/>
      <c r="D24" s="1044">
        <v>1941355.42</v>
      </c>
    </row>
    <row r="25" spans="1:12" ht="12.6" customHeight="1" outlineLevel="2">
      <c r="A25" s="907"/>
      <c r="B25" s="929" t="s">
        <v>674</v>
      </c>
      <c r="C25" s="927"/>
      <c r="D25" s="1044">
        <v>-549387.96</v>
      </c>
      <c r="F25" s="1515" t="s">
        <v>783</v>
      </c>
      <c r="G25" s="1515"/>
      <c r="H25" s="1515"/>
      <c r="I25" s="1515"/>
      <c r="J25" s="1515"/>
      <c r="K25" s="1515"/>
      <c r="L25" s="1515"/>
    </row>
    <row r="26" spans="1:12" ht="12.6" customHeight="1" outlineLevel="2">
      <c r="A26" s="907"/>
      <c r="B26" s="929" t="s">
        <v>675</v>
      </c>
      <c r="C26" s="927"/>
      <c r="D26" s="1044">
        <v>1278111.1299999999</v>
      </c>
      <c r="F26" s="1516" t="s">
        <v>769</v>
      </c>
      <c r="G26" s="1516"/>
      <c r="H26" s="1516"/>
      <c r="I26" s="1516"/>
      <c r="J26" s="1516"/>
      <c r="K26" s="1516"/>
      <c r="L26" s="1516"/>
    </row>
    <row r="27" spans="1:12" ht="12.6" customHeight="1" outlineLevel="1">
      <c r="A27" s="907"/>
      <c r="B27" s="924">
        <v>6120</v>
      </c>
      <c r="C27" s="927"/>
      <c r="D27" s="1044">
        <v>1802561166</v>
      </c>
      <c r="F27" s="1514" t="s">
        <v>784</v>
      </c>
      <c r="G27" s="1514"/>
      <c r="H27" s="1514"/>
      <c r="I27" s="1514"/>
      <c r="J27" s="1514"/>
      <c r="K27" s="1514"/>
      <c r="L27" s="1514"/>
    </row>
    <row r="28" spans="1:12" ht="12.6" customHeight="1" outlineLevel="1">
      <c r="A28" s="907"/>
      <c r="B28" s="924">
        <v>6150</v>
      </c>
      <c r="C28" s="927"/>
      <c r="D28" s="928">
        <v>167109254.84999999</v>
      </c>
      <c r="F28" s="1517" t="s">
        <v>123</v>
      </c>
      <c r="G28" s="1517"/>
      <c r="H28" s="1517"/>
      <c r="I28" s="1517"/>
      <c r="J28" s="1517"/>
      <c r="K28" s="1517"/>
      <c r="L28" s="1517"/>
    </row>
    <row r="29" spans="1:12" ht="12.6" customHeight="1" outlineLevel="2" thickBot="1">
      <c r="A29" s="907"/>
      <c r="B29" s="929" t="s">
        <v>676</v>
      </c>
      <c r="C29" s="927"/>
      <c r="D29" s="1044">
        <v>27367792.059999999</v>
      </c>
      <c r="F29" s="913"/>
      <c r="G29" s="913"/>
      <c r="H29" s="913"/>
      <c r="I29" s="913"/>
      <c r="J29" s="913"/>
      <c r="K29" s="913"/>
      <c r="L29" s="913"/>
    </row>
    <row r="30" spans="1:12" ht="12.6" customHeight="1" outlineLevel="2">
      <c r="A30" s="907"/>
      <c r="B30" s="929" t="s">
        <v>246</v>
      </c>
      <c r="C30" s="927"/>
      <c r="D30" s="1044">
        <v>139741462.78999999</v>
      </c>
      <c r="F30" s="940" t="s">
        <v>188</v>
      </c>
      <c r="G30" s="1518" t="s">
        <v>154</v>
      </c>
      <c r="H30" s="1518"/>
      <c r="I30" s="1519" t="s">
        <v>359</v>
      </c>
      <c r="J30" s="1519"/>
      <c r="K30" s="1520" t="s">
        <v>156</v>
      </c>
      <c r="L30" s="1520"/>
    </row>
    <row r="31" spans="1:12" ht="12.6" customHeight="1" thickBot="1">
      <c r="A31" s="907"/>
      <c r="B31" s="924">
        <v>6200</v>
      </c>
      <c r="C31" s="925">
        <v>37668300.799999997</v>
      </c>
      <c r="D31" s="928">
        <v>4908543782.4200001</v>
      </c>
      <c r="F31" s="941"/>
      <c r="G31" s="942" t="s">
        <v>189</v>
      </c>
      <c r="H31" s="942" t="s">
        <v>190</v>
      </c>
      <c r="I31" s="943" t="s">
        <v>189</v>
      </c>
      <c r="J31" s="943" t="s">
        <v>190</v>
      </c>
      <c r="K31" s="943" t="s">
        <v>189</v>
      </c>
      <c r="L31" s="944" t="s">
        <v>190</v>
      </c>
    </row>
    <row r="32" spans="1:12" ht="12.6" customHeight="1" outlineLevel="1">
      <c r="A32" s="907"/>
      <c r="B32" s="924">
        <v>6210</v>
      </c>
      <c r="C32" s="927"/>
      <c r="D32" s="1044">
        <v>7477731.8399999999</v>
      </c>
      <c r="F32" s="945"/>
      <c r="G32" s="946"/>
      <c r="H32" s="946"/>
      <c r="I32" s="947">
        <v>1802561166</v>
      </c>
      <c r="J32" s="946"/>
      <c r="K32" s="946"/>
      <c r="L32" s="948"/>
    </row>
    <row r="33" spans="1:12" ht="12.6" customHeight="1" outlineLevel="2">
      <c r="A33" s="907"/>
      <c r="B33" s="924">
        <v>6211</v>
      </c>
      <c r="C33" s="927"/>
      <c r="D33" s="1044">
        <v>7477731.8399999999</v>
      </c>
      <c r="F33" s="949"/>
      <c r="G33" s="946"/>
      <c r="H33" s="946"/>
      <c r="I33" s="947">
        <v>1802561166</v>
      </c>
      <c r="J33" s="946"/>
      <c r="K33" s="946"/>
      <c r="L33" s="948"/>
    </row>
    <row r="34" spans="1:12" ht="12.6" customHeight="1" outlineLevel="1">
      <c r="A34" s="907"/>
      <c r="B34" s="924">
        <v>6230</v>
      </c>
      <c r="C34" s="927"/>
      <c r="D34" s="928">
        <v>845928.57</v>
      </c>
      <c r="F34" s="945" t="s">
        <v>785</v>
      </c>
      <c r="G34" s="946"/>
      <c r="H34" s="946"/>
      <c r="I34" s="946"/>
      <c r="J34" s="947">
        <v>301281095</v>
      </c>
      <c r="K34" s="946"/>
      <c r="L34" s="948"/>
    </row>
    <row r="35" spans="1:12" ht="12.6" customHeight="1" outlineLevel="1">
      <c r="A35" s="907"/>
      <c r="B35" s="924">
        <v>6240</v>
      </c>
      <c r="C35" s="927"/>
      <c r="D35" s="1044">
        <v>30000</v>
      </c>
      <c r="F35" s="949" t="s">
        <v>607</v>
      </c>
      <c r="G35" s="946"/>
      <c r="H35" s="946"/>
      <c r="I35" s="946"/>
      <c r="J35" s="947">
        <v>250918878.47</v>
      </c>
      <c r="K35" s="946"/>
      <c r="L35" s="948"/>
    </row>
    <row r="36" spans="1:12" ht="12.6" customHeight="1" outlineLevel="2">
      <c r="A36" s="907"/>
      <c r="B36" s="929" t="s">
        <v>677</v>
      </c>
      <c r="C36" s="927"/>
      <c r="D36" s="1044">
        <v>30000</v>
      </c>
      <c r="F36" s="949" t="s">
        <v>607</v>
      </c>
      <c r="G36" s="946"/>
      <c r="H36" s="946"/>
      <c r="I36" s="946"/>
      <c r="J36" s="947">
        <v>50362216.530000001</v>
      </c>
      <c r="K36" s="946"/>
      <c r="L36" s="948"/>
    </row>
    <row r="37" spans="1:12" ht="12.6" customHeight="1" outlineLevel="1">
      <c r="A37" s="907"/>
      <c r="B37" s="924">
        <v>6250</v>
      </c>
      <c r="C37" s="927"/>
      <c r="D37" s="1044">
        <v>3322747174.5299997</v>
      </c>
      <c r="F37" s="945" t="s">
        <v>605</v>
      </c>
      <c r="G37" s="946"/>
      <c r="H37" s="946"/>
      <c r="I37" s="946"/>
      <c r="J37" s="947">
        <v>1501280071</v>
      </c>
      <c r="K37" s="946"/>
      <c r="L37" s="948"/>
    </row>
    <row r="38" spans="1:12" ht="12.6" customHeight="1" outlineLevel="2" thickBot="1">
      <c r="A38" s="907"/>
      <c r="B38" s="929" t="s">
        <v>678</v>
      </c>
      <c r="C38" s="927"/>
      <c r="D38" s="1044">
        <v>3149122327.6199999</v>
      </c>
      <c r="F38" s="949" t="s">
        <v>607</v>
      </c>
      <c r="G38" s="946"/>
      <c r="H38" s="946"/>
      <c r="I38" s="946"/>
      <c r="J38" s="947">
        <v>1501280071</v>
      </c>
      <c r="K38" s="946"/>
      <c r="L38" s="948"/>
    </row>
    <row r="39" spans="1:12" ht="12.6" customHeight="1" outlineLevel="2">
      <c r="A39" s="907"/>
      <c r="B39" s="929" t="s">
        <v>748</v>
      </c>
      <c r="C39" s="927"/>
      <c r="D39" s="1044">
        <v>173624846.91</v>
      </c>
      <c r="F39" s="950" t="s">
        <v>71</v>
      </c>
      <c r="G39" s="951"/>
      <c r="H39" s="951"/>
      <c r="I39" s="952">
        <v>1802561166</v>
      </c>
      <c r="J39" s="952">
        <v>1802561166</v>
      </c>
      <c r="K39" s="951"/>
      <c r="L39" s="953"/>
    </row>
    <row r="40" spans="1:12" ht="12.6" customHeight="1" outlineLevel="1">
      <c r="A40" s="907"/>
      <c r="B40" s="924">
        <v>6280</v>
      </c>
      <c r="C40" s="925">
        <v>37668300.799999997</v>
      </c>
      <c r="D40" s="928">
        <v>1577442947.48</v>
      </c>
    </row>
    <row r="41" spans="1:12" ht="12.6" customHeight="1" outlineLevel="2">
      <c r="A41" s="907"/>
      <c r="B41" s="929" t="s">
        <v>679</v>
      </c>
      <c r="C41" s="927"/>
      <c r="D41" s="1044">
        <v>40128683.079999998</v>
      </c>
    </row>
    <row r="42" spans="1:12" ht="12.6" customHeight="1" outlineLevel="2">
      <c r="A42" s="907"/>
      <c r="B42" s="929" t="s">
        <v>680</v>
      </c>
      <c r="C42" s="927"/>
      <c r="D42" s="928">
        <v>1531182940.24</v>
      </c>
    </row>
    <row r="43" spans="1:12" ht="12.6" customHeight="1" outlineLevel="2">
      <c r="A43" s="907"/>
      <c r="B43" s="929" t="s">
        <v>681</v>
      </c>
      <c r="C43" s="927"/>
      <c r="D43" s="1044">
        <v>5765073.8799999999</v>
      </c>
      <c r="J43" s="245">
        <f>J34-G62</f>
        <v>142110000</v>
      </c>
    </row>
    <row r="44" spans="1:12" ht="12.6" customHeight="1" outlineLevel="2">
      <c r="A44" s="907"/>
      <c r="B44" s="929" t="s">
        <v>682</v>
      </c>
      <c r="C44" s="927"/>
      <c r="D44" s="928">
        <v>366250.28</v>
      </c>
    </row>
    <row r="45" spans="1:12" ht="12.6" customHeight="1" outlineLevel="2">
      <c r="A45" s="907"/>
      <c r="B45" s="929" t="s">
        <v>700</v>
      </c>
      <c r="C45" s="925">
        <v>37668300.799999997</v>
      </c>
      <c r="D45" s="926"/>
    </row>
    <row r="46" spans="1:12" ht="12.6" customHeight="1">
      <c r="A46" s="907"/>
      <c r="B46" s="924">
        <v>7000</v>
      </c>
      <c r="C46" s="925">
        <v>6104776755.8200006</v>
      </c>
      <c r="D46" s="926"/>
    </row>
    <row r="47" spans="1:12" ht="12.6" customHeight="1" outlineLevel="1">
      <c r="A47" s="907"/>
      <c r="B47" s="924">
        <v>7010</v>
      </c>
      <c r="C47" s="1045">
        <v>6092387181.7199993</v>
      </c>
      <c r="D47" s="926"/>
    </row>
    <row r="48" spans="1:12" ht="12.6" customHeight="1" outlineLevel="1">
      <c r="A48" s="907"/>
      <c r="B48" s="924">
        <v>7020</v>
      </c>
      <c r="C48" s="1045">
        <v>12389574.1</v>
      </c>
      <c r="D48" s="926"/>
    </row>
    <row r="49" spans="1:7" ht="12.6" customHeight="1">
      <c r="A49" s="907"/>
      <c r="B49" s="924">
        <v>7100</v>
      </c>
      <c r="C49" s="1045">
        <v>1693673451.8099999</v>
      </c>
      <c r="D49" s="926"/>
    </row>
    <row r="50" spans="1:7" ht="12.6" customHeight="1" outlineLevel="1">
      <c r="A50" s="907"/>
      <c r="B50" s="924">
        <v>7110</v>
      </c>
      <c r="C50" s="1045">
        <v>1693673451.8099999</v>
      </c>
      <c r="D50" s="926"/>
    </row>
    <row r="51" spans="1:7" ht="12.6" customHeight="1">
      <c r="A51" s="907"/>
      <c r="B51" s="924">
        <v>7200</v>
      </c>
      <c r="C51" s="1045">
        <v>726363008.57000005</v>
      </c>
      <c r="D51" s="926"/>
    </row>
    <row r="52" spans="1:7" ht="12.6" customHeight="1" outlineLevel="1">
      <c r="A52" s="907"/>
      <c r="B52" s="924">
        <v>7210</v>
      </c>
      <c r="C52" s="1045">
        <v>726538138.16999996</v>
      </c>
      <c r="D52" s="926"/>
    </row>
    <row r="53" spans="1:7" ht="12.6" customHeight="1" outlineLevel="2">
      <c r="A53" s="907"/>
      <c r="B53" s="929" t="s">
        <v>683</v>
      </c>
      <c r="C53" s="1045">
        <v>709371210.92999995</v>
      </c>
      <c r="D53" s="926"/>
    </row>
    <row r="54" spans="1:7" ht="12.6" customHeight="1" outlineLevel="1">
      <c r="A54" s="907"/>
      <c r="B54" s="924">
        <v>7211</v>
      </c>
      <c r="C54" s="1045">
        <v>17166927.239999998</v>
      </c>
      <c r="D54" s="926"/>
    </row>
    <row r="55" spans="1:7" ht="12.6" customHeight="1" outlineLevel="2">
      <c r="A55" s="907"/>
      <c r="B55" s="924">
        <v>7220</v>
      </c>
      <c r="C55" s="1045">
        <v>-175129.60000000001</v>
      </c>
      <c r="D55" s="926"/>
    </row>
    <row r="56" spans="1:7" ht="12.6" customHeight="1" outlineLevel="2">
      <c r="A56" s="907"/>
      <c r="B56" s="929" t="s">
        <v>684</v>
      </c>
      <c r="C56" s="1045">
        <v>-5128</v>
      </c>
      <c r="D56" s="926"/>
    </row>
    <row r="57" spans="1:7" ht="12.6" customHeight="1" outlineLevel="2">
      <c r="A57" s="907"/>
      <c r="B57" s="929" t="s">
        <v>685</v>
      </c>
      <c r="C57" s="1045">
        <v>-188889</v>
      </c>
      <c r="D57" s="926"/>
    </row>
    <row r="58" spans="1:7" ht="12.6" customHeight="1" outlineLevel="2">
      <c r="A58" s="907"/>
      <c r="B58" s="929" t="s">
        <v>686</v>
      </c>
      <c r="C58" s="1045">
        <v>-8230.9</v>
      </c>
      <c r="D58" s="926"/>
    </row>
    <row r="59" spans="1:7" ht="12.6" customHeight="1">
      <c r="A59" s="907"/>
      <c r="B59" s="929" t="s">
        <v>687</v>
      </c>
      <c r="C59" s="1045">
        <v>27118.3</v>
      </c>
      <c r="D59" s="926"/>
    </row>
    <row r="60" spans="1:7" ht="12.6" customHeight="1" outlineLevel="1">
      <c r="A60" s="907"/>
      <c r="B60" s="924">
        <v>7300</v>
      </c>
      <c r="C60" s="925">
        <v>551432066.17999995</v>
      </c>
      <c r="D60" s="926"/>
    </row>
    <row r="61" spans="1:7" ht="12.6" customHeight="1" outlineLevel="2">
      <c r="A61" s="907"/>
      <c r="B61" s="924">
        <v>7310</v>
      </c>
      <c r="C61" s="925">
        <v>551432066.17999995</v>
      </c>
      <c r="D61" s="926"/>
    </row>
    <row r="62" spans="1:7" ht="12.6" customHeight="1" outlineLevel="2">
      <c r="A62" s="907"/>
      <c r="B62" s="929" t="s">
        <v>247</v>
      </c>
      <c r="C62" s="1045">
        <v>159171095</v>
      </c>
      <c r="D62" s="926"/>
      <c r="E62" t="s">
        <v>752</v>
      </c>
      <c r="G62" s="1227">
        <v>159171095</v>
      </c>
    </row>
    <row r="63" spans="1:7" ht="12.6" customHeight="1" outlineLevel="2">
      <c r="A63" s="907"/>
      <c r="B63" s="929" t="s">
        <v>688</v>
      </c>
      <c r="C63" s="1045">
        <v>893730.68</v>
      </c>
      <c r="D63" s="926"/>
    </row>
    <row r="64" spans="1:7" ht="12.6" customHeight="1" outlineLevel="2">
      <c r="A64" s="907"/>
      <c r="B64" s="929" t="s">
        <v>690</v>
      </c>
      <c r="C64" s="1045">
        <v>373547662.43000001</v>
      </c>
      <c r="D64" s="926"/>
    </row>
    <row r="65" spans="1:4" ht="12.6" customHeight="1" outlineLevel="2">
      <c r="A65" s="907"/>
      <c r="B65" s="929" t="s">
        <v>691</v>
      </c>
      <c r="C65" s="1045">
        <v>17819578.07</v>
      </c>
      <c r="D65" s="926"/>
    </row>
    <row r="66" spans="1:4" ht="12.6" customHeight="1" outlineLevel="2">
      <c r="A66" s="907"/>
      <c r="B66" s="924">
        <v>7400</v>
      </c>
      <c r="C66" s="925">
        <v>4216025200.7000003</v>
      </c>
      <c r="D66" s="926"/>
    </row>
    <row r="67" spans="1:4" ht="12.6" customHeight="1">
      <c r="A67" s="907"/>
      <c r="B67" s="924">
        <v>7410</v>
      </c>
      <c r="C67" s="1045">
        <v>2557335.2999999998</v>
      </c>
      <c r="D67" s="926"/>
    </row>
    <row r="68" spans="1:4" ht="12.6" customHeight="1" outlineLevel="1">
      <c r="A68" s="907"/>
      <c r="B68" s="924">
        <v>7411</v>
      </c>
      <c r="C68" s="1045">
        <v>2557335.2999999998</v>
      </c>
      <c r="D68" s="926"/>
    </row>
    <row r="69" spans="1:4" ht="12.6" customHeight="1" outlineLevel="2">
      <c r="A69" s="907"/>
      <c r="B69" s="924">
        <v>7420</v>
      </c>
      <c r="C69" s="1045">
        <v>115941.34</v>
      </c>
      <c r="D69" s="926"/>
    </row>
    <row r="70" spans="1:4" ht="12.6" customHeight="1" outlineLevel="1">
      <c r="A70" s="907"/>
      <c r="B70" s="924">
        <v>7430</v>
      </c>
      <c r="C70" s="1045">
        <v>3315512630.1199999</v>
      </c>
      <c r="D70" s="926"/>
    </row>
    <row r="71" spans="1:4" ht="12.6" customHeight="1" outlineLevel="1">
      <c r="A71" s="907"/>
      <c r="B71" s="929" t="s">
        <v>692</v>
      </c>
      <c r="C71" s="925">
        <v>3237861655.6900001</v>
      </c>
      <c r="D71" s="926"/>
    </row>
    <row r="72" spans="1:4" ht="12.6" customHeight="1" outlineLevel="2">
      <c r="A72" s="907"/>
      <c r="B72" s="929" t="s">
        <v>749</v>
      </c>
      <c r="C72" s="925">
        <v>77650974.430000007</v>
      </c>
      <c r="D72" s="926"/>
    </row>
    <row r="73" spans="1:4" ht="12.6" customHeight="1" outlineLevel="2">
      <c r="A73" s="907"/>
      <c r="B73" s="924">
        <v>7470</v>
      </c>
      <c r="C73" s="925">
        <v>897839293.94000006</v>
      </c>
      <c r="D73" s="926"/>
    </row>
    <row r="74" spans="1:4" ht="12.6" customHeight="1" outlineLevel="1">
      <c r="A74" s="907"/>
      <c r="B74" s="929" t="s">
        <v>694</v>
      </c>
      <c r="C74" s="1045">
        <v>61299495.600000001</v>
      </c>
      <c r="D74" s="926"/>
    </row>
    <row r="75" spans="1:4" ht="12.6" customHeight="1" outlineLevel="2">
      <c r="A75" s="907"/>
      <c r="B75" s="929" t="s">
        <v>695</v>
      </c>
      <c r="C75" s="1045">
        <v>13361712.84</v>
      </c>
      <c r="D75" s="926"/>
    </row>
    <row r="76" spans="1:4" ht="12.6" customHeight="1" outlineLevel="2">
      <c r="A76" s="907"/>
      <c r="B76" s="929" t="s">
        <v>696</v>
      </c>
      <c r="C76" s="1045">
        <v>76742016.049999997</v>
      </c>
      <c r="D76" s="926"/>
    </row>
    <row r="77" spans="1:4" ht="12.6" customHeight="1" outlineLevel="2">
      <c r="A77" s="907"/>
      <c r="B77" s="929" t="s">
        <v>249</v>
      </c>
      <c r="C77" s="925">
        <v>710414980.58000004</v>
      </c>
      <c r="D77" s="926"/>
    </row>
    <row r="78" spans="1:4" ht="12.6" customHeight="1" outlineLevel="2">
      <c r="A78" s="907"/>
      <c r="B78" s="929" t="s">
        <v>248</v>
      </c>
      <c r="C78" s="1045">
        <v>31863648.870000001</v>
      </c>
      <c r="D78" s="926"/>
    </row>
    <row r="79" spans="1:4" ht="12.6" customHeight="1" outlineLevel="2">
      <c r="A79" s="907"/>
      <c r="B79" s="929" t="s">
        <v>697</v>
      </c>
      <c r="C79" s="1045">
        <v>4157440</v>
      </c>
      <c r="D79" s="926"/>
    </row>
    <row r="80" spans="1:4" ht="12.6" customHeight="1" outlineLevel="2">
      <c r="A80" s="907"/>
      <c r="B80" s="924">
        <v>7700</v>
      </c>
      <c r="C80" s="925">
        <v>-702462</v>
      </c>
      <c r="D80" s="926"/>
    </row>
    <row r="81" spans="1:5" ht="12.6" customHeight="1" thickBot="1">
      <c r="A81" s="907"/>
      <c r="B81" s="924">
        <v>7710</v>
      </c>
      <c r="C81" s="925">
        <v>-702462</v>
      </c>
      <c r="D81" s="926"/>
    </row>
    <row r="82" spans="1:5" ht="12.6" customHeight="1" outlineLevel="1">
      <c r="A82" s="907"/>
      <c r="B82" s="930" t="s">
        <v>152</v>
      </c>
      <c r="C82" s="931">
        <v>17072732262.930002</v>
      </c>
      <c r="D82" s="932">
        <v>17603420900.619999</v>
      </c>
    </row>
    <row r="83" spans="1:5" ht="12.6" customHeight="1" thickBot="1">
      <c r="A83" s="907"/>
      <c r="B83" s="933" t="s">
        <v>153</v>
      </c>
      <c r="C83" s="934"/>
      <c r="D83" s="935">
        <v>4727938217.8999996</v>
      </c>
    </row>
    <row r="86" spans="1:5">
      <c r="B86" s="936" t="s">
        <v>772</v>
      </c>
      <c r="C86" s="913"/>
      <c r="D86" s="911" t="s">
        <v>72</v>
      </c>
    </row>
    <row r="87" spans="1:5" ht="30">
      <c r="B87" s="912" t="s">
        <v>698</v>
      </c>
      <c r="C87" s="913"/>
      <c r="D87" s="913"/>
    </row>
    <row r="88" spans="1:5" ht="24">
      <c r="B88" s="914" t="s">
        <v>769</v>
      </c>
      <c r="C88" s="913"/>
      <c r="D88" s="913"/>
    </row>
    <row r="89" spans="1:5">
      <c r="B89" s="1514" t="s">
        <v>699</v>
      </c>
      <c r="C89" s="1514"/>
      <c r="D89" s="1514"/>
    </row>
    <row r="90" spans="1:5">
      <c r="B90" s="1514" t="s">
        <v>123</v>
      </c>
      <c r="C90" s="1514"/>
      <c r="D90" s="1514"/>
    </row>
    <row r="91" spans="1:5" ht="13.5" thickBot="1">
      <c r="B91" s="913"/>
      <c r="C91" s="913"/>
      <c r="D91" s="913"/>
    </row>
    <row r="92" spans="1:5">
      <c r="B92" s="915" t="s">
        <v>148</v>
      </c>
      <c r="C92" s="916" t="s">
        <v>149</v>
      </c>
      <c r="D92" s="917" t="s">
        <v>150</v>
      </c>
    </row>
    <row r="93" spans="1:5" ht="13.5" thickBot="1">
      <c r="B93" s="918"/>
      <c r="C93" s="919"/>
      <c r="D93" s="920"/>
    </row>
    <row r="94" spans="1:5" ht="13.5" thickBot="1">
      <c r="B94" s="921" t="s">
        <v>151</v>
      </c>
      <c r="C94" s="922"/>
      <c r="D94" s="923">
        <v>-431647220.77999997</v>
      </c>
    </row>
    <row r="95" spans="1:5">
      <c r="B95" s="924">
        <v>5400</v>
      </c>
      <c r="C95" s="925">
        <v>8453936.5099999998</v>
      </c>
      <c r="D95" s="928">
        <v>2483767.77</v>
      </c>
      <c r="E95" s="244">
        <f>D95-C95</f>
        <v>-5970168.7400000002</v>
      </c>
    </row>
    <row r="96" spans="1:5">
      <c r="B96" s="924">
        <v>5470</v>
      </c>
      <c r="C96" s="925">
        <v>8453936.5099999998</v>
      </c>
      <c r="D96" s="928">
        <v>2483767.77</v>
      </c>
      <c r="E96" s="245">
        <f>D94+D97</f>
        <v>-92890858.379999995</v>
      </c>
    </row>
    <row r="97" spans="2:5">
      <c r="B97" s="924">
        <v>5500</v>
      </c>
      <c r="C97" s="927"/>
      <c r="D97" s="928">
        <v>338756362.39999998</v>
      </c>
    </row>
    <row r="98" spans="2:5">
      <c r="B98" s="924">
        <v>5520</v>
      </c>
      <c r="C98" s="927"/>
      <c r="D98" s="928">
        <v>338756362.39999998</v>
      </c>
    </row>
    <row r="99" spans="2:5">
      <c r="B99" s="924">
        <v>5600</v>
      </c>
      <c r="C99" s="925">
        <v>175015762.58000001</v>
      </c>
      <c r="D99" s="928">
        <v>175015762.58000001</v>
      </c>
    </row>
    <row r="100" spans="2:5">
      <c r="B100" s="924">
        <v>5610</v>
      </c>
      <c r="C100" s="925">
        <v>175015762.58000001</v>
      </c>
      <c r="D100" s="928">
        <v>175015762.58000001</v>
      </c>
    </row>
    <row r="101" spans="2:5">
      <c r="B101" s="924">
        <v>6000</v>
      </c>
      <c r="C101" s="925">
        <v>3777896.41</v>
      </c>
      <c r="D101" s="928">
        <v>772708370.08000004</v>
      </c>
      <c r="E101" s="244">
        <f>D101-C100+D103-C103</f>
        <v>711612572.32999992</v>
      </c>
    </row>
    <row r="102" spans="2:5">
      <c r="B102" s="924">
        <v>6010</v>
      </c>
      <c r="C102" s="925">
        <v>3777896.41</v>
      </c>
      <c r="D102" s="928">
        <v>772708370.08000004</v>
      </c>
    </row>
    <row r="103" spans="2:5">
      <c r="B103" s="924">
        <v>6200</v>
      </c>
      <c r="C103" s="925">
        <v>-82796.78</v>
      </c>
      <c r="D103" s="928">
        <v>113837168.05</v>
      </c>
    </row>
    <row r="104" spans="2:5">
      <c r="B104" s="924">
        <v>6250</v>
      </c>
      <c r="C104" s="925">
        <v>-82796.78</v>
      </c>
      <c r="D104" s="928">
        <v>108777100.73999999</v>
      </c>
    </row>
    <row r="105" spans="2:5">
      <c r="B105" s="929" t="s">
        <v>678</v>
      </c>
      <c r="C105" s="927"/>
      <c r="D105" s="928">
        <v>108777100.73999999</v>
      </c>
    </row>
    <row r="106" spans="2:5">
      <c r="B106" s="929" t="s">
        <v>748</v>
      </c>
      <c r="C106" s="925">
        <v>-82796.78</v>
      </c>
      <c r="D106" s="926"/>
    </row>
    <row r="107" spans="2:5">
      <c r="B107" s="924">
        <v>6280</v>
      </c>
      <c r="C107" s="927"/>
      <c r="D107" s="928">
        <v>5060067.3099999996</v>
      </c>
    </row>
    <row r="108" spans="2:5">
      <c r="B108" s="929" t="s">
        <v>680</v>
      </c>
      <c r="C108" s="927"/>
      <c r="D108" s="928">
        <v>362615.65</v>
      </c>
    </row>
    <row r="109" spans="2:5">
      <c r="B109" s="929" t="s">
        <v>682</v>
      </c>
      <c r="C109" s="927"/>
      <c r="D109" s="928">
        <v>4697451.66</v>
      </c>
    </row>
    <row r="110" spans="2:5">
      <c r="B110" s="924">
        <v>7000</v>
      </c>
      <c r="C110" s="925">
        <v>483905015.74000001</v>
      </c>
      <c r="D110" s="926"/>
      <c r="E110" s="244">
        <f>C110+C113+C115-D115+C121</f>
        <v>647590701.16999996</v>
      </c>
    </row>
    <row r="111" spans="2:5">
      <c r="B111" s="924">
        <v>7010</v>
      </c>
      <c r="C111" s="925">
        <v>483842593.47000003</v>
      </c>
      <c r="D111" s="926"/>
    </row>
    <row r="112" spans="2:5">
      <c r="B112" s="924">
        <v>7020</v>
      </c>
      <c r="C112" s="925">
        <v>62422.27</v>
      </c>
      <c r="D112" s="926"/>
    </row>
    <row r="113" spans="2:5">
      <c r="B113" s="924">
        <v>7100</v>
      </c>
      <c r="C113" s="925">
        <v>78870358.530000001</v>
      </c>
      <c r="D113" s="926"/>
    </row>
    <row r="114" spans="2:5">
      <c r="B114" s="924">
        <v>7110</v>
      </c>
      <c r="C114" s="925">
        <v>78870358.530000001</v>
      </c>
      <c r="D114" s="926"/>
    </row>
    <row r="115" spans="2:5">
      <c r="B115" s="924">
        <v>7200</v>
      </c>
      <c r="C115" s="925">
        <v>64630440.82</v>
      </c>
      <c r="D115" s="928">
        <v>209540.44</v>
      </c>
    </row>
    <row r="116" spans="2:5">
      <c r="B116" s="924">
        <v>7210</v>
      </c>
      <c r="C116" s="925">
        <v>62431310.640000001</v>
      </c>
      <c r="D116" s="928">
        <v>209540.44</v>
      </c>
    </row>
    <row r="117" spans="2:5">
      <c r="B117" s="929" t="s">
        <v>683</v>
      </c>
      <c r="C117" s="925">
        <v>62232904.640000001</v>
      </c>
      <c r="D117" s="928">
        <v>209540.44</v>
      </c>
    </row>
    <row r="118" spans="2:5">
      <c r="B118" s="924">
        <v>7211</v>
      </c>
      <c r="C118" s="925">
        <v>198406</v>
      </c>
      <c r="D118" s="926"/>
    </row>
    <row r="119" spans="2:5">
      <c r="B119" s="924">
        <v>7220</v>
      </c>
      <c r="C119" s="925">
        <v>2199130.1800000002</v>
      </c>
      <c r="D119" s="926"/>
    </row>
    <row r="120" spans="2:5">
      <c r="B120" s="929" t="s">
        <v>687</v>
      </c>
      <c r="C120" s="925">
        <v>2199130.1800000002</v>
      </c>
      <c r="D120" s="926"/>
    </row>
    <row r="121" spans="2:5">
      <c r="B121" s="924">
        <v>7400</v>
      </c>
      <c r="C121" s="925">
        <v>20394426.52</v>
      </c>
      <c r="D121" s="926"/>
    </row>
    <row r="122" spans="2:5">
      <c r="B122" s="924">
        <v>7430</v>
      </c>
      <c r="C122" s="925">
        <v>2850863.59</v>
      </c>
      <c r="D122" s="926"/>
    </row>
    <row r="123" spans="2:5">
      <c r="B123" s="929" t="s">
        <v>692</v>
      </c>
      <c r="C123" s="925">
        <v>1057988.6100000001</v>
      </c>
      <c r="D123" s="926"/>
    </row>
    <row r="124" spans="2:5">
      <c r="B124" s="929" t="s">
        <v>749</v>
      </c>
      <c r="C124" s="925">
        <v>1792874.98</v>
      </c>
      <c r="D124" s="926"/>
    </row>
    <row r="125" spans="2:5">
      <c r="B125" s="924">
        <v>7470</v>
      </c>
      <c r="C125" s="925">
        <v>17543562.93</v>
      </c>
      <c r="D125" s="926"/>
    </row>
    <row r="126" spans="2:5">
      <c r="B126" s="929" t="s">
        <v>249</v>
      </c>
      <c r="C126" s="925">
        <v>12796924.49</v>
      </c>
      <c r="D126" s="926"/>
    </row>
    <row r="127" spans="2:5" ht="13.5" thickBot="1">
      <c r="B127" s="929" t="s">
        <v>697</v>
      </c>
      <c r="C127" s="925">
        <v>4746638.4400000004</v>
      </c>
      <c r="D127" s="926"/>
    </row>
    <row r="128" spans="2:5">
      <c r="B128" s="930" t="s">
        <v>152</v>
      </c>
      <c r="C128" s="931">
        <v>834965040.33000004</v>
      </c>
      <c r="D128" s="932">
        <v>1403010971.3199999</v>
      </c>
      <c r="E128" s="244"/>
    </row>
    <row r="129" spans="2:5" ht="13.5" thickBot="1">
      <c r="B129" s="933" t="s">
        <v>153</v>
      </c>
      <c r="C129" s="934"/>
      <c r="D129" s="935">
        <v>136398710.21000001</v>
      </c>
      <c r="E129" s="244">
        <f>E101-E110</f>
        <v>64021871.159999967</v>
      </c>
    </row>
  </sheetData>
  <mergeCells count="12">
    <mergeCell ref="F25:L25"/>
    <mergeCell ref="F26:L26"/>
    <mergeCell ref="F27:L27"/>
    <mergeCell ref="F28:L28"/>
    <mergeCell ref="G30:H30"/>
    <mergeCell ref="I30:J30"/>
    <mergeCell ref="K30:L30"/>
    <mergeCell ref="B1:C1"/>
    <mergeCell ref="B4:D4"/>
    <mergeCell ref="B5:D5"/>
    <mergeCell ref="B89:D89"/>
    <mergeCell ref="B90:D9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30"/>
  <sheetViews>
    <sheetView workbookViewId="0">
      <pane ySplit="6" topLeftCell="A7" activePane="bottomLeft" state="frozen"/>
      <selection pane="bottomLeft" activeCell="E35" sqref="E35"/>
    </sheetView>
  </sheetViews>
  <sheetFormatPr defaultColWidth="9.140625" defaultRowHeight="12.75" outlineLevelRow="1"/>
  <cols>
    <col min="1" max="1" width="36.5703125" style="999" customWidth="1"/>
    <col min="2" max="2" width="14.7109375" style="13" customWidth="1"/>
    <col min="3" max="3" width="22.7109375" style="13" customWidth="1"/>
    <col min="4" max="7" width="14.7109375" style="13" customWidth="1"/>
    <col min="8" max="8" width="15.140625" style="13" customWidth="1"/>
    <col min="9" max="9" width="11.28515625" style="13" customWidth="1"/>
    <col min="10" max="16384" width="9.140625" style="13"/>
  </cols>
  <sheetData>
    <row r="1" spans="1:9" ht="24.4" customHeight="1">
      <c r="A1" s="1582" t="s">
        <v>820</v>
      </c>
      <c r="B1" s="1582"/>
      <c r="C1" s="1582"/>
      <c r="D1" s="955"/>
    </row>
    <row r="2" spans="1:9" ht="15.6" customHeight="1">
      <c r="A2" s="1583" t="s">
        <v>821</v>
      </c>
      <c r="B2" s="1583"/>
      <c r="C2" s="1583"/>
      <c r="D2" s="957"/>
    </row>
    <row r="3" spans="1:9" ht="12.6" customHeight="1">
      <c r="A3" s="1584" t="s">
        <v>822</v>
      </c>
      <c r="B3" s="1584"/>
      <c r="C3" s="1584"/>
      <c r="D3" s="958"/>
    </row>
    <row r="4" spans="1:9" ht="12.6" customHeight="1">
      <c r="A4" s="1585"/>
      <c r="B4" s="1585"/>
      <c r="C4" s="1585"/>
      <c r="D4" s="956"/>
    </row>
    <row r="5" spans="1:9" ht="12.6" customHeight="1" thickBot="1">
      <c r="A5" s="1585"/>
      <c r="B5" s="1585"/>
      <c r="C5" s="1585"/>
      <c r="D5" s="956"/>
      <c r="E5" s="1586" t="s">
        <v>790</v>
      </c>
      <c r="F5" s="1587"/>
      <c r="G5" s="1579" t="s">
        <v>791</v>
      </c>
      <c r="H5" s="1580"/>
      <c r="I5" s="1581"/>
    </row>
    <row r="6" spans="1:9" s="1012" customFormat="1" ht="25.5" customHeight="1" thickBot="1">
      <c r="A6" s="964" t="s">
        <v>124</v>
      </c>
      <c r="B6" s="965" t="s">
        <v>148</v>
      </c>
      <c r="C6" s="965" t="s">
        <v>149</v>
      </c>
      <c r="D6" s="966" t="s">
        <v>792</v>
      </c>
      <c r="E6" s="965" t="s">
        <v>793</v>
      </c>
      <c r="F6" s="965" t="s">
        <v>794</v>
      </c>
      <c r="G6" s="965" t="s">
        <v>823</v>
      </c>
      <c r="H6" s="965" t="s">
        <v>824</v>
      </c>
      <c r="I6" s="1011" t="s">
        <v>825</v>
      </c>
    </row>
    <row r="7" spans="1:9" ht="12.75" customHeight="1">
      <c r="A7" s="985" t="s">
        <v>826</v>
      </c>
      <c r="B7" s="261" t="s">
        <v>151</v>
      </c>
      <c r="C7" s="178"/>
      <c r="D7" s="178"/>
      <c r="E7" s="178"/>
      <c r="F7" s="178"/>
      <c r="G7" s="178"/>
      <c r="H7" s="178"/>
      <c r="I7" s="178"/>
    </row>
    <row r="8" spans="1:9" ht="12.6" customHeight="1" outlineLevel="1">
      <c r="A8" s="972"/>
      <c r="B8" s="555">
        <v>1310</v>
      </c>
      <c r="C8" s="467"/>
      <c r="D8" s="237"/>
      <c r="E8" s="237"/>
      <c r="F8" s="237"/>
      <c r="G8" s="237"/>
      <c r="H8" s="237"/>
      <c r="I8" s="237"/>
    </row>
    <row r="9" spans="1:9" ht="12.6" customHeight="1" outlineLevel="1">
      <c r="A9" s="972"/>
      <c r="B9" s="555" t="s">
        <v>652</v>
      </c>
      <c r="C9" s="467"/>
      <c r="D9" s="237"/>
      <c r="E9" s="237"/>
      <c r="F9" s="237"/>
      <c r="G9" s="237"/>
      <c r="H9" s="237"/>
      <c r="I9" s="237"/>
    </row>
    <row r="10" spans="1:9" ht="12.6" customHeight="1">
      <c r="A10" s="974"/>
      <c r="B10" s="263" t="s">
        <v>152</v>
      </c>
      <c r="C10" s="239">
        <f>SUM(C8:C9)</f>
        <v>0</v>
      </c>
      <c r="D10" s="239"/>
      <c r="E10" s="239"/>
      <c r="F10" s="239"/>
      <c r="G10" s="239">
        <f>C10</f>
        <v>0</v>
      </c>
      <c r="H10" s="239"/>
      <c r="I10" s="239"/>
    </row>
    <row r="11" spans="1:9" ht="26.25" customHeight="1">
      <c r="A11" s="985" t="s">
        <v>827</v>
      </c>
      <c r="B11" s="261" t="s">
        <v>151</v>
      </c>
      <c r="C11" s="1013"/>
      <c r="D11" s="178"/>
      <c r="E11" s="178"/>
      <c r="F11" s="178"/>
      <c r="G11" s="178"/>
      <c r="H11" s="178"/>
      <c r="I11" s="178"/>
    </row>
    <row r="12" spans="1:9" ht="12.6" customHeight="1" outlineLevel="1">
      <c r="A12" s="972"/>
      <c r="B12" s="555" t="s">
        <v>558</v>
      </c>
      <c r="C12" s="467"/>
      <c r="D12" s="237"/>
      <c r="E12" s="237"/>
      <c r="F12" s="237"/>
      <c r="G12" s="237"/>
      <c r="H12" s="237"/>
      <c r="I12" s="237"/>
    </row>
    <row r="13" spans="1:9" ht="12.6" customHeight="1">
      <c r="A13" s="974"/>
      <c r="B13" s="263" t="s">
        <v>152</v>
      </c>
      <c r="C13" s="283">
        <f>SUM(C12)</f>
        <v>0</v>
      </c>
      <c r="D13" s="239">
        <f>C13</f>
        <v>0</v>
      </c>
      <c r="E13" s="239"/>
      <c r="F13" s="239"/>
      <c r="G13" s="239"/>
      <c r="H13" s="239"/>
      <c r="I13" s="239"/>
    </row>
    <row r="14" spans="1:9" ht="23.25" customHeight="1">
      <c r="A14" s="985" t="s">
        <v>828</v>
      </c>
      <c r="B14" s="981" t="s">
        <v>151</v>
      </c>
      <c r="C14" s="1013"/>
      <c r="D14" s="178"/>
      <c r="E14" s="178"/>
      <c r="F14" s="178"/>
      <c r="G14" s="178"/>
      <c r="H14" s="178"/>
      <c r="I14" s="178"/>
    </row>
    <row r="15" spans="1:9" ht="12.6" customHeight="1" outlineLevel="1">
      <c r="A15" s="972"/>
      <c r="B15" s="1014">
        <v>1300</v>
      </c>
      <c r="C15" s="990">
        <v>846.69</v>
      </c>
      <c r="D15" s="237"/>
      <c r="E15" s="237"/>
      <c r="F15" s="237"/>
      <c r="G15" s="237"/>
      <c r="H15" s="237"/>
      <c r="I15" s="237"/>
    </row>
    <row r="16" spans="1:9" ht="12.6" customHeight="1">
      <c r="A16" s="974"/>
      <c r="B16" s="1015" t="s">
        <v>152</v>
      </c>
      <c r="C16" s="283">
        <f>SUM(C15)</f>
        <v>846.69</v>
      </c>
      <c r="D16" s="239">
        <f>C16</f>
        <v>846.69</v>
      </c>
      <c r="E16" s="239"/>
      <c r="F16" s="239"/>
      <c r="G16" s="239"/>
      <c r="H16" s="239"/>
      <c r="I16" s="239"/>
    </row>
    <row r="17" spans="1:9" ht="25.5" customHeight="1">
      <c r="A17" s="985" t="s">
        <v>829</v>
      </c>
      <c r="B17" s="261" t="s">
        <v>151</v>
      </c>
      <c r="C17" s="178"/>
      <c r="D17" s="178"/>
      <c r="E17" s="178"/>
      <c r="F17" s="178"/>
      <c r="G17" s="178"/>
      <c r="H17" s="178"/>
      <c r="I17" s="178"/>
    </row>
    <row r="18" spans="1:9" ht="12.6" customHeight="1" outlineLevel="1">
      <c r="A18" s="972"/>
      <c r="B18" s="555">
        <v>1350.54</v>
      </c>
      <c r="C18" s="467"/>
      <c r="D18" s="237"/>
      <c r="E18" s="237"/>
      <c r="F18" s="237"/>
      <c r="G18" s="237"/>
      <c r="H18" s="237"/>
      <c r="I18" s="237"/>
    </row>
    <row r="19" spans="1:9" ht="12.6" customHeight="1">
      <c r="A19" s="974"/>
      <c r="B19" s="263" t="s">
        <v>152</v>
      </c>
      <c r="C19" s="990">
        <f>SUM(C18)</f>
        <v>0</v>
      </c>
      <c r="D19" s="239"/>
      <c r="E19" s="239">
        <f>C19</f>
        <v>0</v>
      </c>
      <c r="F19" s="239"/>
      <c r="G19" s="239"/>
      <c r="H19" s="239"/>
      <c r="I19" s="239"/>
    </row>
    <row r="20" spans="1:9" ht="15" customHeight="1">
      <c r="A20" s="985" t="s">
        <v>830</v>
      </c>
      <c r="B20" s="261" t="s">
        <v>151</v>
      </c>
      <c r="C20" s="178"/>
      <c r="D20" s="178"/>
      <c r="E20" s="178"/>
      <c r="F20" s="178"/>
      <c r="G20" s="178"/>
      <c r="H20" s="178"/>
      <c r="I20" s="178"/>
    </row>
    <row r="21" spans="1:9" ht="12.6" customHeight="1" outlineLevel="1">
      <c r="A21" s="972"/>
      <c r="B21" s="555">
        <v>1280.0999999999999</v>
      </c>
      <c r="C21" s="467"/>
      <c r="D21" s="237"/>
      <c r="E21" s="237"/>
      <c r="F21" s="237"/>
      <c r="G21" s="237"/>
      <c r="H21" s="237"/>
      <c r="I21" s="237"/>
    </row>
    <row r="22" spans="1:9" ht="12.6" customHeight="1">
      <c r="A22" s="974"/>
      <c r="B22" s="263" t="s">
        <v>152</v>
      </c>
      <c r="C22" s="239">
        <f>SUM(C21)</f>
        <v>0</v>
      </c>
      <c r="D22" s="239">
        <f>C22</f>
        <v>0</v>
      </c>
      <c r="E22" s="239"/>
      <c r="F22" s="239"/>
      <c r="G22" s="239"/>
      <c r="H22" s="239"/>
      <c r="I22" s="239"/>
    </row>
    <row r="23" spans="1:9" ht="12.6" customHeight="1">
      <c r="A23" s="971" t="s">
        <v>831</v>
      </c>
      <c r="B23" s="261" t="s">
        <v>151</v>
      </c>
      <c r="C23" s="178"/>
      <c r="D23" s="178"/>
      <c r="E23" s="178"/>
      <c r="F23" s="178"/>
      <c r="G23" s="178"/>
      <c r="H23" s="178"/>
      <c r="I23" s="178"/>
    </row>
    <row r="24" spans="1:9" ht="12.6" customHeight="1">
      <c r="A24" s="972"/>
      <c r="B24" s="306">
        <v>1280</v>
      </c>
      <c r="C24" s="467"/>
      <c r="D24" s="22"/>
      <c r="E24" s="22"/>
      <c r="F24" s="22"/>
      <c r="G24" s="22"/>
      <c r="H24" s="22"/>
      <c r="I24" s="22"/>
    </row>
    <row r="25" spans="1:9" ht="12.6" customHeight="1" outlineLevel="1">
      <c r="A25" s="972"/>
      <c r="B25" s="555" t="s">
        <v>12</v>
      </c>
      <c r="C25" s="1042">
        <f>369143.85+84807.6</f>
        <v>453951.44999999995</v>
      </c>
      <c r="D25" s="237"/>
      <c r="E25" s="237"/>
      <c r="F25" s="237"/>
      <c r="G25" s="237"/>
      <c r="H25" s="237"/>
      <c r="I25" s="237"/>
    </row>
    <row r="26" spans="1:9" ht="12.6" customHeight="1" outlineLevel="1">
      <c r="A26" s="972"/>
      <c r="B26" s="306">
        <v>1610</v>
      </c>
      <c r="C26" s="467"/>
      <c r="D26" s="237"/>
      <c r="E26" s="237"/>
      <c r="F26" s="237"/>
      <c r="G26" s="237"/>
      <c r="H26" s="237"/>
      <c r="I26" s="237"/>
    </row>
    <row r="27" spans="1:9" ht="12.6" customHeight="1" outlineLevel="1">
      <c r="A27" s="972"/>
      <c r="B27" s="306">
        <v>3390.09</v>
      </c>
      <c r="C27" s="1042">
        <v>435149.63</v>
      </c>
      <c r="D27" s="237"/>
      <c r="E27" s="237"/>
      <c r="F27" s="237"/>
      <c r="G27" s="237"/>
      <c r="H27" s="237"/>
      <c r="I27" s="237"/>
    </row>
    <row r="28" spans="1:9" ht="12.6" customHeight="1">
      <c r="A28" s="974"/>
      <c r="B28" s="263" t="s">
        <v>152</v>
      </c>
      <c r="C28" s="990">
        <f>SUM(C24:C27)</f>
        <v>889101.08</v>
      </c>
      <c r="D28" s="239">
        <f>C28</f>
        <v>889101.08</v>
      </c>
      <c r="E28" s="239"/>
      <c r="F28" s="239"/>
      <c r="G28" s="239"/>
      <c r="H28" s="239"/>
      <c r="I28" s="239"/>
    </row>
    <row r="29" spans="1:9" ht="27" customHeight="1">
      <c r="A29" s="985" t="s">
        <v>832</v>
      </c>
      <c r="B29" s="261" t="s">
        <v>151</v>
      </c>
      <c r="C29" s="178"/>
      <c r="D29" s="178"/>
      <c r="E29" s="178"/>
      <c r="F29" s="178"/>
      <c r="G29" s="178"/>
      <c r="H29" s="178"/>
      <c r="I29" s="178"/>
    </row>
    <row r="30" spans="1:9" ht="12.6" customHeight="1" outlineLevel="1">
      <c r="A30" s="972"/>
      <c r="B30" s="555">
        <v>3310.02</v>
      </c>
      <c r="C30" s="467">
        <v>0</v>
      </c>
      <c r="D30" s="237"/>
      <c r="E30" s="237"/>
      <c r="F30" s="237"/>
      <c r="G30" s="237"/>
      <c r="H30" s="237"/>
      <c r="I30" s="237"/>
    </row>
    <row r="31" spans="1:9" ht="12.6" customHeight="1">
      <c r="A31" s="974"/>
      <c r="B31" s="263" t="s">
        <v>152</v>
      </c>
      <c r="C31" s="990">
        <f>SUM(C30)</f>
        <v>0</v>
      </c>
      <c r="D31" s="239">
        <f>C31</f>
        <v>0</v>
      </c>
      <c r="E31" s="239"/>
      <c r="F31" s="239"/>
      <c r="G31" s="239"/>
      <c r="H31" s="239"/>
      <c r="I31" s="239"/>
    </row>
    <row r="32" spans="1:9" ht="24" customHeight="1">
      <c r="A32" s="985" t="s">
        <v>833</v>
      </c>
      <c r="B32" s="261" t="s">
        <v>151</v>
      </c>
      <c r="C32" s="178"/>
      <c r="D32" s="178"/>
      <c r="E32" s="178"/>
      <c r="F32" s="178"/>
      <c r="G32" s="178"/>
      <c r="H32" s="178"/>
      <c r="I32" s="178"/>
    </row>
    <row r="33" spans="1:9" ht="12.6" customHeight="1" outlineLevel="1">
      <c r="A33" s="972"/>
      <c r="B33" s="555" t="s">
        <v>10</v>
      </c>
      <c r="C33" s="1016"/>
      <c r="D33" s="1017"/>
      <c r="E33" s="1017"/>
      <c r="F33" s="1017"/>
      <c r="G33" s="1017"/>
      <c r="H33" s="1017"/>
      <c r="I33" s="1018">
        <f>C33</f>
        <v>0</v>
      </c>
    </row>
    <row r="34" spans="1:9" ht="12.6" customHeight="1" outlineLevel="1">
      <c r="A34" s="972"/>
      <c r="B34" s="555" t="s">
        <v>250</v>
      </c>
      <c r="C34" s="467"/>
      <c r="D34" s="237">
        <f>C34</f>
        <v>0</v>
      </c>
      <c r="E34" s="237"/>
      <c r="F34" s="237"/>
      <c r="G34" s="237"/>
      <c r="H34" s="237"/>
      <c r="I34" s="1018"/>
    </row>
    <row r="35" spans="1:9" ht="12.6" customHeight="1" outlineLevel="1">
      <c r="A35" s="972"/>
      <c r="B35" s="555" t="s">
        <v>661</v>
      </c>
      <c r="C35" s="467"/>
      <c r="D35" s="237"/>
      <c r="E35" s="237"/>
      <c r="F35" s="237"/>
      <c r="G35" s="237"/>
      <c r="H35" s="237"/>
      <c r="I35" s="1018">
        <f>C35</f>
        <v>0</v>
      </c>
    </row>
    <row r="36" spans="1:9" ht="12.6" customHeight="1" outlineLevel="1">
      <c r="A36" s="972"/>
      <c r="B36" s="555" t="s">
        <v>12</v>
      </c>
      <c r="C36" s="467"/>
      <c r="D36" s="237"/>
      <c r="E36" s="237"/>
      <c r="F36" s="237"/>
      <c r="G36" s="237"/>
      <c r="H36" s="237"/>
      <c r="I36" s="1018">
        <f>C36</f>
        <v>0</v>
      </c>
    </row>
    <row r="37" spans="1:9" ht="21" customHeight="1">
      <c r="A37" s="974"/>
      <c r="B37" s="263" t="s">
        <v>152</v>
      </c>
      <c r="C37" s="239">
        <f>SUM(C33:C36)</f>
        <v>0</v>
      </c>
      <c r="D37" s="239"/>
      <c r="E37" s="239"/>
      <c r="F37" s="239"/>
      <c r="G37" s="239"/>
      <c r="H37" s="239"/>
      <c r="I37" s="239"/>
    </row>
    <row r="38" spans="1:9" ht="24.75" customHeight="1">
      <c r="A38" s="985" t="s">
        <v>771</v>
      </c>
      <c r="B38" s="261" t="s">
        <v>151</v>
      </c>
      <c r="C38" s="178"/>
      <c r="D38" s="178"/>
      <c r="E38" s="178"/>
      <c r="F38" s="178"/>
      <c r="G38" s="178"/>
      <c r="H38" s="178"/>
      <c r="I38" s="178"/>
    </row>
    <row r="39" spans="1:9" ht="15.75" customHeight="1" outlineLevel="1">
      <c r="A39" s="972"/>
      <c r="B39" s="555">
        <v>1610</v>
      </c>
      <c r="C39" s="467">
        <v>0</v>
      </c>
      <c r="D39" s="237"/>
      <c r="E39" s="237"/>
      <c r="F39" s="237"/>
      <c r="G39" s="237"/>
      <c r="H39" s="237"/>
      <c r="I39" s="237"/>
    </row>
    <row r="40" spans="1:9" ht="20.25" customHeight="1">
      <c r="A40" s="974"/>
      <c r="B40" s="263" t="s">
        <v>152</v>
      </c>
      <c r="C40" s="239">
        <f>SUM(C39)</f>
        <v>0</v>
      </c>
      <c r="D40" s="239">
        <f>C40</f>
        <v>0</v>
      </c>
      <c r="E40" s="239"/>
      <c r="F40" s="239"/>
      <c r="G40" s="239"/>
      <c r="H40" s="239"/>
      <c r="I40" s="239"/>
    </row>
    <row r="41" spans="1:9" ht="16.5" customHeight="1">
      <c r="A41" s="972" t="s">
        <v>834</v>
      </c>
      <c r="B41" s="261" t="s">
        <v>151</v>
      </c>
      <c r="C41" s="1013"/>
      <c r="D41" s="178"/>
      <c r="E41" s="178"/>
      <c r="F41" s="178"/>
      <c r="G41" s="178"/>
      <c r="H41" s="178"/>
      <c r="I41" s="178"/>
    </row>
    <row r="42" spans="1:9" ht="15" customHeight="1" outlineLevel="1">
      <c r="A42" s="972"/>
      <c r="B42" s="555">
        <v>3320</v>
      </c>
      <c r="C42" s="467">
        <v>0</v>
      </c>
      <c r="D42" s="1017"/>
      <c r="E42" s="1017"/>
      <c r="F42" s="1017"/>
      <c r="G42" s="1017"/>
      <c r="H42" s="1017"/>
      <c r="I42" s="1017"/>
    </row>
    <row r="43" spans="1:9" ht="15.75" customHeight="1">
      <c r="A43" s="974"/>
      <c r="B43" s="263" t="s">
        <v>152</v>
      </c>
      <c r="C43" s="990">
        <f>SUM(C42)</f>
        <v>0</v>
      </c>
      <c r="D43" s="467">
        <f>C43</f>
        <v>0</v>
      </c>
      <c r="E43" s="1019"/>
      <c r="F43" s="1019"/>
      <c r="G43" s="1019"/>
      <c r="H43" s="1019"/>
      <c r="I43" s="1019"/>
    </row>
    <row r="44" spans="1:9" ht="19.5" customHeight="1">
      <c r="A44" s="985" t="s">
        <v>835</v>
      </c>
      <c r="B44" s="261" t="s">
        <v>151</v>
      </c>
      <c r="C44" s="1013"/>
      <c r="D44" s="178"/>
      <c r="E44" s="178"/>
      <c r="F44" s="178"/>
      <c r="G44" s="178"/>
      <c r="H44" s="178"/>
      <c r="I44" s="178"/>
    </row>
    <row r="45" spans="1:9" ht="15" customHeight="1" outlineLevel="1">
      <c r="A45" s="972"/>
      <c r="B45" s="555">
        <v>1350.51</v>
      </c>
      <c r="C45" s="467">
        <v>0</v>
      </c>
      <c r="D45" s="237"/>
      <c r="E45" s="237"/>
      <c r="F45" s="237"/>
      <c r="G45" s="237"/>
      <c r="H45" s="237"/>
      <c r="I45" s="237"/>
    </row>
    <row r="46" spans="1:9" ht="13.5" customHeight="1">
      <c r="A46" s="974"/>
      <c r="B46" s="263" t="s">
        <v>152</v>
      </c>
      <c r="C46" s="990">
        <f>SUM(C45)</f>
        <v>0</v>
      </c>
      <c r="D46" s="239"/>
      <c r="E46" s="239"/>
      <c r="F46" s="239"/>
      <c r="G46" s="239"/>
      <c r="H46" s="239"/>
      <c r="I46" s="239">
        <f>C46</f>
        <v>0</v>
      </c>
    </row>
    <row r="47" spans="1:9" ht="23.85" customHeight="1">
      <c r="A47" s="971" t="s">
        <v>836</v>
      </c>
      <c r="B47" s="261" t="s">
        <v>151</v>
      </c>
      <c r="C47" s="178"/>
      <c r="D47" s="178"/>
      <c r="E47" s="178"/>
      <c r="F47" s="178"/>
      <c r="G47" s="178"/>
      <c r="H47" s="178"/>
      <c r="I47" s="178"/>
    </row>
    <row r="48" spans="1:9" ht="12.6" customHeight="1" outlineLevel="1">
      <c r="A48" s="972"/>
      <c r="B48" s="555" t="s">
        <v>12</v>
      </c>
      <c r="C48" s="1042">
        <v>490525</v>
      </c>
      <c r="D48" s="237"/>
      <c r="E48" s="237"/>
      <c r="F48" s="237"/>
      <c r="G48" s="237"/>
      <c r="H48" s="237"/>
      <c r="I48" s="237"/>
    </row>
    <row r="49" spans="1:9" ht="15.75" customHeight="1">
      <c r="A49" s="974"/>
      <c r="B49" s="263" t="s">
        <v>152</v>
      </c>
      <c r="C49" s="990">
        <f>SUM(C48)</f>
        <v>490525</v>
      </c>
      <c r="D49" s="239">
        <f>C49</f>
        <v>490525</v>
      </c>
      <c r="E49" s="239"/>
      <c r="F49" s="239"/>
      <c r="G49" s="239"/>
      <c r="H49" s="239"/>
      <c r="I49" s="239"/>
    </row>
    <row r="50" spans="1:9" ht="23.85" customHeight="1">
      <c r="A50" s="985" t="s">
        <v>122</v>
      </c>
      <c r="B50" s="261" t="s">
        <v>151</v>
      </c>
      <c r="C50" s="178"/>
      <c r="D50" s="178"/>
      <c r="E50" s="178"/>
      <c r="F50" s="178"/>
      <c r="G50" s="178"/>
      <c r="H50" s="178"/>
      <c r="I50" s="178"/>
    </row>
    <row r="51" spans="1:9" ht="14.25" customHeight="1">
      <c r="A51" s="972"/>
      <c r="B51" s="306">
        <v>1320</v>
      </c>
      <c r="C51" s="1020"/>
      <c r="D51" s="22"/>
      <c r="E51" s="22"/>
      <c r="F51" s="22"/>
      <c r="G51" s="22"/>
      <c r="H51" s="22"/>
      <c r="I51" s="22"/>
    </row>
    <row r="52" spans="1:9" ht="12.6" customHeight="1" outlineLevel="1">
      <c r="A52" s="972"/>
      <c r="B52" s="555" t="s">
        <v>255</v>
      </c>
      <c r="C52" s="467"/>
      <c r="D52" s="237"/>
      <c r="E52" s="237"/>
      <c r="F52" s="237"/>
      <c r="G52" s="237"/>
      <c r="H52" s="237"/>
      <c r="I52" s="237"/>
    </row>
    <row r="53" spans="1:9" ht="12.6" customHeight="1" outlineLevel="1">
      <c r="A53" s="972"/>
      <c r="B53" s="555" t="s">
        <v>257</v>
      </c>
      <c r="C53" s="1016"/>
      <c r="D53" s="1017"/>
      <c r="E53" s="1017"/>
      <c r="F53" s="1017"/>
      <c r="G53" s="1017"/>
      <c r="H53" s="1017"/>
      <c r="I53" s="1017"/>
    </row>
    <row r="54" spans="1:9" ht="13.5" customHeight="1">
      <c r="A54" s="974"/>
      <c r="B54" s="263" t="s">
        <v>152</v>
      </c>
      <c r="C54" s="239">
        <f>SUM(C51:C53)</f>
        <v>0</v>
      </c>
      <c r="D54" s="239"/>
      <c r="E54" s="239"/>
      <c r="F54" s="239"/>
      <c r="G54" s="239">
        <f>C54</f>
        <v>0</v>
      </c>
      <c r="H54" s="239"/>
      <c r="I54" s="239"/>
    </row>
    <row r="55" spans="1:9" ht="27.75" customHeight="1">
      <c r="A55" s="985" t="s">
        <v>837</v>
      </c>
      <c r="B55" s="261" t="s">
        <v>151</v>
      </c>
      <c r="C55" s="1013"/>
      <c r="D55" s="178"/>
      <c r="E55" s="178"/>
      <c r="F55" s="178"/>
      <c r="G55" s="178"/>
      <c r="H55" s="178"/>
      <c r="I55" s="178"/>
    </row>
    <row r="56" spans="1:9" ht="18.75" customHeight="1" outlineLevel="1">
      <c r="A56" s="972"/>
      <c r="B56" s="555" t="s">
        <v>265</v>
      </c>
      <c r="C56" s="1042"/>
      <c r="D56" s="22"/>
      <c r="E56" s="22"/>
      <c r="F56" s="22"/>
      <c r="G56" s="22"/>
      <c r="H56" s="22"/>
      <c r="I56" s="22"/>
    </row>
    <row r="57" spans="1:9" ht="12.6" customHeight="1">
      <c r="A57" s="974"/>
      <c r="B57" s="263" t="s">
        <v>152</v>
      </c>
      <c r="C57" s="990">
        <f>C56</f>
        <v>0</v>
      </c>
      <c r="D57" s="50">
        <f>C57</f>
        <v>0</v>
      </c>
      <c r="E57" s="50"/>
      <c r="F57" s="50"/>
      <c r="G57" s="50"/>
      <c r="H57" s="50"/>
      <c r="I57" s="50"/>
    </row>
    <row r="58" spans="1:9" ht="23.85" customHeight="1">
      <c r="A58" s="971" t="s">
        <v>838</v>
      </c>
      <c r="B58" s="261" t="s">
        <v>151</v>
      </c>
      <c r="C58" s="1021"/>
      <c r="D58" s="178"/>
      <c r="E58" s="178"/>
      <c r="F58" s="178"/>
      <c r="G58" s="178"/>
      <c r="H58" s="178"/>
      <c r="I58" s="178"/>
    </row>
    <row r="59" spans="1:9" ht="18.75" customHeight="1" outlineLevel="1">
      <c r="A59" s="972"/>
      <c r="B59" s="304">
        <v>1210</v>
      </c>
      <c r="C59" s="1016">
        <v>0</v>
      </c>
      <c r="D59" s="1017">
        <f>C59</f>
        <v>0</v>
      </c>
      <c r="E59" s="1017"/>
      <c r="F59" s="1017"/>
      <c r="G59" s="1017"/>
      <c r="H59" s="1017"/>
      <c r="I59" s="1017"/>
    </row>
    <row r="60" spans="1:9" ht="14.25" customHeight="1" outlineLevel="1">
      <c r="A60" s="972"/>
      <c r="B60" s="555">
        <v>1270.23</v>
      </c>
      <c r="C60" s="1022"/>
      <c r="D60" s="237">
        <f>C60</f>
        <v>0</v>
      </c>
      <c r="E60" s="237"/>
      <c r="F60" s="237"/>
      <c r="G60" s="237"/>
      <c r="H60" s="237"/>
      <c r="I60" s="237"/>
    </row>
    <row r="61" spans="1:9" ht="12.6" customHeight="1" outlineLevel="1">
      <c r="A61" s="972"/>
      <c r="B61" s="555" t="s">
        <v>839</v>
      </c>
      <c r="C61" s="467">
        <v>0</v>
      </c>
      <c r="D61" s="467">
        <f>C61-I61</f>
        <v>0</v>
      </c>
      <c r="E61" s="467"/>
      <c r="F61" s="467"/>
      <c r="G61" s="467"/>
      <c r="H61" s="467"/>
      <c r="I61" s="467"/>
    </row>
    <row r="62" spans="1:9" ht="12.6" customHeight="1" outlineLevel="1">
      <c r="A62" s="972"/>
      <c r="B62" s="555">
        <v>1310</v>
      </c>
      <c r="C62" s="1042">
        <v>3324507.16</v>
      </c>
      <c r="D62" s="237"/>
      <c r="E62" s="467">
        <f>C62</f>
        <v>3324507.16</v>
      </c>
      <c r="F62" s="237"/>
      <c r="G62" s="237"/>
      <c r="H62" s="237"/>
      <c r="I62" s="237"/>
    </row>
    <row r="63" spans="1:9" ht="12.6" customHeight="1" outlineLevel="1">
      <c r="A63" s="972"/>
      <c r="B63" s="555">
        <v>1320</v>
      </c>
      <c r="C63" s="1042">
        <v>-38333.879999999997</v>
      </c>
      <c r="D63" s="237">
        <f>C63</f>
        <v>-38333.879999999997</v>
      </c>
      <c r="E63" s="237"/>
      <c r="F63" s="237"/>
      <c r="G63" s="237"/>
      <c r="H63" s="237"/>
      <c r="I63" s="237"/>
    </row>
    <row r="64" spans="1:9" ht="12.6" customHeight="1" outlineLevel="1">
      <c r="B64" s="555">
        <v>1330</v>
      </c>
      <c r="C64" s="1022"/>
      <c r="D64" s="237"/>
      <c r="E64" s="237">
        <f>C64</f>
        <v>0</v>
      </c>
      <c r="F64" s="237"/>
      <c r="G64" s="237"/>
      <c r="H64" s="237"/>
      <c r="I64" s="237"/>
    </row>
    <row r="65" spans="1:9" ht="12.6" customHeight="1" outlineLevel="1">
      <c r="A65" s="972"/>
      <c r="B65" s="555">
        <v>1350</v>
      </c>
      <c r="C65" s="1042">
        <v>687323822.42999995</v>
      </c>
      <c r="D65" s="1017"/>
      <c r="E65" s="1023">
        <f>C65</f>
        <v>687323822.42999995</v>
      </c>
      <c r="F65" s="1017"/>
      <c r="G65" s="1017"/>
      <c r="H65" s="1017"/>
      <c r="I65" s="1024"/>
    </row>
    <row r="66" spans="1:9" ht="12.6" customHeight="1" outlineLevel="1">
      <c r="A66" s="972" t="s">
        <v>840</v>
      </c>
      <c r="B66" s="555">
        <v>1280</v>
      </c>
      <c r="C66" s="467">
        <v>0</v>
      </c>
      <c r="D66" s="237">
        <f>C66</f>
        <v>0</v>
      </c>
      <c r="E66" s="237"/>
      <c r="F66" s="237"/>
      <c r="G66" s="237"/>
      <c r="H66" s="237"/>
      <c r="I66" s="237"/>
    </row>
    <row r="67" spans="1:9" ht="12.6" customHeight="1" outlineLevel="1">
      <c r="A67" s="972"/>
      <c r="B67" s="304">
        <v>1520</v>
      </c>
      <c r="C67" s="467"/>
      <c r="D67" s="237">
        <f>C67</f>
        <v>0</v>
      </c>
      <c r="E67" s="237"/>
      <c r="F67" s="237"/>
      <c r="G67" s="237"/>
      <c r="H67" s="237"/>
      <c r="I67" s="237"/>
    </row>
    <row r="68" spans="1:9" ht="12.6" customHeight="1" outlineLevel="1">
      <c r="A68" s="972" t="s">
        <v>841</v>
      </c>
      <c r="B68" s="555">
        <v>1600</v>
      </c>
      <c r="C68" s="467">
        <v>0</v>
      </c>
      <c r="D68" s="1017">
        <f>C68</f>
        <v>0</v>
      </c>
      <c r="E68" s="1017"/>
      <c r="F68" s="1017"/>
      <c r="G68" s="1017"/>
      <c r="H68" s="1017"/>
      <c r="I68" s="1017"/>
    </row>
    <row r="69" spans="1:9" ht="12.6" customHeight="1" outlineLevel="1">
      <c r="A69" s="972"/>
      <c r="B69" s="555">
        <v>1430</v>
      </c>
      <c r="C69" s="467"/>
      <c r="D69" s="1017"/>
      <c r="E69" s="1017">
        <f>C69</f>
        <v>0</v>
      </c>
      <c r="F69" s="1017"/>
      <c r="G69" s="1017"/>
      <c r="H69" s="1017"/>
      <c r="I69" s="1017"/>
    </row>
    <row r="70" spans="1:9" ht="12.6" customHeight="1" outlineLevel="1">
      <c r="A70" s="972"/>
      <c r="B70" s="555" t="s">
        <v>664</v>
      </c>
      <c r="C70" s="467"/>
      <c r="D70" s="237"/>
      <c r="E70" s="237"/>
      <c r="F70" s="237">
        <f>C70</f>
        <v>0</v>
      </c>
      <c r="G70" s="237"/>
      <c r="H70" s="237"/>
      <c r="I70" s="237"/>
    </row>
    <row r="71" spans="1:9" ht="12.6" customHeight="1" outlineLevel="1">
      <c r="A71" s="972"/>
      <c r="B71" s="555" t="s">
        <v>842</v>
      </c>
      <c r="C71" s="467"/>
      <c r="D71" s="237"/>
      <c r="E71" s="237">
        <f>C71</f>
        <v>0</v>
      </c>
      <c r="F71" s="237"/>
      <c r="G71" s="237"/>
      <c r="H71" s="237"/>
      <c r="I71" s="237"/>
    </row>
    <row r="72" spans="1:9" ht="12.6" customHeight="1" outlineLevel="1">
      <c r="A72" s="972"/>
      <c r="B72" s="304">
        <v>3200</v>
      </c>
      <c r="C72" s="467"/>
      <c r="D72" s="237">
        <f>C72</f>
        <v>0</v>
      </c>
      <c r="E72" s="237"/>
      <c r="F72" s="237"/>
      <c r="G72" s="237"/>
      <c r="H72" s="237"/>
      <c r="I72" s="237"/>
    </row>
    <row r="73" spans="1:9" ht="12.6" customHeight="1" outlineLevel="1">
      <c r="A73" s="972"/>
      <c r="B73" s="304">
        <v>3150</v>
      </c>
      <c r="C73" s="467"/>
      <c r="D73" s="237"/>
      <c r="E73" s="237"/>
      <c r="F73" s="237"/>
      <c r="G73" s="237"/>
      <c r="H73" s="237"/>
      <c r="I73" s="237">
        <f>C73</f>
        <v>0</v>
      </c>
    </row>
    <row r="74" spans="1:9" ht="12.6" customHeight="1" outlineLevel="1">
      <c r="A74" s="972" t="s">
        <v>843</v>
      </c>
      <c r="B74" s="304">
        <v>3310</v>
      </c>
      <c r="C74" s="1022">
        <v>0</v>
      </c>
      <c r="D74" s="237"/>
      <c r="E74" s="237"/>
      <c r="F74" s="237"/>
      <c r="G74" s="237"/>
      <c r="H74" s="467">
        <f>C74</f>
        <v>0</v>
      </c>
      <c r="I74" s="237"/>
    </row>
    <row r="75" spans="1:9" ht="12.6" customHeight="1" outlineLevel="1">
      <c r="A75" s="972"/>
      <c r="B75" s="555">
        <v>3399</v>
      </c>
      <c r="C75" s="467">
        <v>0</v>
      </c>
      <c r="D75" s="237">
        <f>C75</f>
        <v>0</v>
      </c>
      <c r="E75" s="237"/>
      <c r="F75" s="237"/>
      <c r="G75" s="237"/>
      <c r="H75" s="467"/>
      <c r="I75" s="237"/>
    </row>
    <row r="76" spans="1:9" ht="12.6" customHeight="1" outlineLevel="1">
      <c r="A76" s="972"/>
      <c r="B76" s="304">
        <v>3350</v>
      </c>
      <c r="C76" s="467">
        <v>0</v>
      </c>
      <c r="D76" s="1017">
        <f>C76</f>
        <v>0</v>
      </c>
      <c r="E76" s="1017"/>
      <c r="F76" s="1017"/>
      <c r="G76" s="1017"/>
      <c r="H76" s="1017"/>
      <c r="I76" s="1017"/>
    </row>
    <row r="77" spans="1:9" ht="12.6" customHeight="1" outlineLevel="1">
      <c r="A77" s="972"/>
      <c r="B77" s="1025">
        <v>3520</v>
      </c>
      <c r="C77" s="467">
        <v>0</v>
      </c>
      <c r="D77" s="1017">
        <f>C77</f>
        <v>0</v>
      </c>
      <c r="E77" s="1017"/>
      <c r="F77" s="1017"/>
      <c r="G77" s="1017"/>
      <c r="H77" s="1017"/>
      <c r="I77" s="1017"/>
    </row>
    <row r="78" spans="1:9" ht="12.6" customHeight="1">
      <c r="A78" s="974"/>
      <c r="B78" s="263" t="s">
        <v>152</v>
      </c>
      <c r="C78" s="990">
        <f>SUM(C59:C77)</f>
        <v>690609995.70999992</v>
      </c>
      <c r="D78" s="239"/>
      <c r="E78" s="239"/>
      <c r="F78" s="239"/>
      <c r="G78" s="239"/>
      <c r="H78" s="239"/>
      <c r="I78" s="239"/>
    </row>
    <row r="79" spans="1:9" ht="27.75" customHeight="1">
      <c r="A79" s="971" t="s">
        <v>844</v>
      </c>
      <c r="B79" s="261" t="s">
        <v>151</v>
      </c>
      <c r="C79" s="1021"/>
      <c r="D79" s="1021"/>
      <c r="E79" s="178"/>
      <c r="F79" s="178"/>
      <c r="G79" s="178"/>
      <c r="H79" s="178"/>
      <c r="I79" s="178"/>
    </row>
    <row r="80" spans="1:9" ht="17.25" customHeight="1" outlineLevel="1">
      <c r="A80" s="972"/>
      <c r="B80" s="555">
        <v>1210</v>
      </c>
      <c r="C80" s="467"/>
      <c r="D80" s="237">
        <f>C80</f>
        <v>0</v>
      </c>
      <c r="E80" s="237"/>
      <c r="F80" s="237"/>
      <c r="G80" s="237"/>
      <c r="H80" s="237"/>
      <c r="I80" s="237"/>
    </row>
    <row r="81" spans="1:9" ht="18" customHeight="1" outlineLevel="1">
      <c r="A81" s="972"/>
      <c r="B81" s="1014">
        <v>1310.2</v>
      </c>
      <c r="C81" s="1042">
        <v>3705562.31</v>
      </c>
      <c r="D81" s="1026"/>
      <c r="E81" s="237">
        <f>C81</f>
        <v>3705562.31</v>
      </c>
      <c r="F81" s="237"/>
      <c r="G81" s="237"/>
      <c r="H81" s="237"/>
      <c r="I81" s="237"/>
    </row>
    <row r="82" spans="1:9" ht="12.6" customHeight="1" outlineLevel="1">
      <c r="A82" s="972"/>
      <c r="B82" s="1014">
        <v>1350</v>
      </c>
      <c r="C82" s="1042">
        <v>2702419.08</v>
      </c>
      <c r="D82" s="237"/>
      <c r="E82" s="237">
        <f>C82</f>
        <v>2702419.08</v>
      </c>
      <c r="F82" s="237"/>
      <c r="G82" s="237"/>
      <c r="H82" s="237"/>
      <c r="I82" s="237"/>
    </row>
    <row r="83" spans="1:9" ht="19.5" customHeight="1" outlineLevel="1">
      <c r="A83" s="972"/>
      <c r="B83" s="1014">
        <v>3310.01</v>
      </c>
      <c r="C83" s="1026"/>
      <c r="D83" s="237"/>
      <c r="E83" s="237">
        <f>C83</f>
        <v>0</v>
      </c>
      <c r="F83" s="237"/>
      <c r="G83" s="237"/>
      <c r="H83" s="237"/>
      <c r="I83" s="237"/>
    </row>
    <row r="84" spans="1:9" ht="12.6" customHeight="1" outlineLevel="1">
      <c r="A84" s="972"/>
      <c r="B84" s="1027"/>
      <c r="C84" s="1026"/>
      <c r="D84" s="237"/>
      <c r="E84" s="237">
        <f>C84</f>
        <v>0</v>
      </c>
      <c r="F84" s="237"/>
      <c r="G84" s="237"/>
      <c r="H84" s="237"/>
      <c r="I84" s="237"/>
    </row>
    <row r="85" spans="1:9" ht="12.6" customHeight="1">
      <c r="A85" s="974"/>
      <c r="B85" s="263" t="s">
        <v>152</v>
      </c>
      <c r="C85" s="990">
        <f>SUM(C80:C84)</f>
        <v>6407981.3900000006</v>
      </c>
      <c r="D85" s="239"/>
      <c r="E85" s="239"/>
      <c r="F85" s="239"/>
      <c r="G85" s="239"/>
      <c r="H85" s="239"/>
      <c r="I85" s="239"/>
    </row>
    <row r="86" spans="1:9" ht="30" customHeight="1">
      <c r="A86" s="971" t="s">
        <v>845</v>
      </c>
      <c r="B86" s="261" t="s">
        <v>151</v>
      </c>
      <c r="C86" s="178"/>
      <c r="D86" s="178"/>
      <c r="E86" s="178"/>
      <c r="F86" s="178"/>
      <c r="G86" s="178"/>
      <c r="H86" s="178"/>
      <c r="I86" s="178"/>
    </row>
    <row r="87" spans="1:9" ht="12.6" customHeight="1" outlineLevel="1">
      <c r="A87" s="972"/>
      <c r="B87" s="1014">
        <v>1600</v>
      </c>
      <c r="C87" s="467"/>
      <c r="D87" s="237"/>
      <c r="E87" s="237"/>
      <c r="F87" s="237"/>
      <c r="G87" s="237"/>
      <c r="H87" s="237"/>
      <c r="I87" s="237"/>
    </row>
    <row r="88" spans="1:9" ht="18" customHeight="1" outlineLevel="1">
      <c r="A88" s="972"/>
      <c r="B88" s="1014">
        <v>3320</v>
      </c>
      <c r="C88" s="467"/>
      <c r="D88" s="237"/>
      <c r="E88" s="237"/>
      <c r="F88" s="237"/>
      <c r="G88" s="237"/>
      <c r="H88" s="237"/>
      <c r="I88" s="237"/>
    </row>
    <row r="89" spans="1:9" ht="12.6" customHeight="1" outlineLevel="1">
      <c r="A89" s="972"/>
      <c r="B89" s="1014" t="s">
        <v>12</v>
      </c>
      <c r="C89" s="1043">
        <v>4438434.99</v>
      </c>
      <c r="D89" s="237"/>
      <c r="E89" s="237"/>
      <c r="F89" s="237"/>
      <c r="G89" s="237"/>
      <c r="H89" s="237"/>
      <c r="I89" s="237"/>
    </row>
    <row r="90" spans="1:9" ht="12.6" customHeight="1" outlineLevel="1">
      <c r="A90" s="972"/>
      <c r="B90" s="1014" t="s">
        <v>266</v>
      </c>
      <c r="C90" s="1026"/>
      <c r="D90" s="237"/>
      <c r="E90" s="237"/>
      <c r="F90" s="237"/>
      <c r="G90" s="237"/>
      <c r="H90" s="237"/>
      <c r="I90" s="237"/>
    </row>
    <row r="91" spans="1:9" ht="32.25" customHeight="1" outlineLevel="1">
      <c r="A91" s="972"/>
      <c r="B91" s="1014" t="s">
        <v>265</v>
      </c>
      <c r="C91" s="1026">
        <v>0</v>
      </c>
      <c r="D91" s="237"/>
      <c r="E91" s="237"/>
      <c r="F91" s="237"/>
      <c r="G91" s="237"/>
      <c r="H91" s="237"/>
      <c r="I91" s="237"/>
    </row>
    <row r="92" spans="1:9" ht="26.25" customHeight="1">
      <c r="A92" s="974"/>
      <c r="B92" s="1015" t="s">
        <v>152</v>
      </c>
      <c r="C92" s="990">
        <f>SUM(C87:C91)</f>
        <v>4438434.99</v>
      </c>
      <c r="D92" s="239"/>
      <c r="E92" s="239"/>
      <c r="F92" s="239">
        <f>C92</f>
        <v>4438434.99</v>
      </c>
      <c r="G92" s="239"/>
      <c r="H92" s="239"/>
      <c r="I92" s="239"/>
    </row>
    <row r="93" spans="1:9" ht="27" customHeight="1">
      <c r="A93" s="985" t="s">
        <v>846</v>
      </c>
      <c r="B93" s="261" t="s">
        <v>151</v>
      </c>
      <c r="C93" s="1021"/>
      <c r="D93" s="178"/>
      <c r="E93" s="178"/>
      <c r="F93" s="178"/>
      <c r="G93" s="178"/>
      <c r="H93" s="178"/>
      <c r="I93" s="178"/>
    </row>
    <row r="94" spans="1:9" ht="12.6" customHeight="1" outlineLevel="1">
      <c r="A94" s="972"/>
      <c r="B94" s="555">
        <v>2910</v>
      </c>
      <c r="C94" s="467"/>
      <c r="D94" s="237"/>
      <c r="E94" s="237"/>
      <c r="F94" s="237"/>
      <c r="G94" s="237"/>
      <c r="H94" s="237"/>
      <c r="I94" s="237"/>
    </row>
    <row r="95" spans="1:9" ht="14.25" customHeight="1" outlineLevel="1">
      <c r="A95" s="972"/>
      <c r="B95" s="555">
        <v>1600</v>
      </c>
      <c r="C95" s="467">
        <v>0</v>
      </c>
      <c r="D95" s="237"/>
      <c r="E95" s="237"/>
      <c r="F95" s="237"/>
      <c r="G95" s="237"/>
      <c r="H95" s="237"/>
      <c r="I95" s="237"/>
    </row>
    <row r="96" spans="1:9" ht="15.75" customHeight="1" outlineLevel="1">
      <c r="A96" s="972"/>
      <c r="B96" s="555">
        <v>3040.02</v>
      </c>
      <c r="C96" s="467">
        <v>0</v>
      </c>
      <c r="D96" s="1017"/>
      <c r="E96" s="1017"/>
      <c r="F96" s="1017"/>
      <c r="G96" s="1017"/>
      <c r="H96" s="1017"/>
      <c r="I96" s="1017"/>
    </row>
    <row r="97" spans="1:9" ht="20.25" customHeight="1" outlineLevel="1">
      <c r="A97" s="972"/>
      <c r="B97" s="555">
        <v>3310.02</v>
      </c>
      <c r="C97" s="467">
        <v>0</v>
      </c>
      <c r="D97" s="237"/>
      <c r="E97" s="237"/>
      <c r="F97" s="237"/>
      <c r="G97" s="237"/>
      <c r="H97" s="237"/>
      <c r="I97" s="237"/>
    </row>
    <row r="98" spans="1:9" ht="21" customHeight="1">
      <c r="A98" s="974"/>
      <c r="B98" s="263" t="s">
        <v>152</v>
      </c>
      <c r="C98" s="990">
        <f>SUM(C94:C97)</f>
        <v>0</v>
      </c>
      <c r="D98" s="239"/>
      <c r="E98" s="239"/>
      <c r="F98" s="239"/>
      <c r="G98" s="239"/>
      <c r="H98" s="239">
        <f>C98</f>
        <v>0</v>
      </c>
      <c r="I98" s="239"/>
    </row>
    <row r="99" spans="1:9" ht="18.75" customHeight="1">
      <c r="A99" s="974" t="s">
        <v>847</v>
      </c>
      <c r="B99" s="261" t="s">
        <v>151</v>
      </c>
      <c r="C99" s="283"/>
      <c r="D99" s="239"/>
      <c r="E99" s="239"/>
      <c r="F99" s="239"/>
      <c r="G99" s="239"/>
      <c r="H99" s="239"/>
      <c r="I99" s="239"/>
    </row>
    <row r="100" spans="1:9" ht="20.25" customHeight="1">
      <c r="A100" s="985"/>
      <c r="B100" s="261">
        <v>3310</v>
      </c>
      <c r="C100" s="1028"/>
      <c r="D100" s="303"/>
      <c r="E100" s="303"/>
      <c r="F100" s="303"/>
      <c r="G100" s="303"/>
      <c r="H100" s="303"/>
      <c r="I100" s="303"/>
    </row>
    <row r="101" spans="1:9" ht="12.6" customHeight="1">
      <c r="A101" s="985"/>
      <c r="B101" s="261" t="s">
        <v>152</v>
      </c>
      <c r="C101" s="1029">
        <f>SUM(C100)</f>
        <v>0</v>
      </c>
      <c r="D101" s="303">
        <f>C101</f>
        <v>0</v>
      </c>
      <c r="E101" s="303"/>
      <c r="F101" s="303"/>
      <c r="G101" s="303"/>
      <c r="H101" s="303"/>
      <c r="I101" s="303"/>
    </row>
    <row r="102" spans="1:9" ht="24" customHeight="1">
      <c r="A102" s="985" t="s">
        <v>848</v>
      </c>
      <c r="B102" s="261" t="s">
        <v>151</v>
      </c>
      <c r="C102" s="1013"/>
      <c r="D102" s="178"/>
      <c r="E102" s="178"/>
      <c r="F102" s="178"/>
      <c r="G102" s="178"/>
      <c r="H102" s="178"/>
      <c r="I102" s="178"/>
    </row>
    <row r="103" spans="1:9" ht="17.25" customHeight="1" outlineLevel="1">
      <c r="A103" s="972"/>
      <c r="B103" s="555" t="s">
        <v>12</v>
      </c>
      <c r="C103" s="467">
        <v>0</v>
      </c>
      <c r="D103" s="237"/>
      <c r="E103" s="237"/>
      <c r="F103" s="237"/>
      <c r="G103" s="237"/>
      <c r="H103" s="237"/>
      <c r="I103" s="237"/>
    </row>
    <row r="104" spans="1:9" ht="16.5" customHeight="1">
      <c r="A104" s="974"/>
      <c r="B104" s="263" t="s">
        <v>152</v>
      </c>
      <c r="C104" s="990">
        <f>SUM(C103)</f>
        <v>0</v>
      </c>
      <c r="D104" s="239">
        <f>C104</f>
        <v>0</v>
      </c>
      <c r="E104" s="239"/>
      <c r="F104" s="239"/>
      <c r="G104" s="239"/>
      <c r="H104" s="239"/>
      <c r="I104" s="239"/>
    </row>
    <row r="105" spans="1:9" ht="23.25" customHeight="1">
      <c r="A105" s="985" t="s">
        <v>849</v>
      </c>
      <c r="B105" s="261" t="s">
        <v>151</v>
      </c>
      <c r="C105" s="1013"/>
      <c r="D105" s="178"/>
      <c r="E105" s="178"/>
      <c r="F105" s="178"/>
      <c r="G105" s="178"/>
      <c r="H105" s="178"/>
      <c r="I105" s="178"/>
    </row>
    <row r="106" spans="1:9" ht="12" customHeight="1" outlineLevel="1">
      <c r="A106" s="972"/>
      <c r="B106" s="304">
        <v>3310</v>
      </c>
      <c r="C106" s="1042">
        <v>143721.25</v>
      </c>
      <c r="D106" s="973"/>
      <c r="E106" s="238"/>
      <c r="F106" s="238"/>
      <c r="G106" s="238"/>
      <c r="H106" s="238"/>
      <c r="I106" s="238"/>
    </row>
    <row r="107" spans="1:9" ht="12.6" customHeight="1" outlineLevel="1">
      <c r="A107" s="972"/>
      <c r="B107" s="304">
        <v>1020</v>
      </c>
      <c r="C107" s="467"/>
      <c r="D107" s="237"/>
      <c r="E107" s="237"/>
      <c r="F107" s="237"/>
      <c r="G107" s="237"/>
      <c r="H107" s="237"/>
      <c r="I107" s="237"/>
    </row>
    <row r="108" spans="1:9" ht="12.6" customHeight="1">
      <c r="A108" s="974"/>
      <c r="B108" s="263" t="s">
        <v>152</v>
      </c>
      <c r="C108" s="990">
        <f>SUM(C106:C107)</f>
        <v>143721.25</v>
      </c>
      <c r="D108" s="1030">
        <f>C108</f>
        <v>143721.25</v>
      </c>
      <c r="E108" s="239"/>
      <c r="F108" s="239"/>
      <c r="G108" s="239"/>
      <c r="H108" s="239"/>
      <c r="I108" s="239"/>
    </row>
    <row r="109" spans="1:9" ht="15" customHeight="1">
      <c r="A109" s="985" t="s">
        <v>850</v>
      </c>
      <c r="B109" s="261" t="s">
        <v>151</v>
      </c>
      <c r="C109" s="178"/>
      <c r="D109" s="178"/>
      <c r="E109" s="178"/>
      <c r="F109" s="178"/>
      <c r="G109" s="178"/>
      <c r="H109" s="178"/>
      <c r="I109" s="178"/>
    </row>
    <row r="110" spans="1:9" ht="12.6" customHeight="1" outlineLevel="1">
      <c r="A110" s="972"/>
      <c r="B110" s="555" t="s">
        <v>257</v>
      </c>
      <c r="C110" s="467"/>
      <c r="D110" s="237"/>
      <c r="E110" s="237">
        <f>C110</f>
        <v>0</v>
      </c>
      <c r="F110" s="237"/>
      <c r="G110" s="237"/>
      <c r="H110" s="237"/>
      <c r="I110" s="237"/>
    </row>
    <row r="111" spans="1:9" ht="12.6" customHeight="1" outlineLevel="1">
      <c r="A111" s="972"/>
      <c r="B111" s="306">
        <v>1310</v>
      </c>
      <c r="C111" s="467">
        <v>0</v>
      </c>
      <c r="D111" s="237"/>
      <c r="E111" s="237"/>
      <c r="F111" s="237"/>
      <c r="G111" s="237">
        <f>C111</f>
        <v>0</v>
      </c>
      <c r="H111" s="237"/>
      <c r="I111" s="237"/>
    </row>
    <row r="112" spans="1:9" ht="18.75" customHeight="1">
      <c r="A112" s="974"/>
      <c r="B112" s="263" t="s">
        <v>152</v>
      </c>
      <c r="C112" s="990">
        <f>SUM(C110:C111)</f>
        <v>0</v>
      </c>
      <c r="D112" s="239"/>
      <c r="E112" s="239"/>
      <c r="F112" s="239"/>
      <c r="G112" s="239"/>
      <c r="H112" s="239"/>
      <c r="I112" s="239"/>
    </row>
    <row r="113" spans="1:9" ht="15.75" customHeight="1">
      <c r="A113" s="985" t="s">
        <v>851</v>
      </c>
      <c r="B113" s="261" t="s">
        <v>151</v>
      </c>
      <c r="C113" s="1013"/>
      <c r="D113" s="178"/>
      <c r="E113" s="178"/>
      <c r="F113" s="178"/>
      <c r="G113" s="178"/>
      <c r="H113" s="178"/>
      <c r="I113" s="178"/>
    </row>
    <row r="114" spans="1:9" ht="16.5" customHeight="1" outlineLevel="1">
      <c r="A114" s="972"/>
      <c r="B114" s="555" t="s">
        <v>12</v>
      </c>
      <c r="C114" s="467"/>
      <c r="D114" s="237"/>
      <c r="E114" s="237"/>
      <c r="F114" s="237"/>
      <c r="G114" s="237"/>
      <c r="H114" s="237"/>
      <c r="I114" s="237"/>
    </row>
    <row r="115" spans="1:9" ht="12.6" customHeight="1">
      <c r="A115" s="974"/>
      <c r="B115" s="263" t="s">
        <v>152</v>
      </c>
      <c r="C115" s="283">
        <f>C114</f>
        <v>0</v>
      </c>
      <c r="D115" s="239"/>
      <c r="E115" s="239"/>
      <c r="F115" s="239"/>
      <c r="G115" s="239"/>
      <c r="H115" s="239"/>
      <c r="I115" s="239">
        <f>C115</f>
        <v>0</v>
      </c>
    </row>
    <row r="116" spans="1:9" ht="18.75" customHeight="1">
      <c r="A116" s="1031" t="s">
        <v>852</v>
      </c>
      <c r="B116" s="263">
        <v>1310.1099999999999</v>
      </c>
      <c r="C116" s="1043">
        <f>521895.61+67473.46+7192295.67</f>
        <v>7781664.7400000002</v>
      </c>
      <c r="D116" s="239"/>
      <c r="E116" s="239"/>
      <c r="F116" s="239"/>
      <c r="G116" s="239"/>
      <c r="H116" s="239"/>
      <c r="I116" s="239"/>
    </row>
    <row r="117" spans="1:9" ht="19.5" customHeight="1" thickBot="1">
      <c r="A117" s="985"/>
      <c r="B117" s="261" t="s">
        <v>151</v>
      </c>
      <c r="C117" s="572">
        <f>C116</f>
        <v>7781664.7400000002</v>
      </c>
      <c r="D117" s="303">
        <f>C117</f>
        <v>7781664.7400000002</v>
      </c>
      <c r="E117" s="178"/>
      <c r="F117" s="178"/>
      <c r="G117" s="178"/>
      <c r="H117" s="178"/>
      <c r="I117" s="178"/>
    </row>
    <row r="118" spans="1:9" s="250" customFormat="1" ht="19.5" customHeight="1" thickBot="1">
      <c r="A118" s="995" t="s">
        <v>171</v>
      </c>
      <c r="B118" s="996" t="s">
        <v>152</v>
      </c>
      <c r="C118" s="1032">
        <f>C115+C112+C108+C104+C98+C92+C85+C78+C57+C54+C49+C46+C43+C40+C37+C31+C28+C22+C19+C16+C13+C10+C101+C117</f>
        <v>710762270.85000002</v>
      </c>
      <c r="D118" s="728">
        <f>SUM(D7:D117)</f>
        <v>9267524.8800000008</v>
      </c>
      <c r="E118" s="728">
        <f>SUM(E7:E115)</f>
        <v>697056310.9799999</v>
      </c>
      <c r="F118" s="728">
        <f>SUM(F7:F115)</f>
        <v>4438434.99</v>
      </c>
      <c r="G118" s="1032">
        <f>SUM(G7:G115)</f>
        <v>0</v>
      </c>
      <c r="H118" s="1032">
        <f>SUM(H7:H115)</f>
        <v>0</v>
      </c>
      <c r="I118" s="728">
        <f>SUM(I7:I115)</f>
        <v>0</v>
      </c>
    </row>
    <row r="119" spans="1:9">
      <c r="C119" s="1033">
        <f>SUM(D118:I118)</f>
        <v>710762270.8499999</v>
      </c>
      <c r="H119" s="266"/>
      <c r="I119" s="1034"/>
    </row>
    <row r="120" spans="1:9">
      <c r="C120" s="1035">
        <f>C118-C119</f>
        <v>0</v>
      </c>
      <c r="D120" s="266"/>
      <c r="E120" s="1034" t="s">
        <v>853</v>
      </c>
      <c r="G120" s="1036">
        <f>G118+H118+I118</f>
        <v>0</v>
      </c>
      <c r="H120" s="1008"/>
      <c r="I120" s="1034" t="s">
        <v>854</v>
      </c>
    </row>
    <row r="121" spans="1:9">
      <c r="C121" s="237"/>
    </row>
    <row r="122" spans="1:9">
      <c r="C122" s="1033">
        <v>19090818.199999999</v>
      </c>
      <c r="E122" s="1034" t="s">
        <v>855</v>
      </c>
      <c r="F122" s="1036">
        <f>F118-F126</f>
        <v>4438434.99</v>
      </c>
    </row>
    <row r="123" spans="1:9">
      <c r="C123" s="1001">
        <f>C119-C122</f>
        <v>691671452.64999986</v>
      </c>
    </row>
    <row r="124" spans="1:9" ht="36" customHeight="1">
      <c r="F124" s="374"/>
    </row>
    <row r="125" spans="1:9">
      <c r="F125" s="374"/>
    </row>
    <row r="126" spans="1:9">
      <c r="F126" s="374"/>
    </row>
    <row r="127" spans="1:9">
      <c r="F127" s="374"/>
    </row>
    <row r="128" spans="1:9">
      <c r="F128" s="374"/>
    </row>
    <row r="129" spans="6:6">
      <c r="F129" s="374"/>
    </row>
    <row r="130" spans="6:6">
      <c r="F130" s="374"/>
    </row>
  </sheetData>
  <mergeCells count="7">
    <mergeCell ref="G5:I5"/>
    <mergeCell ref="A1:C1"/>
    <mergeCell ref="A2:C2"/>
    <mergeCell ref="A3:C3"/>
    <mergeCell ref="A4:C4"/>
    <mergeCell ref="A5:C5"/>
    <mergeCell ref="E5:F5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65"/>
  <sheetViews>
    <sheetView topLeftCell="B1" workbookViewId="0">
      <pane ySplit="6" topLeftCell="A7" activePane="bottomLeft" state="frozen"/>
      <selection pane="bottomLeft" activeCell="K23" sqref="K23"/>
    </sheetView>
  </sheetViews>
  <sheetFormatPr defaultColWidth="9.140625" defaultRowHeight="12.75" outlineLevelRow="1"/>
  <cols>
    <col min="1" max="1" width="37.42578125" style="999" customWidth="1"/>
    <col min="2" max="2" width="12.7109375" style="13" customWidth="1"/>
    <col min="3" max="3" width="16.28515625" style="13" customWidth="1"/>
    <col min="4" max="4" width="18.28515625" style="13" customWidth="1"/>
    <col min="5" max="7" width="14.7109375" style="13" customWidth="1"/>
    <col min="8" max="8" width="15.7109375" style="13" customWidth="1"/>
    <col min="9" max="9" width="12.85546875" style="13" customWidth="1"/>
    <col min="10" max="12" width="14.7109375" style="13" customWidth="1"/>
    <col min="13" max="13" width="15.140625" style="963" customWidth="1"/>
    <col min="14" max="16384" width="9.140625" style="13"/>
  </cols>
  <sheetData>
    <row r="1" spans="1:13" ht="24.4" customHeight="1">
      <c r="A1" s="1582" t="s">
        <v>173</v>
      </c>
      <c r="B1" s="1582"/>
      <c r="C1" s="1582"/>
    </row>
    <row r="2" spans="1:13" ht="15.6" customHeight="1">
      <c r="A2" s="1589" t="s">
        <v>788</v>
      </c>
      <c r="B2" s="1583"/>
      <c r="C2" s="1583"/>
      <c r="D2" s="1583"/>
      <c r="E2" s="957"/>
      <c r="F2" s="957"/>
      <c r="G2" s="957"/>
    </row>
    <row r="3" spans="1:13" ht="12.6" customHeight="1">
      <c r="A3" s="1590" t="s">
        <v>789</v>
      </c>
      <c r="B3" s="1584"/>
      <c r="C3" s="1584"/>
      <c r="D3" s="1584"/>
      <c r="E3" s="958"/>
      <c r="F3" s="958"/>
      <c r="G3" s="958"/>
    </row>
    <row r="4" spans="1:13" ht="12.6" customHeight="1">
      <c r="A4" s="1585"/>
      <c r="B4" s="1585"/>
      <c r="C4" s="1585"/>
      <c r="D4" s="1585"/>
      <c r="E4" s="956"/>
      <c r="F4" s="956"/>
      <c r="G4" s="956"/>
    </row>
    <row r="5" spans="1:13" ht="15.75" customHeight="1" thickBot="1">
      <c r="A5" s="1585"/>
      <c r="B5" s="1585"/>
      <c r="C5" s="1585"/>
      <c r="D5" s="1585"/>
      <c r="E5" s="956"/>
      <c r="F5" s="1591" t="s">
        <v>790</v>
      </c>
      <c r="G5" s="1591"/>
      <c r="H5" s="1588" t="s">
        <v>791</v>
      </c>
      <c r="I5" s="1588"/>
      <c r="J5" s="1588"/>
      <c r="K5" s="1588"/>
      <c r="L5" s="1588"/>
    </row>
    <row r="6" spans="1:13" s="970" customFormat="1" ht="49.5" customHeight="1" thickBot="1">
      <c r="A6" s="964"/>
      <c r="B6" s="965" t="s">
        <v>148</v>
      </c>
      <c r="C6" s="965" t="s">
        <v>149</v>
      </c>
      <c r="D6" s="965" t="s">
        <v>150</v>
      </c>
      <c r="E6" s="966" t="s">
        <v>792</v>
      </c>
      <c r="F6" s="965" t="s">
        <v>793</v>
      </c>
      <c r="G6" s="965" t="s">
        <v>794</v>
      </c>
      <c r="H6" s="967" t="s">
        <v>795</v>
      </c>
      <c r="I6" s="967" t="s">
        <v>796</v>
      </c>
      <c r="J6" s="967" t="s">
        <v>3</v>
      </c>
      <c r="K6" s="967" t="s">
        <v>128</v>
      </c>
      <c r="L6" s="968" t="s">
        <v>797</v>
      </c>
      <c r="M6" s="969"/>
    </row>
    <row r="7" spans="1:13" ht="16.5" customHeight="1" collapsed="1">
      <c r="A7" s="971" t="s">
        <v>798</v>
      </c>
      <c r="B7" s="261" t="s">
        <v>151</v>
      </c>
      <c r="C7" s="178"/>
      <c r="D7" s="54"/>
      <c r="E7" s="54"/>
      <c r="F7" s="54"/>
      <c r="G7" s="54"/>
      <c r="H7" s="54"/>
      <c r="I7" s="54"/>
      <c r="J7" s="54"/>
      <c r="K7" s="54"/>
      <c r="L7" s="54"/>
    </row>
    <row r="8" spans="1:13" ht="14.25" customHeight="1" outlineLevel="1">
      <c r="A8" s="972"/>
      <c r="B8" s="1037" t="s">
        <v>10</v>
      </c>
      <c r="C8" s="1038"/>
      <c r="D8" s="1039">
        <v>1511991.03</v>
      </c>
      <c r="E8" s="238"/>
      <c r="F8" s="238"/>
      <c r="G8" s="238"/>
      <c r="H8" s="238"/>
      <c r="I8" s="238"/>
      <c r="J8" s="238"/>
      <c r="K8" s="238"/>
      <c r="L8" s="973"/>
    </row>
    <row r="9" spans="1:13" ht="12.6" customHeight="1" outlineLevel="1">
      <c r="A9" s="972"/>
      <c r="B9" s="1037" t="s">
        <v>558</v>
      </c>
      <c r="C9" s="1038"/>
      <c r="D9" s="1039">
        <v>8604770.0500000007</v>
      </c>
      <c r="E9" s="238"/>
      <c r="F9" s="238"/>
      <c r="G9" s="238"/>
      <c r="H9" s="238"/>
      <c r="I9" s="238"/>
      <c r="J9" s="238"/>
      <c r="K9" s="238"/>
      <c r="L9" s="238"/>
    </row>
    <row r="10" spans="1:13" ht="12.6" customHeight="1" outlineLevel="1">
      <c r="A10" s="972"/>
      <c r="B10" s="306">
        <v>1280.1300000000001</v>
      </c>
      <c r="C10" s="22"/>
      <c r="D10" s="973"/>
      <c r="E10" s="238"/>
      <c r="F10" s="238"/>
      <c r="G10" s="238"/>
      <c r="H10" s="238"/>
      <c r="I10" s="238"/>
      <c r="J10" s="238"/>
      <c r="K10" s="238"/>
      <c r="L10" s="238"/>
    </row>
    <row r="11" spans="1:13" ht="12.6" customHeight="1">
      <c r="A11" s="974"/>
      <c r="B11" s="263" t="s">
        <v>152</v>
      </c>
      <c r="C11" s="50"/>
      <c r="D11" s="975">
        <f>SUM(D8:D10)</f>
        <v>10116761.08</v>
      </c>
      <c r="E11" s="240"/>
      <c r="F11" s="240"/>
      <c r="G11" s="240">
        <f>D11-L8</f>
        <v>10116761.08</v>
      </c>
      <c r="H11" s="240"/>
      <c r="I11" s="240"/>
      <c r="J11" s="240"/>
      <c r="K11" s="240"/>
      <c r="L11" s="240"/>
    </row>
    <row r="12" spans="1:13" ht="21" customHeight="1" collapsed="1">
      <c r="A12" s="971" t="s">
        <v>799</v>
      </c>
      <c r="B12" s="261" t="s">
        <v>151</v>
      </c>
      <c r="C12" s="178"/>
      <c r="D12" s="54"/>
      <c r="E12" s="54"/>
      <c r="F12" s="54"/>
      <c r="G12" s="54"/>
      <c r="H12" s="54"/>
      <c r="I12" s="54"/>
      <c r="J12" s="54"/>
      <c r="K12" s="54"/>
      <c r="L12" s="54"/>
    </row>
    <row r="13" spans="1:13" ht="15.75" customHeight="1">
      <c r="A13" s="972"/>
      <c r="B13" s="306" t="s">
        <v>800</v>
      </c>
      <c r="C13" s="22"/>
      <c r="D13" s="973"/>
      <c r="E13" s="48"/>
      <c r="F13" s="48"/>
      <c r="G13" s="48"/>
      <c r="H13" s="48"/>
      <c r="I13" s="48"/>
      <c r="J13" s="48"/>
      <c r="K13" s="48"/>
      <c r="L13" s="48"/>
    </row>
    <row r="14" spans="1:13" ht="15.75" customHeight="1" outlineLevel="1">
      <c r="A14" s="972"/>
      <c r="B14" s="1037" t="s">
        <v>13</v>
      </c>
      <c r="C14" s="1038"/>
      <c r="D14" s="1039">
        <v>5351864.84</v>
      </c>
      <c r="E14" s="238"/>
      <c r="F14" s="238"/>
      <c r="G14" s="238"/>
      <c r="H14" s="238"/>
      <c r="I14" s="238"/>
      <c r="J14" s="238"/>
      <c r="K14" s="238"/>
      <c r="L14" s="238"/>
    </row>
    <row r="15" spans="1:13" ht="12.6" customHeight="1">
      <c r="A15" s="974"/>
      <c r="B15" s="263" t="s">
        <v>152</v>
      </c>
      <c r="C15" s="50"/>
      <c r="D15" s="975">
        <f>SUM(D13:D14)</f>
        <v>5351864.84</v>
      </c>
      <c r="E15" s="240"/>
      <c r="F15" s="240">
        <f>D15</f>
        <v>5351864.84</v>
      </c>
      <c r="G15" s="240"/>
      <c r="H15" s="240"/>
      <c r="I15" s="240"/>
      <c r="J15" s="240"/>
      <c r="K15" s="240"/>
      <c r="L15" s="240"/>
      <c r="M15" s="976"/>
    </row>
    <row r="16" spans="1:13" ht="12.6" customHeight="1">
      <c r="A16" s="972" t="s">
        <v>801</v>
      </c>
      <c r="B16" s="306" t="s">
        <v>151</v>
      </c>
      <c r="C16" s="22"/>
      <c r="D16" s="973"/>
      <c r="E16" s="238"/>
      <c r="F16" s="238"/>
      <c r="G16" s="238"/>
      <c r="H16" s="238"/>
      <c r="I16" s="238"/>
      <c r="J16" s="238"/>
      <c r="K16" s="238"/>
      <c r="L16" s="238"/>
      <c r="M16" s="976"/>
    </row>
    <row r="17" spans="1:13" ht="15.75" customHeight="1">
      <c r="A17" s="977"/>
      <c r="B17" s="978">
        <v>1210.01</v>
      </c>
      <c r="C17" s="979"/>
      <c r="D17" s="980"/>
      <c r="E17" s="238"/>
      <c r="F17" s="238"/>
      <c r="G17" s="238"/>
      <c r="H17" s="238"/>
      <c r="I17" s="238"/>
      <c r="J17" s="238"/>
      <c r="K17" s="238"/>
      <c r="L17" s="238"/>
      <c r="M17" s="976"/>
    </row>
    <row r="18" spans="1:13" ht="16.5" customHeight="1">
      <c r="A18" s="981"/>
      <c r="B18" s="978">
        <v>1331</v>
      </c>
      <c r="C18" s="178"/>
      <c r="D18" s="558"/>
      <c r="E18" s="982"/>
      <c r="F18" s="982"/>
      <c r="G18" s="982"/>
      <c r="H18" s="982"/>
      <c r="I18" s="982"/>
      <c r="J18" s="982"/>
      <c r="K18" s="982"/>
      <c r="L18" s="982"/>
      <c r="M18" s="976"/>
    </row>
    <row r="19" spans="1:13" ht="12.6" customHeight="1">
      <c r="A19" s="972"/>
      <c r="B19" s="306" t="s">
        <v>152</v>
      </c>
      <c r="C19" s="22"/>
      <c r="D19" s="973">
        <f>SUM(D17:D18)</f>
        <v>0</v>
      </c>
      <c r="E19" s="238"/>
      <c r="F19" s="238">
        <f>D19</f>
        <v>0</v>
      </c>
      <c r="G19" s="238"/>
      <c r="H19" s="238"/>
      <c r="I19" s="238"/>
      <c r="J19" s="238"/>
      <c r="K19" s="238"/>
      <c r="L19" s="238"/>
      <c r="M19" s="976"/>
    </row>
    <row r="20" spans="1:13" ht="14.25" customHeight="1" collapsed="1">
      <c r="A20" s="971" t="s">
        <v>782</v>
      </c>
      <c r="B20" s="261" t="s">
        <v>151</v>
      </c>
      <c r="C20" s="178"/>
      <c r="D20" s="471"/>
      <c r="E20" s="54"/>
      <c r="F20" s="54"/>
      <c r="G20" s="54"/>
      <c r="H20" s="54"/>
      <c r="I20" s="54"/>
      <c r="J20" s="54"/>
      <c r="K20" s="54"/>
      <c r="L20" s="54"/>
    </row>
    <row r="21" spans="1:13" ht="12.6" customHeight="1" outlineLevel="1">
      <c r="A21" s="972"/>
      <c r="B21" s="555" t="s">
        <v>558</v>
      </c>
      <c r="C21" s="22"/>
      <c r="D21" s="983">
        <v>0</v>
      </c>
      <c r="E21" s="238"/>
      <c r="F21" s="238"/>
      <c r="G21" s="238"/>
      <c r="H21" s="238"/>
      <c r="I21" s="238"/>
      <c r="J21" s="238"/>
      <c r="K21" s="238"/>
      <c r="L21" s="238"/>
    </row>
    <row r="22" spans="1:13" ht="12.6" customHeight="1" outlineLevel="1">
      <c r="A22" s="972"/>
      <c r="B22" s="1037" t="s">
        <v>250</v>
      </c>
      <c r="C22" s="1038"/>
      <c r="D22" s="1039">
        <v>590821008.78999996</v>
      </c>
      <c r="E22" s="238"/>
      <c r="F22" s="238"/>
      <c r="G22" s="238"/>
      <c r="H22" s="238"/>
      <c r="I22" s="238"/>
      <c r="J22" s="238"/>
      <c r="K22" s="238"/>
      <c r="L22" s="238"/>
    </row>
    <row r="23" spans="1:13" ht="12.6" customHeight="1">
      <c r="A23" s="974"/>
      <c r="B23" s="263" t="s">
        <v>152</v>
      </c>
      <c r="C23" s="50"/>
      <c r="D23" s="975">
        <f>SUM(D21:D22)</f>
        <v>590821008.78999996</v>
      </c>
      <c r="E23" s="240"/>
      <c r="F23" s="240"/>
      <c r="G23" s="240"/>
      <c r="H23" s="240"/>
      <c r="I23" s="240"/>
      <c r="J23" s="240"/>
      <c r="K23" s="240">
        <f>D23</f>
        <v>590821008.78999996</v>
      </c>
      <c r="L23" s="240"/>
    </row>
    <row r="24" spans="1:13" ht="15.75" customHeight="1" collapsed="1">
      <c r="A24" s="971" t="s">
        <v>802</v>
      </c>
      <c r="B24" s="261" t="s">
        <v>151</v>
      </c>
      <c r="C24" s="178"/>
      <c r="D24" s="54"/>
      <c r="E24" s="54"/>
      <c r="F24" s="54"/>
      <c r="G24" s="54"/>
      <c r="H24" s="54"/>
      <c r="I24" s="54"/>
      <c r="J24" s="54"/>
      <c r="K24" s="54"/>
      <c r="L24" s="54"/>
    </row>
    <row r="25" spans="1:13" ht="12.6" customHeight="1" outlineLevel="1">
      <c r="A25" s="972"/>
      <c r="B25" s="555">
        <v>1210</v>
      </c>
      <c r="C25" s="22"/>
      <c r="D25" s="1039">
        <v>10942</v>
      </c>
      <c r="E25" s="238"/>
      <c r="F25" s="238"/>
      <c r="G25" s="238"/>
      <c r="H25" s="238"/>
      <c r="I25" s="238"/>
      <c r="J25" s="238"/>
      <c r="K25" s="238"/>
      <c r="L25" s="238"/>
    </row>
    <row r="26" spans="1:13" ht="12.6" customHeight="1" outlineLevel="1">
      <c r="A26" s="972"/>
      <c r="B26" s="555">
        <v>1280</v>
      </c>
      <c r="C26" s="22"/>
      <c r="D26" s="1039">
        <v>2433658.09</v>
      </c>
      <c r="E26" s="238"/>
      <c r="F26" s="238"/>
      <c r="G26" s="238"/>
      <c r="H26" s="238"/>
      <c r="I26" s="238"/>
      <c r="J26" s="238"/>
      <c r="K26" s="238"/>
      <c r="L26" s="238"/>
    </row>
    <row r="27" spans="1:13" ht="12.6" customHeight="1" outlineLevel="1">
      <c r="A27" s="972"/>
      <c r="B27" s="304">
        <v>1220</v>
      </c>
      <c r="C27" s="22"/>
      <c r="D27" s="1039">
        <v>56428.57</v>
      </c>
      <c r="E27" s="238"/>
      <c r="F27" s="238"/>
      <c r="G27" s="238"/>
      <c r="H27" s="238"/>
      <c r="I27" s="238"/>
      <c r="J27" s="238"/>
      <c r="K27" s="238"/>
      <c r="L27" s="238"/>
    </row>
    <row r="28" spans="1:13" ht="12.6" customHeight="1">
      <c r="A28" s="974"/>
      <c r="B28" s="263" t="s">
        <v>152</v>
      </c>
      <c r="C28" s="50"/>
      <c r="D28" s="975">
        <f>SUM(D25:D27)</f>
        <v>2501028.6599999997</v>
      </c>
      <c r="E28" s="240"/>
      <c r="F28" s="240"/>
      <c r="G28" s="240">
        <f>D28</f>
        <v>2501028.6599999997</v>
      </c>
      <c r="H28" s="240"/>
      <c r="I28" s="240"/>
      <c r="J28" s="240"/>
      <c r="K28" s="240"/>
      <c r="L28" s="240"/>
    </row>
    <row r="29" spans="1:13" ht="27" customHeight="1" collapsed="1">
      <c r="A29" s="971" t="s">
        <v>803</v>
      </c>
      <c r="B29" s="261" t="s">
        <v>151</v>
      </c>
      <c r="C29" s="178"/>
      <c r="D29" s="54"/>
      <c r="E29" s="54"/>
      <c r="F29" s="54"/>
      <c r="G29" s="54"/>
      <c r="H29" s="54"/>
      <c r="I29" s="54"/>
      <c r="J29" s="54"/>
      <c r="K29" s="54"/>
      <c r="L29" s="54"/>
    </row>
    <row r="30" spans="1:13" ht="12.6" customHeight="1" outlineLevel="1">
      <c r="A30" s="972"/>
      <c r="B30" s="555" t="s">
        <v>10</v>
      </c>
      <c r="C30" s="22"/>
      <c r="D30" s="1039">
        <v>657036844.13</v>
      </c>
      <c r="E30" s="238"/>
      <c r="F30" s="973">
        <f>D30</f>
        <v>657036844.13</v>
      </c>
      <c r="G30" s="238"/>
      <c r="H30" s="238"/>
      <c r="I30" s="238"/>
      <c r="J30" s="238"/>
      <c r="K30" s="238"/>
      <c r="L30" s="238"/>
    </row>
    <row r="31" spans="1:13" ht="12.6" customHeight="1" outlineLevel="1">
      <c r="A31" s="972"/>
      <c r="B31" s="555" t="s">
        <v>558</v>
      </c>
      <c r="C31" s="22"/>
      <c r="D31" s="1039">
        <v>5598776.8099999996</v>
      </c>
      <c r="E31" s="238"/>
      <c r="F31" s="238">
        <f>D31</f>
        <v>5598776.8099999996</v>
      </c>
      <c r="G31" s="238"/>
      <c r="H31" s="238"/>
      <c r="I31" s="238"/>
      <c r="J31" s="238"/>
      <c r="K31" s="238"/>
      <c r="L31" s="238"/>
    </row>
    <row r="32" spans="1:13" ht="17.25" customHeight="1" outlineLevel="1">
      <c r="A32" s="972"/>
      <c r="B32" s="304">
        <v>1220</v>
      </c>
      <c r="C32" s="22"/>
      <c r="D32" s="973"/>
      <c r="E32" s="238"/>
      <c r="F32" s="238">
        <f>D32</f>
        <v>0</v>
      </c>
      <c r="G32" s="238"/>
      <c r="H32" s="238"/>
      <c r="I32" s="238"/>
      <c r="J32" s="238"/>
      <c r="K32" s="238"/>
      <c r="L32" s="238"/>
    </row>
    <row r="33" spans="1:12" ht="12.6" customHeight="1" outlineLevel="1">
      <c r="A33" s="972"/>
      <c r="B33" s="555" t="s">
        <v>250</v>
      </c>
      <c r="C33" s="22"/>
      <c r="D33" s="984"/>
      <c r="E33" s="238"/>
      <c r="F33" s="238">
        <f>D33-C33</f>
        <v>0</v>
      </c>
      <c r="G33" s="238"/>
      <c r="H33" s="238"/>
      <c r="I33" s="238"/>
      <c r="J33" s="238"/>
      <c r="K33" s="238"/>
      <c r="L33" s="238"/>
    </row>
    <row r="34" spans="1:12" ht="12.6" customHeight="1" outlineLevel="1">
      <c r="A34" s="972"/>
      <c r="B34" s="555" t="s">
        <v>273</v>
      </c>
      <c r="C34" s="22"/>
      <c r="D34" s="973"/>
      <c r="E34" s="238"/>
      <c r="F34" s="238">
        <f t="shared" ref="F34:F39" si="0">D34-C34</f>
        <v>0</v>
      </c>
      <c r="G34" s="238"/>
      <c r="H34" s="238"/>
      <c r="I34" s="238"/>
      <c r="J34" s="238"/>
      <c r="K34" s="238"/>
      <c r="L34" s="238"/>
    </row>
    <row r="35" spans="1:12" ht="12.6" customHeight="1" outlineLevel="1">
      <c r="A35" s="972"/>
      <c r="B35" s="555">
        <v>1280.8900000000001</v>
      </c>
      <c r="C35" s="22"/>
      <c r="D35" s="973"/>
      <c r="E35" s="238"/>
      <c r="F35" s="238">
        <f t="shared" si="0"/>
        <v>0</v>
      </c>
      <c r="G35" s="238"/>
      <c r="H35" s="238"/>
      <c r="I35" s="238"/>
      <c r="J35" s="238"/>
      <c r="K35" s="238"/>
      <c r="L35" s="238"/>
    </row>
    <row r="36" spans="1:12" ht="12.6" customHeight="1" outlineLevel="1">
      <c r="A36" s="972"/>
      <c r="B36" s="555">
        <v>3310</v>
      </c>
      <c r="C36" s="22"/>
      <c r="D36" s="984"/>
      <c r="E36" s="238"/>
      <c r="F36" s="973">
        <f t="shared" si="0"/>
        <v>0</v>
      </c>
      <c r="G36" s="238"/>
      <c r="H36" s="238"/>
      <c r="I36" s="238"/>
      <c r="J36" s="238"/>
      <c r="K36" s="238"/>
      <c r="L36" s="238"/>
    </row>
    <row r="37" spans="1:12" ht="12.6" customHeight="1" outlineLevel="1">
      <c r="A37" s="972"/>
      <c r="B37" s="555" t="s">
        <v>254</v>
      </c>
      <c r="C37" s="22"/>
      <c r="D37" s="973"/>
      <c r="E37" s="238"/>
      <c r="F37" s="238">
        <f t="shared" si="0"/>
        <v>0</v>
      </c>
      <c r="G37" s="238"/>
      <c r="H37" s="238"/>
      <c r="I37" s="238">
        <f>D37</f>
        <v>0</v>
      </c>
      <c r="J37" s="238"/>
      <c r="K37" s="238"/>
      <c r="L37" s="238"/>
    </row>
    <row r="38" spans="1:12" ht="12.6" customHeight="1" outlineLevel="1">
      <c r="A38" s="972"/>
      <c r="B38" s="555">
        <v>1330</v>
      </c>
      <c r="C38" s="22"/>
      <c r="D38" s="973"/>
      <c r="E38" s="238"/>
      <c r="F38" s="238">
        <f t="shared" si="0"/>
        <v>0</v>
      </c>
      <c r="G38" s="238"/>
      <c r="H38" s="238"/>
      <c r="I38" s="238">
        <f>D38</f>
        <v>0</v>
      </c>
      <c r="J38" s="238"/>
      <c r="K38" s="238"/>
      <c r="L38" s="238"/>
    </row>
    <row r="39" spans="1:12" ht="21" customHeight="1" outlineLevel="1">
      <c r="A39" s="972"/>
      <c r="B39" s="555">
        <v>3510</v>
      </c>
      <c r="C39" s="467"/>
      <c r="D39" s="984"/>
      <c r="E39" s="48"/>
      <c r="F39" s="238">
        <f t="shared" si="0"/>
        <v>0</v>
      </c>
      <c r="G39" s="48"/>
      <c r="H39" s="48"/>
      <c r="I39" s="48"/>
      <c r="J39" s="48"/>
      <c r="K39" s="48"/>
      <c r="L39" s="48"/>
    </row>
    <row r="40" spans="1:12" ht="18" customHeight="1">
      <c r="A40" s="974"/>
      <c r="B40" s="263" t="s">
        <v>152</v>
      </c>
      <c r="C40" s="283">
        <f>SUM(C30:C39)</f>
        <v>0</v>
      </c>
      <c r="D40" s="975">
        <f>SUM(D30:D39)</f>
        <v>662635620.93999994</v>
      </c>
      <c r="E40" s="240"/>
      <c r="F40" s="240"/>
      <c r="G40" s="240"/>
      <c r="H40" s="240"/>
      <c r="I40" s="240"/>
      <c r="J40" s="240"/>
      <c r="K40" s="240"/>
      <c r="L40" s="240"/>
    </row>
    <row r="41" spans="1:12" ht="25.5" customHeight="1" collapsed="1">
      <c r="A41" s="971" t="s">
        <v>804</v>
      </c>
      <c r="B41" s="261" t="s">
        <v>151</v>
      </c>
      <c r="C41" s="178"/>
      <c r="D41" s="54"/>
      <c r="E41" s="54"/>
      <c r="F41" s="54"/>
      <c r="G41" s="54"/>
      <c r="H41" s="54"/>
      <c r="I41" s="54"/>
      <c r="J41" s="54"/>
      <c r="K41" s="54"/>
      <c r="L41" s="54"/>
    </row>
    <row r="42" spans="1:12" ht="22.5" customHeight="1" outlineLevel="1">
      <c r="A42" s="972"/>
      <c r="B42" s="555" t="s">
        <v>10</v>
      </c>
      <c r="C42" s="22"/>
      <c r="D42" s="973">
        <v>0</v>
      </c>
      <c r="E42" s="238"/>
      <c r="F42" s="238"/>
      <c r="G42" s="238"/>
      <c r="H42" s="238"/>
      <c r="I42" s="238"/>
      <c r="J42" s="238"/>
      <c r="K42" s="238"/>
      <c r="L42" s="238"/>
    </row>
    <row r="43" spans="1:12" ht="19.5" customHeight="1" outlineLevel="1">
      <c r="A43" s="972"/>
      <c r="B43" s="555" t="s">
        <v>558</v>
      </c>
      <c r="C43" s="22"/>
      <c r="D43" s="1040">
        <v>660904.75</v>
      </c>
      <c r="E43" s="238"/>
      <c r="F43" s="238"/>
      <c r="G43" s="238"/>
      <c r="H43" s="238"/>
      <c r="I43" s="238"/>
      <c r="J43" s="238"/>
      <c r="K43" s="238"/>
      <c r="L43" s="238"/>
    </row>
    <row r="44" spans="1:12" ht="25.5" customHeight="1">
      <c r="A44" s="974"/>
      <c r="B44" s="263" t="s">
        <v>152</v>
      </c>
      <c r="C44" s="50"/>
      <c r="D44" s="975">
        <f>SUM(D42:D43)</f>
        <v>660904.75</v>
      </c>
      <c r="E44" s="240"/>
      <c r="F44" s="240"/>
      <c r="G44" s="240">
        <f>D44</f>
        <v>660904.75</v>
      </c>
      <c r="H44" s="240"/>
      <c r="I44" s="240"/>
      <c r="J44" s="240"/>
      <c r="K44" s="240"/>
      <c r="L44" s="240"/>
    </row>
    <row r="45" spans="1:12" ht="16.5" customHeight="1">
      <c r="A45" s="985"/>
      <c r="B45" s="261" t="s">
        <v>153</v>
      </c>
      <c r="C45" s="178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26.25" customHeight="1" collapsed="1">
      <c r="A46" s="985" t="s">
        <v>805</v>
      </c>
      <c r="B46" s="261" t="s">
        <v>151</v>
      </c>
      <c r="C46" s="178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9.5" customHeight="1" outlineLevel="1">
      <c r="A47" s="972"/>
      <c r="B47" s="555" t="s">
        <v>558</v>
      </c>
      <c r="C47" s="22"/>
      <c r="D47" s="973"/>
      <c r="E47" s="238"/>
      <c r="F47" s="238"/>
      <c r="G47" s="238"/>
      <c r="H47" s="238"/>
      <c r="I47" s="238"/>
      <c r="J47" s="238"/>
      <c r="K47" s="238"/>
      <c r="L47" s="238"/>
    </row>
    <row r="48" spans="1:12" ht="16.5" customHeight="1" outlineLevel="1">
      <c r="A48" s="972"/>
      <c r="B48" s="555">
        <v>3390.09</v>
      </c>
      <c r="C48" s="22"/>
      <c r="D48" s="986"/>
      <c r="E48" s="238"/>
      <c r="F48" s="238"/>
      <c r="G48" s="238"/>
      <c r="H48" s="238"/>
      <c r="I48" s="238"/>
      <c r="J48" s="238"/>
      <c r="K48" s="238"/>
      <c r="L48" s="238"/>
    </row>
    <row r="49" spans="1:12" ht="15.75" customHeight="1">
      <c r="A49" s="974"/>
      <c r="B49" s="263" t="s">
        <v>152</v>
      </c>
      <c r="C49" s="50"/>
      <c r="D49" s="973">
        <f>SUM(D47:D48)</f>
        <v>0</v>
      </c>
      <c r="E49" s="240"/>
      <c r="F49" s="240"/>
      <c r="G49" s="240"/>
      <c r="H49" s="240"/>
      <c r="I49" s="240"/>
      <c r="J49" s="240"/>
      <c r="K49" s="240"/>
      <c r="L49" s="240">
        <f>D49</f>
        <v>0</v>
      </c>
    </row>
    <row r="50" spans="1:12" ht="18.75" customHeight="1" collapsed="1">
      <c r="A50" s="971" t="s">
        <v>806</v>
      </c>
      <c r="B50" s="261" t="s">
        <v>151</v>
      </c>
      <c r="C50" s="178"/>
      <c r="D50" s="54"/>
      <c r="E50" s="54"/>
      <c r="F50" s="54"/>
      <c r="G50" s="54"/>
      <c r="H50" s="54"/>
      <c r="I50" s="54"/>
      <c r="J50" s="54"/>
      <c r="K50" s="54"/>
      <c r="L50" s="54"/>
    </row>
    <row r="51" spans="1:12" ht="22.5" customHeight="1" outlineLevel="1">
      <c r="A51" s="972"/>
      <c r="B51" s="555">
        <v>1310.1300000000001</v>
      </c>
      <c r="C51" s="22"/>
      <c r="D51" s="973"/>
      <c r="E51" s="238"/>
      <c r="F51" s="238"/>
      <c r="G51" s="238"/>
      <c r="H51" s="238"/>
      <c r="I51" s="238"/>
      <c r="J51" s="238"/>
      <c r="K51" s="238"/>
      <c r="L51" s="238"/>
    </row>
    <row r="52" spans="1:12" ht="19.5" customHeight="1" outlineLevel="1">
      <c r="A52" s="972"/>
      <c r="B52" s="555">
        <v>1600</v>
      </c>
      <c r="C52" s="467"/>
      <c r="D52" s="973"/>
      <c r="E52" s="238"/>
      <c r="F52" s="238"/>
      <c r="G52" s="238"/>
      <c r="H52" s="238"/>
      <c r="I52" s="238"/>
      <c r="J52" s="238"/>
      <c r="K52" s="238"/>
      <c r="L52" s="238"/>
    </row>
    <row r="53" spans="1:12" ht="15.75" customHeight="1" outlineLevel="1">
      <c r="A53" s="972"/>
      <c r="B53" s="555" t="s">
        <v>666</v>
      </c>
      <c r="C53" s="467"/>
      <c r="D53" s="1039">
        <v>258210.54</v>
      </c>
      <c r="E53" s="238"/>
      <c r="F53" s="238"/>
      <c r="G53" s="238"/>
      <c r="H53" s="238"/>
      <c r="I53" s="238"/>
      <c r="J53" s="238"/>
      <c r="K53" s="238"/>
      <c r="L53" s="238"/>
    </row>
    <row r="54" spans="1:12" ht="15.75" customHeight="1" outlineLevel="1">
      <c r="A54" s="972"/>
      <c r="B54" s="555" t="s">
        <v>13</v>
      </c>
      <c r="C54" s="281"/>
      <c r="D54" s="1039">
        <v>180086385.11000001</v>
      </c>
      <c r="E54" s="238"/>
      <c r="F54" s="238"/>
      <c r="G54" s="238"/>
      <c r="H54" s="238"/>
      <c r="I54" s="238"/>
      <c r="J54" s="238"/>
      <c r="K54" s="238"/>
      <c r="L54" s="238"/>
    </row>
    <row r="55" spans="1:12" ht="18" customHeight="1" outlineLevel="1">
      <c r="A55" s="972"/>
      <c r="B55" s="304">
        <v>3360</v>
      </c>
      <c r="C55" s="281"/>
      <c r="D55" s="973"/>
      <c r="E55" s="238"/>
      <c r="F55" s="238"/>
      <c r="G55" s="238"/>
      <c r="H55" s="238"/>
      <c r="I55" s="238"/>
      <c r="J55" s="238"/>
      <c r="K55" s="238"/>
      <c r="L55" s="238"/>
    </row>
    <row r="56" spans="1:12" ht="18" customHeight="1">
      <c r="A56" s="974"/>
      <c r="B56" s="263" t="s">
        <v>152</v>
      </c>
      <c r="C56" s="974">
        <f>SUM(C52:C55)</f>
        <v>0</v>
      </c>
      <c r="D56" s="975">
        <f>SUM(D51:D55)</f>
        <v>180344595.65000001</v>
      </c>
      <c r="E56" s="240"/>
      <c r="F56" s="240"/>
      <c r="G56" s="240"/>
      <c r="H56" s="240"/>
      <c r="I56" s="240"/>
      <c r="J56" s="240">
        <f>D56-C56</f>
        <v>180344595.65000001</v>
      </c>
      <c r="K56" s="240"/>
      <c r="L56" s="240"/>
    </row>
    <row r="57" spans="1:12" ht="21" customHeight="1">
      <c r="A57" s="985"/>
      <c r="B57" s="261" t="s">
        <v>153</v>
      </c>
      <c r="C57" s="985"/>
      <c r="D57" s="54"/>
      <c r="E57" s="54"/>
      <c r="F57" s="54"/>
      <c r="G57" s="54"/>
      <c r="H57" s="54"/>
      <c r="I57" s="54"/>
      <c r="J57" s="54"/>
      <c r="K57" s="54"/>
      <c r="L57" s="54"/>
    </row>
    <row r="58" spans="1:12" ht="15.75" customHeight="1">
      <c r="A58" s="974"/>
      <c r="B58" s="263"/>
      <c r="C58" s="50"/>
      <c r="D58" s="973"/>
      <c r="E58" s="240"/>
      <c r="F58" s="240"/>
      <c r="G58" s="240"/>
      <c r="H58" s="240"/>
      <c r="I58" s="240"/>
      <c r="J58" s="240"/>
      <c r="K58" s="240"/>
      <c r="L58" s="240"/>
    </row>
    <row r="59" spans="1:12" ht="15" customHeight="1" collapsed="1">
      <c r="A59" s="971" t="s">
        <v>807</v>
      </c>
      <c r="B59" s="261" t="s">
        <v>151</v>
      </c>
      <c r="C59" s="178"/>
      <c r="D59" s="54"/>
      <c r="E59" s="54"/>
      <c r="F59" s="54"/>
      <c r="G59" s="54"/>
      <c r="H59" s="54"/>
      <c r="I59" s="54"/>
      <c r="J59" s="54"/>
      <c r="K59" s="54"/>
      <c r="L59" s="54"/>
    </row>
    <row r="60" spans="1:12" ht="22.5" customHeight="1" outlineLevel="1">
      <c r="A60" s="972"/>
      <c r="B60" s="555">
        <v>3310.03</v>
      </c>
      <c r="C60" s="22"/>
      <c r="D60" s="1040">
        <v>14878207.99</v>
      </c>
      <c r="E60" s="238"/>
      <c r="F60" s="238"/>
      <c r="G60" s="238"/>
      <c r="H60" s="238"/>
      <c r="I60" s="238"/>
      <c r="J60" s="238"/>
      <c r="K60" s="238"/>
      <c r="L60" s="238"/>
    </row>
    <row r="61" spans="1:12" ht="12.6" customHeight="1">
      <c r="A61" s="974"/>
      <c r="B61" s="263" t="s">
        <v>152</v>
      </c>
      <c r="C61" s="974"/>
      <c r="D61" s="975">
        <f>SUM(D60)</f>
        <v>14878207.99</v>
      </c>
      <c r="E61" s="240">
        <f>D61</f>
        <v>14878207.99</v>
      </c>
      <c r="F61" s="240"/>
      <c r="G61" s="240"/>
      <c r="H61" s="240"/>
      <c r="I61" s="240"/>
      <c r="J61" s="240"/>
      <c r="K61" s="240"/>
      <c r="L61" s="240"/>
    </row>
    <row r="62" spans="1:12" ht="21" customHeight="1">
      <c r="A62" s="985"/>
      <c r="B62" s="261" t="s">
        <v>153</v>
      </c>
      <c r="C62" s="985"/>
      <c r="D62" s="54"/>
      <c r="E62" s="54"/>
      <c r="F62" s="54"/>
      <c r="G62" s="54"/>
      <c r="H62" s="54"/>
      <c r="I62" s="54"/>
      <c r="J62" s="54"/>
      <c r="K62" s="54"/>
      <c r="L62" s="54"/>
    </row>
    <row r="63" spans="1:12" ht="19.5" customHeight="1">
      <c r="A63" s="971" t="s">
        <v>808</v>
      </c>
      <c r="B63" s="261" t="s">
        <v>151</v>
      </c>
      <c r="C63" s="178"/>
      <c r="D63" s="54"/>
      <c r="E63" s="54"/>
      <c r="F63" s="54"/>
      <c r="G63" s="54"/>
      <c r="H63" s="54"/>
      <c r="I63" s="54"/>
      <c r="J63" s="54"/>
      <c r="K63" s="54"/>
      <c r="L63" s="54"/>
    </row>
    <row r="64" spans="1:12" ht="18" customHeight="1" outlineLevel="1">
      <c r="A64" s="972"/>
      <c r="B64" s="555" t="s">
        <v>651</v>
      </c>
      <c r="C64" s="22"/>
      <c r="D64" s="1039">
        <v>5182.0200000000004</v>
      </c>
      <c r="E64" s="238"/>
      <c r="F64" s="238"/>
      <c r="G64" s="238"/>
      <c r="H64" s="238"/>
      <c r="I64" s="238"/>
      <c r="J64" s="238"/>
      <c r="K64" s="238"/>
      <c r="L64" s="238"/>
    </row>
    <row r="65" spans="1:12" ht="17.25" customHeight="1" outlineLevel="1">
      <c r="A65" s="972"/>
      <c r="B65" s="555" t="s">
        <v>253</v>
      </c>
      <c r="C65" s="22"/>
      <c r="D65" s="1039">
        <v>29568.34</v>
      </c>
      <c r="E65" s="238"/>
      <c r="F65" s="238"/>
      <c r="G65" s="238"/>
      <c r="H65" s="238"/>
      <c r="I65" s="238"/>
      <c r="J65" s="238"/>
      <c r="K65" s="238"/>
      <c r="L65" s="238"/>
    </row>
    <row r="66" spans="1:12" ht="15.75" customHeight="1" outlineLevel="1">
      <c r="A66" s="972"/>
      <c r="B66" s="555" t="s">
        <v>254</v>
      </c>
      <c r="C66" s="22"/>
      <c r="D66" s="973"/>
      <c r="E66" s="238"/>
      <c r="F66" s="238"/>
      <c r="G66" s="238"/>
      <c r="H66" s="238"/>
      <c r="I66" s="238"/>
      <c r="J66" s="238"/>
      <c r="K66" s="238"/>
      <c r="L66" s="238"/>
    </row>
    <row r="67" spans="1:12" ht="15.75" customHeight="1" outlineLevel="1">
      <c r="A67" s="972"/>
      <c r="B67" s="555" t="s">
        <v>652</v>
      </c>
      <c r="C67" s="22"/>
      <c r="D67" s="973"/>
      <c r="E67" s="238"/>
      <c r="F67" s="238"/>
      <c r="G67" s="238"/>
      <c r="H67" s="238"/>
      <c r="I67" s="238"/>
      <c r="J67" s="238"/>
      <c r="K67" s="238"/>
      <c r="L67" s="238"/>
    </row>
    <row r="68" spans="1:12" ht="18.75" customHeight="1" outlineLevel="1">
      <c r="A68" s="972"/>
      <c r="B68" s="555" t="s">
        <v>255</v>
      </c>
      <c r="C68" s="22"/>
      <c r="D68" s="973"/>
      <c r="E68" s="238"/>
      <c r="F68" s="238"/>
      <c r="G68" s="238"/>
      <c r="H68" s="238"/>
      <c r="I68" s="238"/>
      <c r="J68" s="238"/>
      <c r="K68" s="238"/>
      <c r="L68" s="238"/>
    </row>
    <row r="69" spans="1:12" ht="15" customHeight="1" outlineLevel="1">
      <c r="A69" s="972"/>
      <c r="B69" s="555" t="s">
        <v>256</v>
      </c>
      <c r="C69" s="22"/>
      <c r="D69" s="973"/>
      <c r="E69" s="238"/>
      <c r="F69" s="238"/>
      <c r="G69" s="238"/>
      <c r="H69" s="238"/>
      <c r="I69" s="238"/>
      <c r="J69" s="238"/>
      <c r="K69" s="238"/>
      <c r="L69" s="238"/>
    </row>
    <row r="70" spans="1:12" ht="17.25" customHeight="1" outlineLevel="1">
      <c r="A70" s="972"/>
      <c r="B70" s="555" t="s">
        <v>257</v>
      </c>
      <c r="C70" s="22"/>
      <c r="D70" s="1041">
        <v>189.9</v>
      </c>
      <c r="E70" s="238"/>
      <c r="F70" s="238"/>
      <c r="G70" s="238"/>
      <c r="H70" s="238"/>
      <c r="I70" s="238"/>
      <c r="J70" s="238"/>
      <c r="K70" s="238"/>
      <c r="L70" s="238"/>
    </row>
    <row r="71" spans="1:12" ht="12.6" customHeight="1">
      <c r="A71" s="974"/>
      <c r="B71" s="263" t="s">
        <v>152</v>
      </c>
      <c r="C71" s="50"/>
      <c r="D71" s="975">
        <f>SUM(D64:D70)</f>
        <v>34940.26</v>
      </c>
      <c r="E71" s="240"/>
      <c r="F71" s="240"/>
      <c r="G71" s="240"/>
      <c r="H71" s="240">
        <f>D71</f>
        <v>34940.26</v>
      </c>
      <c r="I71" s="240"/>
      <c r="J71" s="240"/>
      <c r="K71" s="240"/>
      <c r="L71" s="240"/>
    </row>
    <row r="72" spans="1:12" ht="16.5" customHeight="1" collapsed="1">
      <c r="A72" s="971" t="s">
        <v>809</v>
      </c>
      <c r="B72" s="261" t="s">
        <v>151</v>
      </c>
      <c r="C72" s="178"/>
      <c r="D72" s="54"/>
      <c r="E72" s="54"/>
      <c r="F72" s="54"/>
      <c r="G72" s="54"/>
      <c r="H72" s="54"/>
      <c r="I72" s="54"/>
      <c r="J72" s="54"/>
      <c r="K72" s="54"/>
      <c r="L72" s="54"/>
    </row>
    <row r="73" spans="1:12" ht="17.25" customHeight="1" outlineLevel="1">
      <c r="A73" s="972"/>
      <c r="B73" s="304">
        <v>1430</v>
      </c>
      <c r="C73" s="22"/>
      <c r="D73" s="987"/>
      <c r="E73" s="988"/>
      <c r="F73" s="988"/>
      <c r="G73" s="988"/>
      <c r="H73" s="988"/>
      <c r="I73" s="988"/>
      <c r="J73" s="988"/>
      <c r="K73" s="988"/>
      <c r="L73" s="988"/>
    </row>
    <row r="74" spans="1:12" ht="14.25" customHeight="1" outlineLevel="1">
      <c r="A74" s="972"/>
      <c r="B74" s="304">
        <v>1010</v>
      </c>
      <c r="C74" s="22"/>
      <c r="D74" s="987"/>
      <c r="E74" s="988"/>
      <c r="F74" s="988"/>
      <c r="G74" s="988"/>
      <c r="H74" s="988"/>
      <c r="I74" s="988"/>
      <c r="J74" s="988"/>
      <c r="K74" s="988"/>
      <c r="L74" s="988"/>
    </row>
    <row r="75" spans="1:12" ht="18" customHeight="1" outlineLevel="1">
      <c r="A75" s="972"/>
      <c r="B75" s="555" t="s">
        <v>10</v>
      </c>
      <c r="C75" s="22"/>
      <c r="D75" s="1039">
        <v>52561394.270000003</v>
      </c>
      <c r="E75" s="238"/>
      <c r="F75" s="238"/>
      <c r="G75" s="238">
        <f>D75-C75</f>
        <v>52561394.270000003</v>
      </c>
      <c r="H75" s="238"/>
      <c r="I75" s="238"/>
      <c r="J75" s="238"/>
      <c r="K75" s="238"/>
      <c r="L75" s="238"/>
    </row>
    <row r="76" spans="1:12" ht="16.5" customHeight="1" outlineLevel="1">
      <c r="A76" s="972"/>
      <c r="B76" s="555" t="s">
        <v>558</v>
      </c>
      <c r="C76" s="22"/>
      <c r="D76" s="1039">
        <v>4618037.9000000004</v>
      </c>
      <c r="E76" s="238"/>
      <c r="F76" s="238">
        <f>D76</f>
        <v>4618037.9000000004</v>
      </c>
      <c r="G76" s="238"/>
      <c r="H76" s="238"/>
      <c r="I76" s="238"/>
      <c r="J76" s="238"/>
      <c r="K76" s="973"/>
      <c r="L76" s="238"/>
    </row>
    <row r="77" spans="1:12" ht="15.75" customHeight="1" outlineLevel="1">
      <c r="A77" s="972"/>
      <c r="B77" s="304">
        <v>1220</v>
      </c>
      <c r="C77" s="22"/>
      <c r="D77" s="1039">
        <v>33342.870000000003</v>
      </c>
      <c r="E77" s="238"/>
      <c r="F77" s="238">
        <f>D77</f>
        <v>33342.870000000003</v>
      </c>
      <c r="G77" s="238"/>
      <c r="H77" s="238"/>
      <c r="I77" s="238"/>
      <c r="J77" s="238"/>
      <c r="K77" s="238"/>
      <c r="L77" s="238"/>
    </row>
    <row r="78" spans="1:12" ht="15" customHeight="1" outlineLevel="1">
      <c r="A78" s="972"/>
      <c r="B78" s="555">
        <v>1250</v>
      </c>
      <c r="C78" s="22"/>
      <c r="D78" s="973"/>
      <c r="E78" s="238">
        <f>D78-C78</f>
        <v>0</v>
      </c>
      <c r="F78" s="238"/>
      <c r="G78" s="238"/>
      <c r="H78" s="238"/>
      <c r="I78" s="238"/>
      <c r="J78" s="238"/>
      <c r="K78" s="238"/>
      <c r="L78" s="238"/>
    </row>
    <row r="79" spans="1:12" ht="15" customHeight="1" outlineLevel="1">
      <c r="A79" s="972"/>
      <c r="B79" s="555" t="s">
        <v>250</v>
      </c>
      <c r="C79" s="467"/>
      <c r="D79" s="1039">
        <v>11250</v>
      </c>
      <c r="E79" s="238">
        <f>D79-L79</f>
        <v>11250</v>
      </c>
      <c r="F79" s="238"/>
      <c r="G79" s="238"/>
      <c r="H79" s="238"/>
      <c r="I79" s="238"/>
      <c r="J79" s="238"/>
      <c r="K79" s="238"/>
      <c r="L79" s="973"/>
    </row>
    <row r="80" spans="1:12" ht="12.6" customHeight="1" outlineLevel="1">
      <c r="A80" s="972"/>
      <c r="B80" s="555" t="s">
        <v>650</v>
      </c>
      <c r="C80" s="281"/>
      <c r="D80" s="973">
        <v>0</v>
      </c>
      <c r="E80" s="238"/>
      <c r="F80" s="238">
        <f>D80-C80</f>
        <v>0</v>
      </c>
      <c r="G80" s="238"/>
      <c r="H80" s="238"/>
      <c r="I80" s="238"/>
      <c r="J80" s="238"/>
      <c r="K80" s="238"/>
      <c r="L80" s="238"/>
    </row>
    <row r="81" spans="1:12" ht="12.6" customHeight="1" outlineLevel="1">
      <c r="A81" s="972"/>
      <c r="B81" s="555" t="s">
        <v>273</v>
      </c>
      <c r="C81" s="22"/>
      <c r="D81" s="1039">
        <f>2576017.86+1494842.85</f>
        <v>4070860.71</v>
      </c>
      <c r="E81" s="238"/>
      <c r="F81" s="238"/>
      <c r="G81" s="238"/>
      <c r="H81" s="238"/>
      <c r="I81" s="238"/>
      <c r="J81" s="238"/>
      <c r="K81" s="238"/>
      <c r="L81" s="973">
        <f>D81</f>
        <v>4070860.71</v>
      </c>
    </row>
    <row r="82" spans="1:12" ht="12.6" customHeight="1" outlineLevel="1">
      <c r="A82" s="972"/>
      <c r="B82" s="555">
        <v>1310</v>
      </c>
      <c r="C82" s="22"/>
      <c r="D82" s="1039">
        <v>106649</v>
      </c>
      <c r="E82" s="238"/>
      <c r="F82" s="238"/>
      <c r="G82" s="238"/>
      <c r="H82" s="238"/>
      <c r="I82" s="238">
        <f>D82</f>
        <v>106649</v>
      </c>
      <c r="J82" s="238"/>
      <c r="K82" s="238"/>
      <c r="L82" s="238"/>
    </row>
    <row r="83" spans="1:12" ht="12.6" customHeight="1" outlineLevel="1">
      <c r="A83" s="972"/>
      <c r="B83" s="555">
        <v>1320</v>
      </c>
      <c r="C83" s="22"/>
      <c r="D83" s="973">
        <v>0</v>
      </c>
      <c r="E83" s="238"/>
      <c r="F83" s="238"/>
      <c r="G83" s="238"/>
      <c r="H83" s="238"/>
      <c r="I83" s="238">
        <f>D83</f>
        <v>0</v>
      </c>
      <c r="J83" s="238"/>
      <c r="K83" s="238"/>
      <c r="L83" s="238"/>
    </row>
    <row r="84" spans="1:12" ht="12.6" customHeight="1" outlineLevel="1">
      <c r="A84" s="972"/>
      <c r="B84" s="555">
        <v>1350</v>
      </c>
      <c r="C84" s="22"/>
      <c r="D84" s="1039">
        <v>4191.3999999999996</v>
      </c>
      <c r="E84" s="238"/>
      <c r="F84" s="238"/>
      <c r="G84" s="238"/>
      <c r="H84" s="238"/>
      <c r="I84" s="238">
        <f>D84</f>
        <v>4191.3999999999996</v>
      </c>
      <c r="J84" s="238"/>
      <c r="K84" s="238"/>
      <c r="L84" s="238"/>
    </row>
    <row r="85" spans="1:12" ht="12" customHeight="1" outlineLevel="1">
      <c r="A85" s="972"/>
      <c r="B85" s="555">
        <v>1611</v>
      </c>
      <c r="C85" s="22"/>
      <c r="D85" s="973">
        <v>0</v>
      </c>
      <c r="E85" s="238"/>
      <c r="F85" s="238"/>
      <c r="G85" s="238"/>
      <c r="H85" s="238"/>
      <c r="I85" s="238"/>
      <c r="J85" s="238"/>
      <c r="K85" s="238"/>
      <c r="L85" s="238">
        <f t="shared" ref="L85:L90" si="1">D85-C85</f>
        <v>0</v>
      </c>
    </row>
    <row r="86" spans="1:12" ht="12.6" customHeight="1" outlineLevel="1">
      <c r="A86" s="972"/>
      <c r="B86" s="555" t="s">
        <v>661</v>
      </c>
      <c r="C86" s="281"/>
      <c r="D86" s="989"/>
      <c r="E86" s="988"/>
      <c r="F86" s="988"/>
      <c r="G86" s="988"/>
      <c r="H86" s="988"/>
      <c r="I86" s="988"/>
      <c r="J86" s="988"/>
      <c r="K86" s="988"/>
      <c r="L86" s="238">
        <f t="shared" si="1"/>
        <v>0</v>
      </c>
    </row>
    <row r="87" spans="1:12" ht="19.5" customHeight="1" outlineLevel="1">
      <c r="A87" s="972"/>
      <c r="B87" s="555">
        <v>3120</v>
      </c>
      <c r="C87" s="281"/>
      <c r="D87" s="1039"/>
      <c r="E87" s="988"/>
      <c r="F87" s="988"/>
      <c r="G87" s="988"/>
      <c r="H87" s="988"/>
      <c r="I87" s="988"/>
      <c r="J87" s="988"/>
      <c r="K87" s="988"/>
      <c r="L87" s="238"/>
    </row>
    <row r="88" spans="1:12" ht="13.5" customHeight="1" outlineLevel="1">
      <c r="A88" s="972"/>
      <c r="B88" s="555" t="s">
        <v>666</v>
      </c>
      <c r="C88" s="22"/>
      <c r="D88" s="1039"/>
      <c r="E88" s="238"/>
      <c r="F88" s="238"/>
      <c r="G88" s="238"/>
      <c r="H88" s="238"/>
      <c r="I88" s="238"/>
      <c r="J88" s="238"/>
      <c r="K88" s="238"/>
      <c r="L88" s="238">
        <f t="shared" si="1"/>
        <v>0</v>
      </c>
    </row>
    <row r="89" spans="1:12" ht="17.25" customHeight="1" outlineLevel="1">
      <c r="A89" s="972"/>
      <c r="B89" s="555" t="s">
        <v>12</v>
      </c>
      <c r="C89" s="281"/>
      <c r="D89" s="1039">
        <v>617693.56999999995</v>
      </c>
      <c r="E89" s="238"/>
      <c r="F89" s="238"/>
      <c r="G89" s="238"/>
      <c r="H89" s="238"/>
      <c r="I89" s="238"/>
      <c r="J89" s="238"/>
      <c r="K89" s="238"/>
      <c r="L89" s="238">
        <f t="shared" si="1"/>
        <v>617693.56999999995</v>
      </c>
    </row>
    <row r="90" spans="1:12" ht="12.6" customHeight="1" outlineLevel="1">
      <c r="A90" s="972"/>
      <c r="B90" s="555" t="s">
        <v>13</v>
      </c>
      <c r="C90" s="281"/>
      <c r="D90" s="1039">
        <v>127555.52</v>
      </c>
      <c r="E90" s="238"/>
      <c r="F90" s="238"/>
      <c r="G90" s="238"/>
      <c r="H90" s="238"/>
      <c r="I90" s="238"/>
      <c r="J90" s="238"/>
      <c r="K90" s="238"/>
      <c r="L90" s="238">
        <f t="shared" si="1"/>
        <v>127555.52</v>
      </c>
    </row>
    <row r="91" spans="1:12" ht="16.5" customHeight="1" outlineLevel="1">
      <c r="A91" s="972"/>
      <c r="B91" s="304">
        <v>3350</v>
      </c>
      <c r="C91" s="22"/>
      <c r="D91" s="1039">
        <v>22684</v>
      </c>
      <c r="E91" s="238"/>
      <c r="F91" s="238"/>
      <c r="G91" s="238"/>
      <c r="H91" s="238"/>
      <c r="I91" s="238"/>
      <c r="J91" s="238"/>
      <c r="K91" s="238"/>
      <c r="L91" s="238">
        <f>D91</f>
        <v>22684</v>
      </c>
    </row>
    <row r="92" spans="1:12" ht="12.6" customHeight="1" outlineLevel="1">
      <c r="A92" s="972"/>
      <c r="B92" s="304">
        <v>3360</v>
      </c>
      <c r="C92" s="22"/>
      <c r="D92" s="973">
        <v>0</v>
      </c>
      <c r="E92" s="988"/>
      <c r="F92" s="988"/>
      <c r="G92" s="988"/>
      <c r="H92" s="988"/>
      <c r="I92" s="988"/>
      <c r="J92" s="988"/>
      <c r="K92" s="988"/>
      <c r="L92" s="988">
        <f>D92</f>
        <v>0</v>
      </c>
    </row>
    <row r="93" spans="1:12" ht="18" customHeight="1" outlineLevel="1">
      <c r="A93" s="972"/>
      <c r="B93" s="555" t="s">
        <v>263</v>
      </c>
      <c r="C93" s="22"/>
      <c r="D93" s="1039">
        <v>13793</v>
      </c>
      <c r="E93" s="238"/>
      <c r="F93" s="238"/>
      <c r="G93" s="238"/>
      <c r="H93" s="238"/>
      <c r="I93" s="238"/>
      <c r="J93" s="238"/>
      <c r="K93" s="238"/>
      <c r="L93" s="238">
        <f>D93-E93</f>
        <v>13793</v>
      </c>
    </row>
    <row r="94" spans="1:12" ht="12.6" customHeight="1" outlineLevel="1">
      <c r="A94" s="972"/>
      <c r="B94" s="555">
        <v>3540</v>
      </c>
      <c r="C94" s="22"/>
      <c r="D94" s="989"/>
      <c r="E94" s="238"/>
      <c r="F94" s="238"/>
      <c r="G94" s="238"/>
      <c r="H94" s="238"/>
      <c r="I94" s="238"/>
      <c r="J94" s="238"/>
      <c r="K94" s="238"/>
      <c r="L94" s="238">
        <f>D94-C94</f>
        <v>0</v>
      </c>
    </row>
    <row r="95" spans="1:12" ht="12.6" customHeight="1" outlineLevel="1">
      <c r="A95" s="972"/>
      <c r="B95" s="555">
        <v>3510</v>
      </c>
      <c r="C95" s="22"/>
      <c r="D95" s="989">
        <v>0</v>
      </c>
      <c r="E95" s="238"/>
      <c r="F95" s="238"/>
      <c r="G95" s="238"/>
      <c r="H95" s="238"/>
      <c r="I95" s="238"/>
      <c r="J95" s="238"/>
      <c r="K95" s="238"/>
      <c r="L95" s="238">
        <f>D95</f>
        <v>0</v>
      </c>
    </row>
    <row r="96" spans="1:12" ht="18.75" customHeight="1">
      <c r="A96" s="974"/>
      <c r="B96" s="263" t="s">
        <v>152</v>
      </c>
      <c r="C96" s="990">
        <f>SUM(C73:C95)</f>
        <v>0</v>
      </c>
      <c r="D96" s="975">
        <f>SUM(D73:D95)</f>
        <v>62187452.240000002</v>
      </c>
      <c r="E96" s="240"/>
      <c r="F96" s="240">
        <f>-C96</f>
        <v>0</v>
      </c>
      <c r="G96" s="240"/>
      <c r="H96" s="240"/>
      <c r="I96" s="240"/>
      <c r="J96" s="240"/>
      <c r="K96" s="240"/>
      <c r="L96" s="240"/>
    </row>
    <row r="97" spans="1:13" ht="16.5" customHeight="1" collapsed="1">
      <c r="A97" s="971" t="s">
        <v>810</v>
      </c>
      <c r="B97" s="261" t="s">
        <v>151</v>
      </c>
      <c r="C97" s="178"/>
      <c r="D97" s="178"/>
      <c r="E97" s="991"/>
      <c r="F97" s="54"/>
      <c r="G97" s="54"/>
      <c r="H97" s="54"/>
      <c r="I97" s="54"/>
      <c r="J97" s="54"/>
      <c r="K97" s="54"/>
      <c r="L97" s="54"/>
    </row>
    <row r="98" spans="1:13" ht="15" customHeight="1" outlineLevel="1">
      <c r="A98" s="972"/>
      <c r="B98" s="555">
        <v>1210</v>
      </c>
      <c r="C98" s="22"/>
      <c r="D98" s="1039">
        <v>11526.56</v>
      </c>
      <c r="E98" s="988">
        <f>D98</f>
        <v>11526.56</v>
      </c>
      <c r="F98" s="988"/>
      <c r="G98" s="988"/>
      <c r="H98" s="988"/>
      <c r="I98" s="988"/>
      <c r="J98" s="988"/>
      <c r="K98" s="988"/>
      <c r="L98" s="988"/>
    </row>
    <row r="99" spans="1:13" ht="13.5" customHeight="1" outlineLevel="1">
      <c r="A99" s="972"/>
      <c r="B99" s="304">
        <v>1610</v>
      </c>
      <c r="C99" s="467"/>
      <c r="D99" s="282">
        <v>0</v>
      </c>
      <c r="E99" s="48">
        <f>D99</f>
        <v>0</v>
      </c>
      <c r="F99" s="48"/>
      <c r="G99" s="48"/>
      <c r="H99" s="48"/>
      <c r="I99" s="48"/>
      <c r="J99" s="48"/>
      <c r="K99" s="48"/>
      <c r="L99" s="48"/>
    </row>
    <row r="100" spans="1:13" ht="17.25" customHeight="1" outlineLevel="1">
      <c r="A100" s="972"/>
      <c r="B100" s="555">
        <v>3200</v>
      </c>
      <c r="C100" s="22"/>
      <c r="D100" s="973"/>
      <c r="E100" s="238"/>
      <c r="F100" s="238"/>
      <c r="G100" s="238"/>
      <c r="H100" s="238"/>
      <c r="I100" s="238"/>
      <c r="J100" s="238"/>
      <c r="K100" s="238"/>
      <c r="L100" s="238"/>
    </row>
    <row r="101" spans="1:13" ht="20.25" customHeight="1" outlineLevel="1">
      <c r="A101" s="972"/>
      <c r="B101" s="555" t="s">
        <v>250</v>
      </c>
      <c r="C101" s="22"/>
      <c r="D101" s="973"/>
      <c r="E101" s="238"/>
      <c r="F101" s="238"/>
      <c r="G101" s="238"/>
      <c r="H101" s="238"/>
      <c r="I101" s="238"/>
      <c r="J101" s="238"/>
      <c r="K101" s="238"/>
      <c r="L101" s="238"/>
    </row>
    <row r="102" spans="1:13" ht="16.5" customHeight="1" outlineLevel="1">
      <c r="A102" s="972"/>
      <c r="B102" s="555" t="s">
        <v>650</v>
      </c>
      <c r="C102" s="22"/>
      <c r="D102" s="973"/>
      <c r="E102" s="238"/>
      <c r="F102" s="238"/>
      <c r="G102" s="238"/>
      <c r="H102" s="238"/>
      <c r="I102" s="238"/>
      <c r="J102" s="238"/>
      <c r="K102" s="238"/>
      <c r="L102" s="238"/>
    </row>
    <row r="103" spans="1:13" ht="13.5" customHeight="1" outlineLevel="1">
      <c r="A103" s="972"/>
      <c r="B103" s="555">
        <v>3510.03</v>
      </c>
      <c r="C103" s="22"/>
      <c r="D103" s="973"/>
      <c r="E103" s="238"/>
      <c r="F103" s="238"/>
      <c r="G103" s="238"/>
      <c r="H103" s="238"/>
      <c r="I103" s="238"/>
      <c r="J103" s="238"/>
      <c r="K103" s="238"/>
      <c r="L103" s="238"/>
    </row>
    <row r="104" spans="1:13" ht="13.5" customHeight="1" outlineLevel="1">
      <c r="A104" s="972"/>
      <c r="B104" s="555">
        <v>3540.01</v>
      </c>
      <c r="C104" s="22"/>
      <c r="D104" s="973"/>
      <c r="E104" s="973"/>
      <c r="F104" s="238"/>
      <c r="G104" s="238"/>
      <c r="H104" s="238"/>
      <c r="I104" s="238"/>
      <c r="J104" s="238"/>
      <c r="K104" s="238"/>
      <c r="L104" s="238"/>
    </row>
    <row r="105" spans="1:13" ht="12.6" customHeight="1" outlineLevel="1">
      <c r="A105" s="972"/>
      <c r="B105" s="555">
        <v>3310.01</v>
      </c>
      <c r="C105" s="22"/>
      <c r="D105" s="973">
        <v>0</v>
      </c>
      <c r="E105" s="238">
        <f t="shared" ref="E105:E110" si="2">D105</f>
        <v>0</v>
      </c>
      <c r="F105" s="238"/>
      <c r="G105" s="238"/>
      <c r="H105" s="238"/>
      <c r="I105" s="238"/>
      <c r="J105" s="238"/>
      <c r="K105" s="238"/>
      <c r="L105" s="238"/>
    </row>
    <row r="106" spans="1:13" ht="12.6" customHeight="1" outlineLevel="1">
      <c r="A106" s="972"/>
      <c r="B106" s="555" t="s">
        <v>12</v>
      </c>
      <c r="C106" s="22"/>
      <c r="D106" s="973">
        <v>0</v>
      </c>
      <c r="E106" s="238">
        <f t="shared" si="2"/>
        <v>0</v>
      </c>
      <c r="F106" s="238"/>
      <c r="G106" s="238"/>
      <c r="H106" s="238"/>
      <c r="I106" s="238"/>
      <c r="J106" s="238"/>
      <c r="K106" s="238"/>
      <c r="L106" s="238"/>
    </row>
    <row r="107" spans="1:13" ht="15" customHeight="1" outlineLevel="1">
      <c r="A107" s="972"/>
      <c r="B107" s="555" t="s">
        <v>13</v>
      </c>
      <c r="C107" s="22"/>
      <c r="D107" s="1039">
        <v>11876.59</v>
      </c>
      <c r="E107" s="238">
        <f t="shared" si="2"/>
        <v>11876.59</v>
      </c>
      <c r="F107" s="238"/>
      <c r="G107" s="238"/>
      <c r="H107" s="238"/>
      <c r="I107" s="238"/>
      <c r="J107" s="238"/>
      <c r="K107" s="238"/>
      <c r="L107" s="973"/>
      <c r="M107" s="976"/>
    </row>
    <row r="108" spans="1:13" ht="12.6" customHeight="1" outlineLevel="1">
      <c r="A108" s="972"/>
      <c r="B108" s="304">
        <v>3350</v>
      </c>
      <c r="C108" s="22"/>
      <c r="D108" s="973"/>
      <c r="E108" s="238">
        <f t="shared" si="2"/>
        <v>0</v>
      </c>
      <c r="F108" s="238"/>
      <c r="G108" s="238"/>
      <c r="H108" s="238"/>
      <c r="I108" s="238"/>
      <c r="J108" s="238"/>
      <c r="K108" s="238"/>
      <c r="L108" s="238"/>
    </row>
    <row r="109" spans="1:13" ht="12.6" customHeight="1" outlineLevel="1">
      <c r="A109" s="972"/>
      <c r="B109" s="555" t="s">
        <v>263</v>
      </c>
      <c r="C109" s="22"/>
      <c r="D109" s="973"/>
      <c r="E109" s="238">
        <f t="shared" si="2"/>
        <v>0</v>
      </c>
      <c r="F109" s="238"/>
      <c r="G109" s="238"/>
      <c r="H109" s="238"/>
      <c r="I109" s="238"/>
      <c r="J109" s="238"/>
      <c r="K109" s="238"/>
      <c r="L109" s="238"/>
    </row>
    <row r="110" spans="1:13" ht="12.6" customHeight="1" outlineLevel="1">
      <c r="A110" s="972"/>
      <c r="B110" s="555">
        <v>3510</v>
      </c>
      <c r="C110" s="22"/>
      <c r="D110" s="973">
        <v>0</v>
      </c>
      <c r="E110" s="238">
        <f t="shared" si="2"/>
        <v>0</v>
      </c>
      <c r="F110" s="238"/>
      <c r="G110" s="238"/>
      <c r="H110" s="238"/>
      <c r="I110" s="238"/>
      <c r="J110" s="238"/>
      <c r="K110" s="238"/>
      <c r="L110" s="238"/>
    </row>
    <row r="111" spans="1:13" ht="12.6" customHeight="1">
      <c r="A111" s="974"/>
      <c r="B111" s="263" t="s">
        <v>152</v>
      </c>
      <c r="C111" s="283">
        <f>SUM(C98:C110)</f>
        <v>0</v>
      </c>
      <c r="D111" s="975">
        <f>SUM(D98:D110)</f>
        <v>23403.15</v>
      </c>
      <c r="E111" s="240"/>
      <c r="F111" s="240"/>
      <c r="G111" s="240"/>
      <c r="H111" s="240"/>
      <c r="I111" s="240"/>
      <c r="J111" s="240"/>
      <c r="K111" s="240"/>
      <c r="L111" s="240"/>
    </row>
    <row r="112" spans="1:13" ht="12.6" customHeight="1">
      <c r="A112" s="985"/>
      <c r="B112" s="261" t="s">
        <v>153</v>
      </c>
      <c r="C112" s="178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ht="19.5" customHeight="1" collapsed="1">
      <c r="A113" s="985" t="s">
        <v>811</v>
      </c>
      <c r="B113" s="261" t="s">
        <v>151</v>
      </c>
      <c r="C113" s="178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ht="14.25" customHeight="1">
      <c r="A114" s="972"/>
      <c r="B114" s="306" t="s">
        <v>251</v>
      </c>
      <c r="C114" s="22"/>
      <c r="D114" s="973"/>
      <c r="E114" s="48"/>
      <c r="F114" s="48"/>
      <c r="G114" s="48"/>
      <c r="H114" s="48"/>
      <c r="I114" s="48"/>
      <c r="J114" s="48"/>
      <c r="K114" s="48"/>
      <c r="L114" s="48"/>
    </row>
    <row r="115" spans="1:12" ht="14.25" customHeight="1" outlineLevel="1">
      <c r="A115" s="972"/>
      <c r="B115" s="555" t="s">
        <v>12</v>
      </c>
      <c r="C115" s="22"/>
      <c r="D115" s="973">
        <v>0</v>
      </c>
      <c r="E115" s="238"/>
      <c r="F115" s="238"/>
      <c r="G115" s="238"/>
      <c r="H115" s="238"/>
      <c r="I115" s="238"/>
      <c r="J115" s="238"/>
      <c r="K115" s="238"/>
      <c r="L115" s="238"/>
    </row>
    <row r="116" spans="1:12" ht="14.25" customHeight="1" outlineLevel="1">
      <c r="A116" s="972"/>
      <c r="B116" s="306">
        <v>3510.03</v>
      </c>
      <c r="C116" s="22"/>
      <c r="D116" s="973"/>
      <c r="E116" s="238"/>
      <c r="F116" s="238"/>
      <c r="G116" s="238"/>
      <c r="H116" s="238"/>
      <c r="I116" s="238"/>
      <c r="J116" s="238"/>
      <c r="K116" s="238"/>
      <c r="L116" s="238"/>
    </row>
    <row r="117" spans="1:12" ht="12.6" customHeight="1">
      <c r="A117" s="974"/>
      <c r="B117" s="263" t="s">
        <v>152</v>
      </c>
      <c r="C117" s="50"/>
      <c r="D117" s="992">
        <f>SUM(D114:D116)</f>
        <v>0</v>
      </c>
      <c r="E117" s="240"/>
      <c r="F117" s="240"/>
      <c r="G117" s="240"/>
      <c r="H117" s="240"/>
      <c r="I117" s="240"/>
      <c r="J117" s="240"/>
      <c r="K117" s="240"/>
      <c r="L117" s="240">
        <f>D117</f>
        <v>0</v>
      </c>
    </row>
    <row r="118" spans="1:12" ht="42" customHeight="1" collapsed="1">
      <c r="A118" s="985" t="s">
        <v>812</v>
      </c>
      <c r="B118" s="261" t="s">
        <v>151</v>
      </c>
      <c r="C118" s="178"/>
      <c r="D118" s="993"/>
      <c r="E118" s="54"/>
      <c r="F118" s="54"/>
      <c r="G118" s="54"/>
      <c r="H118" s="54"/>
      <c r="I118" s="54"/>
      <c r="J118" s="54"/>
      <c r="K118" s="54"/>
      <c r="L118" s="54"/>
    </row>
    <row r="119" spans="1:12" ht="23.25" customHeight="1">
      <c r="A119" s="972"/>
      <c r="B119" s="306">
        <v>3380.25</v>
      </c>
      <c r="C119" s="22"/>
      <c r="D119" s="282"/>
      <c r="E119" s="48"/>
      <c r="F119" s="48"/>
      <c r="G119" s="48"/>
      <c r="H119" s="48"/>
      <c r="I119" s="48"/>
      <c r="J119" s="48"/>
      <c r="K119" s="48"/>
      <c r="L119" s="48"/>
    </row>
    <row r="120" spans="1:12" ht="20.25" customHeight="1" outlineLevel="1">
      <c r="A120" s="972"/>
      <c r="B120" s="555" t="s">
        <v>250</v>
      </c>
      <c r="C120" s="22"/>
      <c r="D120" s="973"/>
      <c r="E120" s="238"/>
      <c r="F120" s="238"/>
      <c r="G120" s="238"/>
      <c r="H120" s="238"/>
      <c r="I120" s="238"/>
      <c r="J120" s="238"/>
      <c r="K120" s="238"/>
      <c r="L120" s="238"/>
    </row>
    <row r="121" spans="1:12" ht="32.25" customHeight="1">
      <c r="A121" s="974"/>
      <c r="B121" s="263" t="s">
        <v>152</v>
      </c>
      <c r="C121" s="50"/>
      <c r="D121" s="975">
        <f>SUM(D119:D120)</f>
        <v>0</v>
      </c>
      <c r="E121" s="240">
        <f>D121</f>
        <v>0</v>
      </c>
      <c r="F121" s="240"/>
      <c r="G121" s="240"/>
      <c r="H121" s="240"/>
      <c r="I121" s="240"/>
      <c r="J121" s="240"/>
      <c r="K121" s="240"/>
      <c r="L121" s="240"/>
    </row>
    <row r="122" spans="1:12" ht="26.25" customHeight="1" collapsed="1">
      <c r="A122" s="985" t="s">
        <v>813</v>
      </c>
      <c r="B122" s="261" t="s">
        <v>151</v>
      </c>
      <c r="C122" s="178"/>
      <c r="D122" s="54"/>
      <c r="E122" s="54"/>
      <c r="F122" s="54"/>
      <c r="G122" s="54"/>
      <c r="H122" s="54"/>
      <c r="I122" s="54"/>
      <c r="J122" s="54"/>
      <c r="K122" s="54"/>
      <c r="L122" s="54"/>
    </row>
    <row r="123" spans="1:12" ht="15" customHeight="1" outlineLevel="1">
      <c r="A123" s="972"/>
      <c r="B123" s="555" t="s">
        <v>558</v>
      </c>
      <c r="C123" s="22"/>
      <c r="D123" s="986"/>
      <c r="E123" s="238"/>
      <c r="F123" s="238"/>
      <c r="G123" s="238"/>
      <c r="H123" s="238"/>
      <c r="I123" s="238"/>
      <c r="J123" s="238"/>
      <c r="K123" s="238"/>
      <c r="L123" s="238"/>
    </row>
    <row r="124" spans="1:12" ht="15.75" customHeight="1">
      <c r="A124" s="974"/>
      <c r="B124" s="263" t="s">
        <v>152</v>
      </c>
      <c r="C124" s="50"/>
      <c r="D124" s="975">
        <f>SUM(D123)</f>
        <v>0</v>
      </c>
      <c r="E124" s="240"/>
      <c r="F124" s="240">
        <f>D124</f>
        <v>0</v>
      </c>
      <c r="G124" s="240"/>
      <c r="H124" s="240"/>
      <c r="I124" s="240"/>
      <c r="J124" s="240"/>
      <c r="K124" s="240"/>
      <c r="L124" s="240"/>
    </row>
    <row r="125" spans="1:12" ht="30" customHeight="1" collapsed="1">
      <c r="A125" s="985" t="s">
        <v>814</v>
      </c>
      <c r="B125" s="261" t="s">
        <v>151</v>
      </c>
      <c r="C125" s="178"/>
      <c r="D125" s="54"/>
      <c r="E125" s="54"/>
      <c r="F125" s="54"/>
      <c r="G125" s="54"/>
      <c r="H125" s="54"/>
      <c r="I125" s="54"/>
      <c r="J125" s="54"/>
      <c r="K125" s="54"/>
      <c r="L125" s="54"/>
    </row>
    <row r="126" spans="1:12" ht="23.25" customHeight="1" outlineLevel="1">
      <c r="A126" s="972"/>
      <c r="B126" s="555" t="s">
        <v>10</v>
      </c>
      <c r="C126" s="22"/>
      <c r="D126" s="973">
        <v>0</v>
      </c>
      <c r="E126" s="238"/>
      <c r="F126" s="238"/>
      <c r="G126" s="238"/>
      <c r="H126" s="238"/>
      <c r="I126" s="238"/>
      <c r="J126" s="238"/>
      <c r="K126" s="238"/>
      <c r="L126" s="238"/>
    </row>
    <row r="127" spans="1:12" ht="24" customHeight="1">
      <c r="A127" s="974"/>
      <c r="B127" s="263" t="s">
        <v>152</v>
      </c>
      <c r="C127" s="50"/>
      <c r="D127" s="975">
        <f>SUM(D126)</f>
        <v>0</v>
      </c>
      <c r="E127" s="240"/>
      <c r="F127" s="240">
        <f>D127</f>
        <v>0</v>
      </c>
      <c r="G127" s="240"/>
      <c r="H127" s="240"/>
      <c r="I127" s="240"/>
      <c r="J127" s="240"/>
      <c r="K127" s="240"/>
      <c r="L127" s="240"/>
    </row>
    <row r="128" spans="1:12" ht="13.5" customHeight="1" collapsed="1">
      <c r="A128" s="971" t="s">
        <v>815</v>
      </c>
      <c r="B128" s="261" t="s">
        <v>151</v>
      </c>
      <c r="C128" s="178"/>
      <c r="D128" s="471"/>
      <c r="E128" s="54"/>
      <c r="F128" s="54"/>
      <c r="G128" s="54"/>
      <c r="H128" s="54"/>
      <c r="I128" s="54"/>
      <c r="J128" s="54"/>
      <c r="K128" s="54"/>
      <c r="L128" s="54"/>
    </row>
    <row r="129" spans="1:13" ht="16.5" customHeight="1" outlineLevel="1">
      <c r="A129" s="972"/>
      <c r="B129" s="555" t="s">
        <v>10</v>
      </c>
      <c r="C129" s="22"/>
      <c r="D129" s="973"/>
      <c r="E129" s="238"/>
      <c r="F129" s="238"/>
      <c r="G129" s="238"/>
      <c r="H129" s="238"/>
      <c r="I129" s="238"/>
      <c r="J129" s="238"/>
      <c r="K129" s="238"/>
      <c r="L129" s="238"/>
    </row>
    <row r="130" spans="1:13" ht="20.25" customHeight="1" outlineLevel="1">
      <c r="A130" s="972"/>
      <c r="B130" s="555" t="s">
        <v>558</v>
      </c>
      <c r="C130" s="22"/>
      <c r="D130" s="1039">
        <v>662039.12</v>
      </c>
      <c r="E130" s="238"/>
      <c r="F130" s="238"/>
      <c r="G130" s="238"/>
      <c r="H130" s="238"/>
      <c r="I130" s="238"/>
      <c r="J130" s="238"/>
      <c r="K130" s="238"/>
      <c r="L130" s="238"/>
    </row>
    <row r="131" spans="1:13" ht="12.6" customHeight="1">
      <c r="A131" s="974"/>
      <c r="B131" s="263" t="s">
        <v>152</v>
      </c>
      <c r="C131" s="50"/>
      <c r="D131" s="975">
        <f>SUM(D129:D130)</f>
        <v>662039.12</v>
      </c>
      <c r="E131" s="240"/>
      <c r="F131" s="240"/>
      <c r="G131" s="240">
        <f>D131-L131</f>
        <v>662039.12</v>
      </c>
      <c r="H131" s="240"/>
      <c r="I131" s="240"/>
      <c r="J131" s="240"/>
      <c r="K131" s="240"/>
      <c r="L131" s="240"/>
      <c r="M131" s="976"/>
    </row>
    <row r="132" spans="1:13" ht="13.5" customHeight="1" collapsed="1">
      <c r="A132" s="985" t="s">
        <v>816</v>
      </c>
      <c r="B132" s="261" t="s">
        <v>151</v>
      </c>
      <c r="C132" s="178"/>
      <c r="D132" s="471"/>
      <c r="E132" s="54"/>
      <c r="F132" s="54"/>
      <c r="G132" s="54"/>
      <c r="H132" s="54"/>
      <c r="I132" s="54"/>
      <c r="J132" s="54"/>
      <c r="K132" s="54"/>
      <c r="L132" s="54"/>
    </row>
    <row r="133" spans="1:13" ht="17.25" customHeight="1" outlineLevel="1">
      <c r="A133" s="972"/>
      <c r="B133" s="555" t="s">
        <v>558</v>
      </c>
      <c r="C133" s="22"/>
      <c r="D133" s="973">
        <v>0</v>
      </c>
      <c r="E133" s="238"/>
      <c r="F133" s="238">
        <f>D133</f>
        <v>0</v>
      </c>
      <c r="G133" s="238"/>
      <c r="H133" s="238"/>
      <c r="I133" s="238"/>
      <c r="J133" s="238"/>
      <c r="K133" s="238"/>
      <c r="L133" s="238"/>
    </row>
    <row r="134" spans="1:13" ht="14.25" customHeight="1" outlineLevel="1">
      <c r="A134" s="972"/>
      <c r="B134" s="555" t="s">
        <v>642</v>
      </c>
      <c r="C134" s="22"/>
      <c r="D134" s="973"/>
      <c r="E134" s="238">
        <f>D134</f>
        <v>0</v>
      </c>
      <c r="F134" s="238"/>
      <c r="G134" s="238"/>
      <c r="H134" s="238"/>
      <c r="I134" s="238"/>
      <c r="J134" s="238"/>
      <c r="K134" s="238"/>
      <c r="L134" s="238"/>
    </row>
    <row r="135" spans="1:13" ht="14.25" customHeight="1" outlineLevel="1">
      <c r="A135" s="972"/>
      <c r="B135" s="555">
        <v>3310</v>
      </c>
      <c r="C135" s="22"/>
      <c r="D135" s="973"/>
      <c r="E135" s="238"/>
      <c r="F135" s="238">
        <f>D135</f>
        <v>0</v>
      </c>
      <c r="G135" s="238"/>
      <c r="H135" s="238"/>
      <c r="I135" s="238"/>
      <c r="J135" s="238"/>
      <c r="K135" s="238"/>
      <c r="L135" s="238"/>
    </row>
    <row r="136" spans="1:13" ht="18" customHeight="1">
      <c r="A136" s="974"/>
      <c r="B136" s="263" t="s">
        <v>152</v>
      </c>
      <c r="C136" s="994">
        <f>SUM(C133:C135)</f>
        <v>0</v>
      </c>
      <c r="D136" s="975">
        <f>SUM(D133:D135)</f>
        <v>0</v>
      </c>
      <c r="E136" s="240"/>
      <c r="F136" s="240"/>
      <c r="G136" s="240"/>
      <c r="H136" s="240"/>
      <c r="I136" s="240"/>
      <c r="J136" s="240"/>
      <c r="K136" s="240"/>
      <c r="L136" s="240"/>
    </row>
    <row r="137" spans="1:13" ht="20.25" customHeight="1" collapsed="1">
      <c r="A137" s="985" t="s">
        <v>817</v>
      </c>
      <c r="B137" s="261" t="s">
        <v>151</v>
      </c>
      <c r="C137" s="178"/>
      <c r="D137" s="973"/>
      <c r="E137" s="54"/>
      <c r="F137" s="54"/>
      <c r="G137" s="54"/>
      <c r="H137" s="54"/>
      <c r="I137" s="54"/>
      <c r="J137" s="54"/>
      <c r="K137" s="54"/>
      <c r="L137" s="54"/>
    </row>
    <row r="138" spans="1:13" ht="15.75" customHeight="1" outlineLevel="1">
      <c r="A138" s="972"/>
      <c r="B138" s="304">
        <v>1020</v>
      </c>
      <c r="C138" s="22"/>
      <c r="D138" s="973"/>
      <c r="E138" s="238"/>
      <c r="F138" s="238"/>
      <c r="G138" s="238"/>
      <c r="H138" s="238"/>
      <c r="I138" s="238"/>
      <c r="J138" s="238"/>
      <c r="K138" s="238"/>
      <c r="L138" s="238"/>
    </row>
    <row r="139" spans="1:13" ht="12.6" customHeight="1" outlineLevel="1">
      <c r="A139" s="972"/>
      <c r="B139" s="555" t="s">
        <v>250</v>
      </c>
      <c r="C139" s="22"/>
      <c r="D139" s="973"/>
      <c r="E139" s="988"/>
      <c r="F139" s="988"/>
      <c r="G139" s="988"/>
      <c r="H139" s="988"/>
      <c r="I139" s="988"/>
      <c r="J139" s="988"/>
      <c r="K139" s="988"/>
      <c r="L139" s="988"/>
    </row>
    <row r="140" spans="1:13" ht="13.5" customHeight="1">
      <c r="A140" s="974"/>
      <c r="B140" s="263" t="s">
        <v>152</v>
      </c>
      <c r="C140" s="50"/>
      <c r="D140" s="975">
        <f>SUM(D138:D139)</f>
        <v>0</v>
      </c>
      <c r="E140" s="986">
        <f>D140</f>
        <v>0</v>
      </c>
      <c r="F140" s="240"/>
      <c r="G140" s="240"/>
      <c r="H140" s="240"/>
      <c r="I140" s="240"/>
      <c r="J140" s="240"/>
      <c r="K140" s="240"/>
      <c r="L140" s="240"/>
    </row>
    <row r="141" spans="1:13" ht="12.6" customHeight="1" collapsed="1">
      <c r="A141" s="971" t="s">
        <v>818</v>
      </c>
      <c r="B141" s="261" t="s">
        <v>151</v>
      </c>
      <c r="C141" s="178"/>
      <c r="D141" s="54"/>
      <c r="E141" s="54"/>
      <c r="F141" s="54"/>
      <c r="G141" s="54"/>
      <c r="H141" s="54"/>
      <c r="I141" s="54"/>
      <c r="J141" s="54"/>
      <c r="K141" s="54"/>
      <c r="L141" s="54"/>
    </row>
    <row r="142" spans="1:13" ht="20.25" customHeight="1" outlineLevel="1">
      <c r="A142" s="972"/>
      <c r="B142" s="555">
        <v>1210</v>
      </c>
      <c r="C142" s="22"/>
      <c r="D142" s="973"/>
      <c r="E142" s="238"/>
      <c r="F142" s="238">
        <f>D142</f>
        <v>0</v>
      </c>
      <c r="G142" s="238"/>
      <c r="H142" s="238"/>
      <c r="I142" s="238"/>
      <c r="J142" s="238"/>
      <c r="K142" s="238"/>
      <c r="L142" s="238"/>
    </row>
    <row r="143" spans="1:13" ht="21" customHeight="1" outlineLevel="1">
      <c r="A143" s="972"/>
      <c r="B143" s="555" t="s">
        <v>651</v>
      </c>
      <c r="C143" s="22"/>
      <c r="D143" s="1039">
        <v>426627.07</v>
      </c>
      <c r="E143" s="238"/>
      <c r="F143" s="238"/>
      <c r="G143" s="238"/>
      <c r="H143" s="238">
        <f t="shared" ref="H143:H148" si="3">D143</f>
        <v>426627.07</v>
      </c>
      <c r="I143" s="238"/>
      <c r="J143" s="238"/>
      <c r="K143" s="238"/>
      <c r="L143" s="238"/>
    </row>
    <row r="144" spans="1:13" ht="14.25" customHeight="1" outlineLevel="1">
      <c r="A144" s="972"/>
      <c r="B144" s="555" t="s">
        <v>253</v>
      </c>
      <c r="C144" s="22"/>
      <c r="D144" s="973">
        <v>0</v>
      </c>
      <c r="E144" s="238"/>
      <c r="F144" s="238"/>
      <c r="G144" s="238"/>
      <c r="H144" s="238">
        <f t="shared" si="3"/>
        <v>0</v>
      </c>
      <c r="I144" s="238"/>
      <c r="J144" s="238"/>
      <c r="K144" s="238"/>
      <c r="L144" s="238"/>
    </row>
    <row r="145" spans="1:13" ht="14.25" customHeight="1" outlineLevel="1">
      <c r="A145" s="972"/>
      <c r="B145" s="555" t="s">
        <v>254</v>
      </c>
      <c r="C145" s="22"/>
      <c r="D145" s="1039">
        <v>1544</v>
      </c>
      <c r="E145" s="238"/>
      <c r="F145" s="238"/>
      <c r="G145" s="238"/>
      <c r="H145" s="238">
        <f t="shared" si="3"/>
        <v>1544</v>
      </c>
      <c r="I145" s="238"/>
      <c r="J145" s="238"/>
      <c r="K145" s="238"/>
      <c r="L145" s="238"/>
    </row>
    <row r="146" spans="1:13" ht="14.25" customHeight="1" outlineLevel="1">
      <c r="A146" s="972"/>
      <c r="B146" s="555">
        <v>1350</v>
      </c>
      <c r="C146" s="22"/>
      <c r="D146" s="1039">
        <v>134347.01</v>
      </c>
      <c r="E146" s="238"/>
      <c r="F146" s="238"/>
      <c r="G146" s="238"/>
      <c r="H146" s="238">
        <f t="shared" si="3"/>
        <v>134347.01</v>
      </c>
      <c r="I146" s="238"/>
      <c r="J146" s="238"/>
      <c r="K146" s="238"/>
      <c r="L146" s="238"/>
    </row>
    <row r="147" spans="1:13" ht="14.25" customHeight="1" outlineLevel="1">
      <c r="A147" s="972"/>
      <c r="B147" s="555" t="s">
        <v>652</v>
      </c>
      <c r="C147" s="22"/>
      <c r="D147" s="1039">
        <v>400621.69</v>
      </c>
      <c r="E147" s="238"/>
      <c r="F147" s="238"/>
      <c r="G147" s="238"/>
      <c r="H147" s="238">
        <f t="shared" si="3"/>
        <v>400621.69</v>
      </c>
      <c r="I147" s="238"/>
      <c r="J147" s="238"/>
      <c r="K147" s="238"/>
      <c r="L147" s="238"/>
    </row>
    <row r="148" spans="1:13" ht="14.25" customHeight="1" outlineLevel="1">
      <c r="A148" s="972"/>
      <c r="B148" s="555" t="s">
        <v>258</v>
      </c>
      <c r="C148" s="22"/>
      <c r="D148" s="973"/>
      <c r="E148" s="238"/>
      <c r="F148" s="238"/>
      <c r="G148" s="238"/>
      <c r="H148" s="238">
        <f t="shared" si="3"/>
        <v>0</v>
      </c>
      <c r="I148" s="238"/>
      <c r="J148" s="238"/>
      <c r="K148" s="238"/>
      <c r="L148" s="238"/>
    </row>
    <row r="149" spans="1:13" ht="12.6" customHeight="1">
      <c r="A149" s="974"/>
      <c r="B149" s="263" t="s">
        <v>152</v>
      </c>
      <c r="C149" s="50"/>
      <c r="D149" s="975">
        <f>SUM(D142:D148)</f>
        <v>963139.77</v>
      </c>
      <c r="E149" s="240"/>
      <c r="F149" s="240"/>
      <c r="G149" s="240"/>
      <c r="H149" s="240"/>
      <c r="I149" s="240"/>
      <c r="J149" s="240"/>
      <c r="K149" s="240"/>
      <c r="L149" s="240"/>
    </row>
    <row r="150" spans="1:13" ht="13.5" customHeight="1" collapsed="1">
      <c r="A150" s="985" t="s">
        <v>819</v>
      </c>
      <c r="B150" s="261" t="s">
        <v>151</v>
      </c>
      <c r="C150" s="178"/>
      <c r="D150" s="54"/>
      <c r="E150" s="991"/>
      <c r="F150" s="54"/>
      <c r="G150" s="54"/>
      <c r="H150" s="54"/>
      <c r="I150" s="54"/>
      <c r="J150" s="54"/>
      <c r="K150" s="54"/>
      <c r="L150" s="54"/>
    </row>
    <row r="151" spans="1:13" ht="12.6" customHeight="1" outlineLevel="1">
      <c r="A151" s="972"/>
      <c r="B151" s="555" t="s">
        <v>558</v>
      </c>
      <c r="C151" s="22"/>
      <c r="D151" s="973"/>
      <c r="E151" s="238"/>
      <c r="F151" s="238"/>
      <c r="G151" s="238"/>
      <c r="H151" s="238"/>
      <c r="I151" s="238"/>
      <c r="J151" s="238"/>
      <c r="K151" s="238"/>
      <c r="L151" s="238"/>
    </row>
    <row r="152" spans="1:13" ht="12.6" customHeight="1" thickBot="1">
      <c r="A152" s="974"/>
      <c r="B152" s="263" t="s">
        <v>152</v>
      </c>
      <c r="C152" s="50"/>
      <c r="D152" s="975">
        <f>SUM(D151)</f>
        <v>0</v>
      </c>
      <c r="E152" s="240"/>
      <c r="F152" s="240"/>
      <c r="G152" s="240"/>
      <c r="H152" s="240"/>
      <c r="I152" s="240"/>
      <c r="J152" s="240"/>
      <c r="K152" s="240">
        <f>D152</f>
        <v>0</v>
      </c>
      <c r="L152" s="240"/>
    </row>
    <row r="153" spans="1:13" s="250" customFormat="1" ht="20.25" customHeight="1" thickBot="1">
      <c r="A153" s="995" t="s">
        <v>171</v>
      </c>
      <c r="B153" s="996"/>
      <c r="C153" s="997">
        <f>C152+C149+C140+C136+C131+C127+C124+C121+C117+C111+C96+C71+C49+C44+C56+C40+C28+C23+C15+C11</f>
        <v>0</v>
      </c>
      <c r="D153" s="998">
        <f>D19+D152+D149+D140+D136+D131+D127+D124+D121+D117+D111+D96+D71+D49+D44+D56+D40+D28+D23+D15+D11-C153+D61</f>
        <v>1531180967.2399998</v>
      </c>
      <c r="E153" s="997">
        <f>SUM(E7:E152)</f>
        <v>14912861.140000001</v>
      </c>
      <c r="F153" s="997">
        <f>SUM(F7:F152)</f>
        <v>672638866.54999995</v>
      </c>
      <c r="G153" s="997">
        <f t="shared" ref="G153:L153" si="4">SUM(G7:G152)</f>
        <v>66502127.880000003</v>
      </c>
      <c r="H153" s="997">
        <f t="shared" si="4"/>
        <v>998080.03</v>
      </c>
      <c r="I153" s="997">
        <f t="shared" si="4"/>
        <v>110840.4</v>
      </c>
      <c r="J153" s="997">
        <f>SUM(J7:J152)</f>
        <v>180344595.65000001</v>
      </c>
      <c r="K153" s="997">
        <f>SUM(K7:K152)</f>
        <v>590821008.78999996</v>
      </c>
      <c r="L153" s="997">
        <f t="shared" si="4"/>
        <v>4852586.8</v>
      </c>
      <c r="M153" s="963"/>
    </row>
    <row r="154" spans="1:13">
      <c r="C154" s="13">
        <v>6280.07</v>
      </c>
      <c r="D154" s="1000">
        <f>SUM(E153:L153)</f>
        <v>1531180967.2399998</v>
      </c>
      <c r="E154" s="1001"/>
    </row>
    <row r="155" spans="1:13">
      <c r="C155" s="999"/>
      <c r="D155" s="1002">
        <f>D153-D154</f>
        <v>0</v>
      </c>
      <c r="E155" s="1001"/>
      <c r="K155" s="13">
        <v>7210</v>
      </c>
      <c r="L155" s="1003">
        <f>L117+L89</f>
        <v>617693.56999999995</v>
      </c>
      <c r="M155" s="963">
        <v>7210</v>
      </c>
    </row>
    <row r="156" spans="1:13">
      <c r="C156" s="1004"/>
      <c r="D156" s="1000">
        <v>612987547.72000003</v>
      </c>
      <c r="H156" s="1005">
        <f>H153+I153</f>
        <v>1108920.43</v>
      </c>
      <c r="K156" s="13">
        <v>7110</v>
      </c>
      <c r="L156" s="1006">
        <f>L81+L8</f>
        <v>4070860.71</v>
      </c>
      <c r="M156" s="963">
        <v>7110</v>
      </c>
    </row>
    <row r="157" spans="1:13">
      <c r="C157" s="374"/>
      <c r="D157" s="1007"/>
      <c r="K157" s="999"/>
      <c r="L157" s="1008">
        <f>L153-L155-L156</f>
        <v>164032.51999999955</v>
      </c>
      <c r="M157" s="1009"/>
    </row>
    <row r="158" spans="1:13">
      <c r="C158" s="999"/>
      <c r="D158" s="973">
        <f>D156-D154</f>
        <v>-918193419.51999974</v>
      </c>
      <c r="G158" s="374"/>
      <c r="H158" s="999"/>
      <c r="I158" s="999"/>
    </row>
    <row r="159" spans="1:13">
      <c r="C159" s="999"/>
      <c r="D159" s="1007"/>
      <c r="G159" s="374"/>
      <c r="H159" s="999"/>
      <c r="I159" s="999"/>
    </row>
    <row r="160" spans="1:13">
      <c r="C160" s="999"/>
      <c r="D160" s="1010"/>
      <c r="G160" s="374"/>
      <c r="H160" s="999"/>
      <c r="I160" s="999"/>
    </row>
    <row r="161" spans="7:9">
      <c r="G161" s="374"/>
      <c r="H161" s="999"/>
      <c r="I161" s="999"/>
    </row>
    <row r="162" spans="7:9">
      <c r="G162" s="374"/>
      <c r="H162" s="999"/>
      <c r="I162" s="999"/>
    </row>
    <row r="163" spans="7:9">
      <c r="G163" s="374"/>
      <c r="H163" s="999"/>
      <c r="I163" s="999"/>
    </row>
    <row r="164" spans="7:9">
      <c r="G164" s="374"/>
      <c r="H164" s="999"/>
      <c r="I164" s="999"/>
    </row>
    <row r="165" spans="7:9">
      <c r="G165" s="999"/>
      <c r="H165" s="999"/>
      <c r="I165" s="999"/>
    </row>
  </sheetData>
  <mergeCells count="7">
    <mergeCell ref="H5:L5"/>
    <mergeCell ref="A1:C1"/>
    <mergeCell ref="A2:D2"/>
    <mergeCell ref="A3:D3"/>
    <mergeCell ref="A4:D4"/>
    <mergeCell ref="A5:D5"/>
    <mergeCell ref="F5:G5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8">
    <tabColor rgb="FFFFC000"/>
    <pageSetUpPr fitToPage="1"/>
  </sheetPr>
  <dimension ref="A1:N330"/>
  <sheetViews>
    <sheetView topLeftCell="A112" workbookViewId="0">
      <selection activeCell="C121" sqref="C121"/>
    </sheetView>
  </sheetViews>
  <sheetFormatPr defaultColWidth="9.140625" defaultRowHeight="12.75" outlineLevelRow="1"/>
  <cols>
    <col min="1" max="1" width="8.140625" style="380" customWidth="1"/>
    <col min="2" max="2" width="54.85546875" style="3" customWidth="1"/>
    <col min="3" max="3" width="18.7109375" style="219" customWidth="1"/>
    <col min="4" max="4" width="18.5703125" style="219" customWidth="1"/>
    <col min="5" max="5" width="17" style="3" customWidth="1"/>
    <col min="6" max="6" width="16.140625" style="206" customWidth="1"/>
    <col min="7" max="7" width="16.42578125" style="3" customWidth="1"/>
    <col min="8" max="8" width="13.5703125" style="3" customWidth="1"/>
    <col min="9" max="9" width="30.7109375" style="3" customWidth="1"/>
    <col min="10" max="10" width="17.7109375" style="3" customWidth="1"/>
    <col min="11" max="11" width="17.28515625" style="3" customWidth="1"/>
    <col min="12" max="12" width="12.140625" style="3" customWidth="1"/>
    <col min="13" max="16384" width="9.140625" style="3"/>
  </cols>
  <sheetData>
    <row r="1" spans="1:13">
      <c r="G1" s="206"/>
      <c r="H1" s="206"/>
      <c r="I1" s="206"/>
      <c r="J1" s="206"/>
    </row>
    <row r="2" spans="1:13">
      <c r="A2" s="1593" t="s">
        <v>776</v>
      </c>
      <c r="B2" s="1593"/>
      <c r="C2" s="1593"/>
      <c r="D2" s="1593"/>
    </row>
    <row r="4" spans="1:13" s="66" customFormat="1">
      <c r="A4" s="97"/>
      <c r="B4" s="69" t="s">
        <v>130</v>
      </c>
      <c r="C4" s="220" t="s">
        <v>131</v>
      </c>
      <c r="D4" s="220" t="s">
        <v>132</v>
      </c>
      <c r="E4" s="71" t="s">
        <v>133</v>
      </c>
      <c r="F4" s="63"/>
      <c r="G4" s="63"/>
      <c r="H4" s="63"/>
      <c r="I4" s="63"/>
      <c r="J4" s="63"/>
      <c r="K4" s="63"/>
      <c r="L4" s="63"/>
      <c r="M4" s="63"/>
    </row>
    <row r="5" spans="1:13" s="66" customFormat="1">
      <c r="A5" s="97"/>
      <c r="B5" s="221"/>
      <c r="C5" s="220"/>
      <c r="D5" s="220"/>
      <c r="E5" s="222"/>
      <c r="F5" s="63"/>
      <c r="G5" s="63"/>
      <c r="H5" s="63"/>
      <c r="I5" s="63"/>
      <c r="J5" s="63"/>
      <c r="K5" s="63"/>
      <c r="L5" s="63"/>
      <c r="M5" s="63"/>
    </row>
    <row r="6" spans="1:13" s="225" customFormat="1">
      <c r="A6" s="98"/>
      <c r="B6" s="67"/>
      <c r="C6" s="223"/>
      <c r="D6" s="223"/>
      <c r="E6" s="65"/>
      <c r="F6" s="224"/>
      <c r="G6" s="224"/>
      <c r="H6" s="224"/>
      <c r="I6" s="224"/>
      <c r="J6" s="224"/>
      <c r="K6" s="224"/>
      <c r="L6" s="224"/>
      <c r="M6" s="224"/>
    </row>
    <row r="7" spans="1:13" s="225" customFormat="1">
      <c r="A7" s="1593" t="s">
        <v>2</v>
      </c>
      <c r="B7" s="1593"/>
      <c r="C7" s="1593"/>
      <c r="D7" s="1593"/>
      <c r="E7" s="65"/>
      <c r="F7" s="224"/>
      <c r="G7" s="224"/>
      <c r="H7" s="224"/>
      <c r="I7" s="224"/>
      <c r="J7" s="224"/>
      <c r="K7" s="224"/>
      <c r="L7" s="224"/>
      <c r="M7" s="224"/>
    </row>
    <row r="8" spans="1:13" s="225" customFormat="1">
      <c r="A8" s="98"/>
      <c r="B8" s="67"/>
      <c r="C8" s="223"/>
      <c r="D8" s="223"/>
      <c r="E8" s="65"/>
      <c r="F8" s="224"/>
      <c r="G8" s="224"/>
      <c r="H8" s="224"/>
      <c r="I8" s="224"/>
      <c r="J8" s="224"/>
      <c r="K8" s="224"/>
      <c r="L8" s="224"/>
      <c r="M8" s="224"/>
    </row>
    <row r="9" spans="1:13" s="28" customFormat="1">
      <c r="A9" s="939">
        <v>1</v>
      </c>
      <c r="B9" s="226" t="s">
        <v>58</v>
      </c>
      <c r="C9" s="35"/>
      <c r="D9" s="35"/>
      <c r="E9" s="29"/>
      <c r="F9" s="29"/>
      <c r="G9" s="29"/>
      <c r="H9" s="29"/>
      <c r="I9" s="29"/>
      <c r="J9" s="29"/>
      <c r="K9" s="29"/>
      <c r="L9" s="29"/>
      <c r="M9" s="29"/>
    </row>
    <row r="10" spans="1:13" s="28" customFormat="1">
      <c r="A10" s="105"/>
      <c r="B10" s="61" t="s">
        <v>181</v>
      </c>
      <c r="C10" s="227"/>
      <c r="D10" s="35"/>
      <c r="E10" s="29"/>
      <c r="F10" s="29"/>
      <c r="G10" s="29"/>
      <c r="H10" s="29"/>
      <c r="I10" s="29"/>
      <c r="J10" s="29"/>
      <c r="K10" s="29"/>
      <c r="L10" s="29"/>
      <c r="M10" s="29"/>
    </row>
    <row r="11" spans="1:13" s="31" customFormat="1">
      <c r="A11" s="473">
        <v>1210</v>
      </c>
      <c r="B11" s="61" t="s">
        <v>24</v>
      </c>
      <c r="C11" s="227">
        <f>-'Элиминир ДЗ и КЗ'!E123</f>
        <v>-1354227450.23</v>
      </c>
      <c r="D11" s="227"/>
      <c r="E11" s="30"/>
      <c r="F11" s="30"/>
      <c r="G11" s="30"/>
      <c r="H11" s="30"/>
      <c r="I11" s="30"/>
      <c r="J11" s="30"/>
      <c r="K11" s="30"/>
      <c r="L11" s="30"/>
      <c r="M11" s="30"/>
    </row>
    <row r="12" spans="1:13" s="31" customFormat="1" ht="16.5" customHeight="1">
      <c r="A12" s="473">
        <v>1220</v>
      </c>
      <c r="B12" s="61" t="s">
        <v>47</v>
      </c>
      <c r="C12" s="227">
        <f>-'Элиминир ДЗ и КЗ'!E124</f>
        <v>-5331848992.4300013</v>
      </c>
      <c r="D12" s="227"/>
      <c r="E12" s="30"/>
      <c r="F12" s="30"/>
      <c r="G12" s="30"/>
      <c r="H12" s="30"/>
      <c r="I12" s="30"/>
      <c r="J12" s="30"/>
      <c r="K12" s="30"/>
      <c r="L12" s="30"/>
      <c r="M12" s="30"/>
    </row>
    <row r="13" spans="1:13" s="31" customFormat="1">
      <c r="A13" s="473">
        <v>1260</v>
      </c>
      <c r="B13" s="61" t="s">
        <v>31</v>
      </c>
      <c r="C13" s="227"/>
      <c r="D13" s="227"/>
      <c r="E13" s="30"/>
      <c r="F13" s="30"/>
      <c r="G13" s="30"/>
      <c r="H13" s="30"/>
      <c r="I13" s="30"/>
      <c r="J13" s="30"/>
      <c r="K13" s="30"/>
      <c r="L13" s="30"/>
      <c r="M13" s="30"/>
    </row>
    <row r="14" spans="1:13" s="31" customFormat="1">
      <c r="A14" s="473" t="s">
        <v>14</v>
      </c>
      <c r="B14" s="61" t="s">
        <v>243</v>
      </c>
      <c r="C14" s="227"/>
      <c r="D14" s="227"/>
      <c r="E14" s="30"/>
      <c r="F14" s="30"/>
      <c r="G14" s="30"/>
      <c r="H14" s="30"/>
      <c r="I14" s="30"/>
      <c r="J14" s="30"/>
      <c r="K14" s="30"/>
      <c r="L14" s="30"/>
      <c r="M14" s="30"/>
    </row>
    <row r="15" spans="1:13" s="31" customFormat="1" ht="15" customHeight="1">
      <c r="A15" s="473">
        <v>1280</v>
      </c>
      <c r="B15" s="61" t="s">
        <v>43</v>
      </c>
      <c r="C15" s="227">
        <f>-'Элиминир ДЗ и КЗ'!E127</f>
        <v>-2385355502.8300004</v>
      </c>
      <c r="D15" s="227"/>
      <c r="E15" s="30"/>
      <c r="F15" s="30"/>
      <c r="G15" s="30"/>
      <c r="H15" s="30"/>
      <c r="I15" s="30"/>
      <c r="J15" s="30"/>
      <c r="K15" s="30"/>
      <c r="L15" s="30"/>
      <c r="M15" s="30"/>
    </row>
    <row r="16" spans="1:13" s="31" customFormat="1">
      <c r="A16" s="473">
        <v>1610</v>
      </c>
      <c r="B16" s="61" t="s">
        <v>162</v>
      </c>
      <c r="C16" s="227"/>
      <c r="D16" s="227"/>
      <c r="E16" s="30"/>
      <c r="F16" s="30"/>
      <c r="G16" s="30"/>
      <c r="H16" s="30"/>
      <c r="I16" s="30"/>
      <c r="J16" s="30"/>
      <c r="K16" s="30"/>
      <c r="L16" s="30"/>
      <c r="M16" s="30"/>
    </row>
    <row r="17" spans="1:13" s="31" customFormat="1">
      <c r="A17" s="473">
        <v>2120</v>
      </c>
      <c r="B17" s="61" t="s">
        <v>95</v>
      </c>
      <c r="C17" s="227">
        <f>-'Элиминир ДЗ и КЗ'!E129</f>
        <v>0</v>
      </c>
      <c r="D17" s="227"/>
      <c r="E17" s="30"/>
      <c r="F17" s="30"/>
      <c r="G17" s="30"/>
      <c r="H17" s="30"/>
      <c r="I17" s="30"/>
      <c r="J17" s="30"/>
      <c r="K17" s="30"/>
      <c r="L17" s="30"/>
      <c r="M17" s="30"/>
    </row>
    <row r="18" spans="1:13" s="31" customFormat="1">
      <c r="A18" s="473">
        <v>2170</v>
      </c>
      <c r="B18" s="61" t="s">
        <v>44</v>
      </c>
      <c r="C18" s="227">
        <f>-'Элиминир ДЗ и КЗ'!E130</f>
        <v>0</v>
      </c>
      <c r="D18" s="227"/>
      <c r="E18" s="30"/>
      <c r="F18" s="30"/>
      <c r="G18" s="30"/>
      <c r="H18" s="30"/>
      <c r="I18" s="30"/>
      <c r="J18" s="30"/>
      <c r="K18" s="30"/>
      <c r="L18" s="30"/>
      <c r="M18" s="30"/>
    </row>
    <row r="19" spans="1:13" s="31" customFormat="1">
      <c r="A19" s="473">
        <v>3310</v>
      </c>
      <c r="B19" s="61" t="s">
        <v>46</v>
      </c>
      <c r="C19" s="227"/>
      <c r="D19" s="227">
        <f>-'Элиминир ДЗ и КЗ'!F132</f>
        <v>-669609259.79999995</v>
      </c>
      <c r="E19" s="227"/>
      <c r="F19" s="30"/>
      <c r="G19" s="30"/>
      <c r="H19" s="30"/>
      <c r="I19" s="30"/>
      <c r="J19" s="30"/>
      <c r="K19" s="30"/>
      <c r="L19" s="30"/>
      <c r="M19" s="30"/>
    </row>
    <row r="20" spans="1:13" s="31" customFormat="1">
      <c r="A20" s="473" t="s">
        <v>108</v>
      </c>
      <c r="B20" s="61" t="s">
        <v>109</v>
      </c>
      <c r="C20" s="227"/>
      <c r="D20" s="227">
        <f>-'Элиминир ДЗ и КЗ'!F142</f>
        <v>-1314616549.54</v>
      </c>
      <c r="E20" s="30"/>
      <c r="F20" s="30"/>
      <c r="G20" s="30"/>
      <c r="H20" s="30"/>
      <c r="I20" s="30"/>
      <c r="J20" s="30"/>
      <c r="K20" s="30"/>
      <c r="L20" s="30"/>
      <c r="M20" s="30"/>
    </row>
    <row r="21" spans="1:13" s="31" customFormat="1">
      <c r="A21" s="473">
        <v>60</v>
      </c>
      <c r="B21" s="61" t="s">
        <v>109</v>
      </c>
      <c r="C21" s="227"/>
      <c r="D21" s="227">
        <f>-'Элиминир ДЗ и КЗ'!F143</f>
        <v>-38629004</v>
      </c>
      <c r="E21" s="30"/>
      <c r="F21" s="30"/>
      <c r="G21" s="30"/>
      <c r="H21" s="30"/>
      <c r="I21" s="30"/>
      <c r="J21" s="30"/>
      <c r="K21" s="30"/>
      <c r="L21" s="30"/>
      <c r="M21" s="30"/>
    </row>
    <row r="22" spans="1:13" s="31" customFormat="1">
      <c r="A22" s="473">
        <v>3320</v>
      </c>
      <c r="B22" s="61" t="s">
        <v>28</v>
      </c>
      <c r="C22" s="227"/>
      <c r="D22" s="227">
        <f>-'Элиминир ДЗ и КЗ'!F133</f>
        <v>-4336865099.29</v>
      </c>
      <c r="E22" s="30"/>
      <c r="F22" s="30"/>
      <c r="G22" s="30"/>
      <c r="H22" s="30"/>
      <c r="I22" s="30"/>
      <c r="J22" s="30"/>
      <c r="K22" s="30"/>
      <c r="L22" s="30"/>
      <c r="M22" s="30"/>
    </row>
    <row r="23" spans="1:13" s="31" customFormat="1">
      <c r="A23" s="473">
        <v>3360</v>
      </c>
      <c r="B23" s="61" t="s">
        <v>93</v>
      </c>
      <c r="C23" s="227"/>
      <c r="D23" s="227">
        <f>-'Элиминир ДЗ и КЗ'!F134</f>
        <v>0</v>
      </c>
      <c r="E23" s="30"/>
      <c r="F23" s="30"/>
      <c r="G23" s="30"/>
      <c r="H23" s="30"/>
      <c r="I23" s="30"/>
      <c r="J23" s="30"/>
      <c r="K23" s="30"/>
      <c r="L23" s="30"/>
      <c r="M23" s="30"/>
    </row>
    <row r="24" spans="1:13" s="31" customFormat="1">
      <c r="A24" s="473">
        <v>3382</v>
      </c>
      <c r="B24" s="61" t="s">
        <v>94</v>
      </c>
      <c r="C24" s="227"/>
      <c r="D24" s="227">
        <f>-'Элиминир ДЗ и КЗ'!F138</f>
        <v>0</v>
      </c>
      <c r="E24" s="30"/>
      <c r="F24" s="30"/>
      <c r="G24" s="30"/>
      <c r="H24" s="30"/>
      <c r="I24" s="30"/>
      <c r="J24" s="30"/>
      <c r="K24" s="30"/>
      <c r="L24" s="30"/>
      <c r="M24" s="30"/>
    </row>
    <row r="25" spans="1:13" s="31" customFormat="1">
      <c r="A25" s="473">
        <v>3389</v>
      </c>
      <c r="B25" s="61" t="s">
        <v>27</v>
      </c>
      <c r="C25" s="227"/>
      <c r="D25" s="227"/>
      <c r="E25" s="30"/>
      <c r="F25" s="30"/>
      <c r="G25" s="30"/>
      <c r="H25" s="30"/>
      <c r="I25" s="30"/>
      <c r="J25" s="30"/>
      <c r="K25" s="30"/>
      <c r="L25" s="30"/>
      <c r="M25" s="30"/>
    </row>
    <row r="26" spans="1:13" s="31" customFormat="1">
      <c r="A26" s="473">
        <v>3397</v>
      </c>
      <c r="B26" s="61" t="s">
        <v>29</v>
      </c>
      <c r="C26" s="227"/>
      <c r="D26" s="227"/>
      <c r="E26" s="30"/>
      <c r="F26" s="30"/>
      <c r="G26" s="30"/>
      <c r="H26" s="30"/>
      <c r="I26" s="30"/>
      <c r="J26" s="30"/>
      <c r="K26" s="30"/>
      <c r="L26" s="30"/>
      <c r="M26" s="30"/>
    </row>
    <row r="27" spans="1:13" s="31" customFormat="1">
      <c r="A27" s="473">
        <v>3399</v>
      </c>
      <c r="B27" s="61" t="s">
        <v>110</v>
      </c>
      <c r="C27" s="227"/>
      <c r="D27" s="227">
        <f>-'Элиминир ДЗ и КЗ'!F140</f>
        <v>-2710730032.8600001</v>
      </c>
      <c r="E27" s="30"/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473">
        <v>3510</v>
      </c>
      <c r="B28" s="61" t="s">
        <v>120</v>
      </c>
      <c r="C28" s="227"/>
      <c r="D28" s="227">
        <f>-'Элиминир ДЗ и КЗ'!F135</f>
        <v>-982000</v>
      </c>
      <c r="E28" s="34"/>
      <c r="F28" s="32"/>
      <c r="G28" s="32"/>
      <c r="H28" s="32"/>
      <c r="I28" s="32"/>
      <c r="J28" s="32"/>
      <c r="K28" s="32"/>
      <c r="L28" s="32"/>
      <c r="M28" s="32"/>
    </row>
    <row r="29" spans="1:13" s="225" customFormat="1">
      <c r="A29" s="473">
        <v>4120</v>
      </c>
      <c r="B29" s="61" t="s">
        <v>288</v>
      </c>
      <c r="C29" s="227"/>
      <c r="D29" s="227">
        <f>-'Элиминир ДЗ и КЗ'!F141</f>
        <v>0</v>
      </c>
      <c r="E29" s="65"/>
      <c r="F29" s="224"/>
      <c r="G29" s="224"/>
      <c r="H29" s="224"/>
      <c r="I29" s="224"/>
      <c r="J29" s="224"/>
      <c r="K29" s="224"/>
      <c r="L29" s="224"/>
      <c r="M29" s="224"/>
    </row>
    <row r="30" spans="1:13" s="225" customFormat="1">
      <c r="A30" s="473" t="s">
        <v>244</v>
      </c>
      <c r="B30" s="15" t="s">
        <v>146</v>
      </c>
      <c r="C30" s="227">
        <f>-'Элиминир ДЗ и КЗ'!E145</f>
        <v>0</v>
      </c>
      <c r="D30" s="227"/>
      <c r="E30" s="65"/>
      <c r="F30" s="224"/>
      <c r="G30" s="224"/>
      <c r="H30" s="224"/>
      <c r="I30" s="224"/>
      <c r="J30" s="224"/>
      <c r="K30" s="224"/>
      <c r="L30" s="224"/>
      <c r="M30" s="224"/>
    </row>
    <row r="31" spans="1:13" s="225" customFormat="1">
      <c r="A31" s="473" t="s">
        <v>245</v>
      </c>
      <c r="B31" s="61" t="s">
        <v>30</v>
      </c>
      <c r="C31" s="227">
        <f>-'Элиминир ДЗ и КЗ'!E146</f>
        <v>0</v>
      </c>
      <c r="D31" s="227"/>
      <c r="E31" s="65"/>
      <c r="F31" s="224"/>
      <c r="G31" s="224"/>
      <c r="H31" s="224"/>
      <c r="I31" s="224"/>
      <c r="J31" s="224"/>
      <c r="K31" s="224"/>
      <c r="L31" s="224"/>
      <c r="M31" s="224"/>
    </row>
    <row r="32" spans="1:13" s="225" customFormat="1">
      <c r="A32" s="473" t="s">
        <v>15</v>
      </c>
      <c r="B32" s="61" t="s">
        <v>42</v>
      </c>
      <c r="C32" s="227"/>
      <c r="D32" s="227">
        <f>-'Элиминир ДЗ и КЗ'!F148</f>
        <v>0</v>
      </c>
      <c r="E32" s="65"/>
      <c r="F32" s="224"/>
      <c r="G32" s="224"/>
      <c r="H32" s="224"/>
      <c r="I32" s="224"/>
      <c r="J32" s="224"/>
      <c r="K32" s="224"/>
      <c r="L32" s="224"/>
      <c r="M32" s="224"/>
    </row>
    <row r="33" spans="1:13" s="225" customFormat="1">
      <c r="A33" s="473" t="s">
        <v>147</v>
      </c>
      <c r="B33" s="61" t="s">
        <v>45</v>
      </c>
      <c r="C33" s="227"/>
      <c r="D33" s="227">
        <f>-'Элиминир ДЗ и КЗ'!F149</f>
        <v>0</v>
      </c>
      <c r="E33" s="65"/>
      <c r="F33" s="224"/>
      <c r="G33" s="224"/>
      <c r="H33" s="224"/>
      <c r="I33" s="224"/>
      <c r="J33" s="224"/>
      <c r="K33" s="224"/>
      <c r="L33" s="224"/>
      <c r="M33" s="224"/>
    </row>
    <row r="34" spans="1:13" s="225" customFormat="1">
      <c r="A34" s="606"/>
      <c r="B34" s="61" t="s">
        <v>125</v>
      </c>
      <c r="C34" s="227"/>
      <c r="D34" s="227"/>
      <c r="E34" s="65"/>
      <c r="F34" s="224"/>
      <c r="G34" s="224"/>
      <c r="H34" s="224"/>
      <c r="I34" s="224"/>
      <c r="J34" s="224"/>
      <c r="K34" s="224"/>
      <c r="L34" s="224"/>
      <c r="M34" s="224"/>
    </row>
    <row r="35" spans="1:13" s="225" customFormat="1" ht="13.5" thickBot="1">
      <c r="A35" s="606"/>
      <c r="B35" s="15"/>
      <c r="C35" s="58">
        <f>SUM(C10:C34)</f>
        <v>-9071431945.4900017</v>
      </c>
      <c r="D35" s="58">
        <f>SUM(D11:D34)+E19</f>
        <v>-9071431945.4899998</v>
      </c>
      <c r="E35" s="58">
        <f>C35-D35</f>
        <v>0</v>
      </c>
      <c r="F35" s="938" t="s">
        <v>779</v>
      </c>
      <c r="G35" s="224"/>
      <c r="H35" s="224"/>
      <c r="I35" s="224"/>
      <c r="J35" s="224"/>
      <c r="K35" s="224"/>
      <c r="L35" s="224"/>
      <c r="M35" s="224"/>
    </row>
    <row r="36" spans="1:13" s="225" customFormat="1" ht="13.5" thickTop="1">
      <c r="A36" s="380"/>
      <c r="B36" s="15"/>
      <c r="C36" s="223"/>
      <c r="D36" s="223"/>
      <c r="E36" s="65"/>
      <c r="F36" s="224"/>
      <c r="G36" s="224"/>
      <c r="H36" s="224"/>
      <c r="I36" s="224"/>
      <c r="J36" s="224"/>
      <c r="K36" s="224"/>
      <c r="L36" s="224"/>
      <c r="M36" s="224"/>
    </row>
    <row r="37" spans="1:13" s="5" customFormat="1" ht="12">
      <c r="A37" s="96">
        <v>2</v>
      </c>
      <c r="B37" s="10" t="s">
        <v>59</v>
      </c>
      <c r="E37" s="6"/>
      <c r="F37" s="6"/>
      <c r="G37" s="6"/>
      <c r="H37" s="6"/>
      <c r="I37" s="6"/>
      <c r="J37" s="6"/>
      <c r="K37" s="6"/>
      <c r="L37" s="6"/>
      <c r="M37" s="6"/>
    </row>
    <row r="38" spans="1:13" s="5" customFormat="1" ht="15" customHeight="1">
      <c r="A38" s="96"/>
      <c r="B38" s="61" t="s">
        <v>568</v>
      </c>
      <c r="C38" s="227">
        <f>облигации!C65</f>
        <v>0</v>
      </c>
      <c r="D38" s="227"/>
      <c r="E38" s="6"/>
      <c r="F38" s="6"/>
      <c r="G38" s="6"/>
      <c r="H38" s="6"/>
      <c r="I38" s="6"/>
      <c r="J38" s="6"/>
      <c r="K38" s="6"/>
      <c r="L38" s="6"/>
      <c r="M38" s="6"/>
    </row>
    <row r="39" spans="1:13" s="5" customFormat="1">
      <c r="A39" s="96"/>
      <c r="B39" s="61"/>
      <c r="C39" s="227">
        <f>облигации!E65</f>
        <v>0</v>
      </c>
      <c r="D39" s="227"/>
      <c r="E39" s="6"/>
      <c r="F39" s="6"/>
      <c r="G39" s="6"/>
      <c r="H39" s="6"/>
      <c r="I39" s="6"/>
      <c r="J39" s="6"/>
      <c r="K39" s="6"/>
      <c r="L39" s="6"/>
      <c r="M39" s="6"/>
    </row>
    <row r="40" spans="1:13" s="5" customFormat="1">
      <c r="A40" s="96"/>
      <c r="B40" s="61" t="s">
        <v>407</v>
      </c>
      <c r="C40" s="227"/>
      <c r="D40" s="227">
        <f>облигации!F64</f>
        <v>0</v>
      </c>
      <c r="E40" s="6"/>
      <c r="F40" s="6"/>
      <c r="G40" s="6"/>
      <c r="H40" s="6"/>
      <c r="I40" s="6"/>
      <c r="J40" s="6"/>
      <c r="K40" s="6"/>
      <c r="L40" s="6"/>
      <c r="M40" s="6"/>
    </row>
    <row r="41" spans="1:13" s="5" customFormat="1">
      <c r="A41" s="96"/>
      <c r="B41" s="61" t="s">
        <v>571</v>
      </c>
      <c r="C41" s="227"/>
      <c r="D41" s="227">
        <f>облигации!D64</f>
        <v>0</v>
      </c>
      <c r="E41" s="6"/>
      <c r="F41" s="6"/>
      <c r="G41" s="6"/>
      <c r="H41" s="6"/>
      <c r="I41" s="6"/>
      <c r="J41" s="6"/>
      <c r="K41" s="6"/>
      <c r="L41" s="6"/>
      <c r="M41" s="6"/>
    </row>
    <row r="42" spans="1:13" s="5" customFormat="1">
      <c r="A42" s="96"/>
      <c r="B42" s="61" t="s">
        <v>126</v>
      </c>
      <c r="C42" s="227"/>
      <c r="D42" s="227">
        <f>облигации!D67+облигации!F67</f>
        <v>0</v>
      </c>
      <c r="E42" s="6"/>
      <c r="F42" s="203"/>
      <c r="G42" s="6"/>
      <c r="H42" s="6"/>
      <c r="I42" s="6"/>
      <c r="J42" s="6"/>
      <c r="K42" s="6"/>
      <c r="L42" s="6"/>
      <c r="M42" s="6"/>
    </row>
    <row r="43" spans="1:13" s="5" customFormat="1">
      <c r="A43" s="96"/>
      <c r="B43" s="7" t="s">
        <v>231</v>
      </c>
      <c r="C43" s="227"/>
      <c r="D43" s="227">
        <f>облигации!D68+облигации!F68</f>
        <v>0</v>
      </c>
      <c r="E43" s="6"/>
      <c r="F43" s="6"/>
      <c r="G43" s="6"/>
      <c r="H43" s="6"/>
      <c r="I43" s="6"/>
      <c r="J43" s="6"/>
      <c r="K43" s="6"/>
      <c r="L43" s="6"/>
      <c r="M43" s="6"/>
    </row>
    <row r="44" spans="1:13" s="5" customFormat="1">
      <c r="A44" s="96"/>
      <c r="B44" s="7" t="s">
        <v>289</v>
      </c>
      <c r="C44" s="227"/>
      <c r="D44" s="227">
        <f>облигации!D70</f>
        <v>0</v>
      </c>
      <c r="E44" s="6"/>
      <c r="F44" s="6"/>
      <c r="G44" s="6"/>
      <c r="H44" s="6"/>
      <c r="I44" s="6"/>
      <c r="J44" s="6"/>
      <c r="K44" s="6"/>
      <c r="L44" s="6"/>
      <c r="M44" s="6"/>
    </row>
    <row r="45" spans="1:13" s="5" customFormat="1">
      <c r="A45" s="96"/>
      <c r="B45" s="7" t="s">
        <v>7</v>
      </c>
      <c r="C45" s="227"/>
      <c r="D45" s="227">
        <f>облигации!D71</f>
        <v>0</v>
      </c>
      <c r="E45" s="6"/>
      <c r="F45" s="6"/>
      <c r="G45" s="6"/>
      <c r="H45" s="6"/>
      <c r="I45" s="6"/>
      <c r="J45" s="6"/>
      <c r="K45" s="6"/>
      <c r="L45" s="6"/>
      <c r="M45" s="6"/>
    </row>
    <row r="46" spans="1:13" s="5" customFormat="1">
      <c r="A46" s="96"/>
      <c r="B46" s="1" t="s">
        <v>344</v>
      </c>
      <c r="C46" s="202"/>
      <c r="D46" s="227">
        <f>облигации!D69+облигации!F69</f>
        <v>0</v>
      </c>
      <c r="E46" s="6"/>
      <c r="F46" s="6"/>
      <c r="G46" s="6"/>
      <c r="H46" s="6"/>
      <c r="I46" s="6"/>
      <c r="J46" s="6"/>
      <c r="K46" s="6"/>
      <c r="L46" s="6"/>
      <c r="M46" s="6"/>
    </row>
    <row r="47" spans="1:13" s="5" customFormat="1">
      <c r="A47" s="96"/>
      <c r="B47" s="61" t="s">
        <v>274</v>
      </c>
      <c r="C47" s="227"/>
      <c r="D47" s="227"/>
      <c r="E47" s="6"/>
      <c r="F47" s="6"/>
      <c r="G47" s="6"/>
      <c r="H47" s="6"/>
      <c r="I47" s="6"/>
      <c r="J47" s="6"/>
      <c r="K47" s="6"/>
      <c r="L47" s="6"/>
      <c r="M47" s="6"/>
    </row>
    <row r="48" spans="1:13" s="5" customFormat="1">
      <c r="A48" s="96"/>
      <c r="B48" s="7"/>
      <c r="C48" s="227"/>
      <c r="D48" s="227"/>
      <c r="E48" s="6"/>
      <c r="F48" s="6"/>
      <c r="G48" s="6"/>
      <c r="H48" s="6"/>
      <c r="I48" s="6"/>
      <c r="J48" s="6"/>
      <c r="K48" s="6"/>
      <c r="L48" s="6"/>
      <c r="M48" s="6"/>
    </row>
    <row r="49" spans="1:13" s="12" customFormat="1" ht="13.5" thickBot="1">
      <c r="A49" s="96"/>
      <c r="B49" s="8"/>
      <c r="C49" s="9">
        <f>SUM(C38:C48)</f>
        <v>0</v>
      </c>
      <c r="D49" s="9">
        <f>SUM(D38:D48)</f>
        <v>0</v>
      </c>
      <c r="E49" s="58">
        <f>C49-D49</f>
        <v>0</v>
      </c>
      <c r="F49" s="472" t="s">
        <v>711</v>
      </c>
      <c r="G49" s="11"/>
      <c r="H49" s="11"/>
      <c r="I49" s="11"/>
      <c r="J49" s="11"/>
      <c r="K49" s="11"/>
      <c r="L49" s="11"/>
      <c r="M49" s="11"/>
    </row>
    <row r="50" spans="1:13" s="66" customFormat="1" ht="13.5" thickTop="1">
      <c r="A50" s="97"/>
      <c r="B50" s="221"/>
      <c r="C50" s="220"/>
      <c r="D50" s="220"/>
      <c r="E50" s="222"/>
      <c r="F50" s="63"/>
      <c r="G50" s="63"/>
      <c r="H50" s="63"/>
      <c r="I50" s="63"/>
      <c r="J50" s="63"/>
      <c r="K50" s="63"/>
      <c r="L50" s="63"/>
      <c r="M50" s="63"/>
    </row>
    <row r="51" spans="1:13" s="36" customFormat="1" ht="12">
      <c r="A51" s="100">
        <v>3</v>
      </c>
      <c r="B51" s="10" t="s">
        <v>60</v>
      </c>
      <c r="E51" s="37"/>
      <c r="F51" s="37"/>
      <c r="G51" s="37"/>
      <c r="H51" s="37"/>
      <c r="I51" s="37"/>
      <c r="J51" s="37"/>
      <c r="K51" s="37"/>
      <c r="L51" s="37"/>
      <c r="M51" s="37"/>
    </row>
    <row r="52" spans="1:13" s="36" customFormat="1" ht="25.5">
      <c r="A52" s="100"/>
      <c r="B52" s="61" t="s">
        <v>229</v>
      </c>
      <c r="C52" s="227">
        <f>облигации!C79</f>
        <v>0</v>
      </c>
      <c r="D52" s="227"/>
      <c r="E52" s="37"/>
      <c r="F52" s="37"/>
      <c r="G52" s="906">
        <v>23</v>
      </c>
      <c r="H52" s="880" t="s">
        <v>744</v>
      </c>
      <c r="I52" s="880" t="s">
        <v>741</v>
      </c>
      <c r="J52" s="879"/>
      <c r="K52" s="879"/>
      <c r="L52" s="37"/>
      <c r="M52" s="37"/>
    </row>
    <row r="53" spans="1:13" s="36" customFormat="1">
      <c r="A53" s="100"/>
      <c r="B53" s="61" t="s">
        <v>345</v>
      </c>
      <c r="C53" s="227">
        <f>+облигации!C81</f>
        <v>0</v>
      </c>
      <c r="D53" s="227"/>
      <c r="E53" s="37"/>
      <c r="F53" s="37"/>
      <c r="G53" s="37"/>
      <c r="H53" s="881">
        <v>6110.03</v>
      </c>
      <c r="I53" s="882"/>
      <c r="J53" s="883">
        <v>0</v>
      </c>
      <c r="K53" s="883">
        <v>0</v>
      </c>
      <c r="L53" s="37"/>
      <c r="M53" s="37"/>
    </row>
    <row r="54" spans="1:13" s="36" customFormat="1">
      <c r="A54" s="100"/>
      <c r="B54" s="61" t="s">
        <v>228</v>
      </c>
      <c r="C54" s="227"/>
      <c r="D54" s="227">
        <f>C52+C53</f>
        <v>0</v>
      </c>
      <c r="E54" s="37"/>
      <c r="F54" s="37"/>
      <c r="G54" s="37"/>
      <c r="H54" s="884">
        <v>6110.01</v>
      </c>
      <c r="I54" s="882"/>
      <c r="J54" s="883">
        <v>0</v>
      </c>
      <c r="K54" s="883"/>
      <c r="L54" s="37"/>
      <c r="M54" s="37"/>
    </row>
    <row r="55" spans="1:13" s="40" customFormat="1" ht="13.5" thickBot="1">
      <c r="A55" s="100"/>
      <c r="B55" s="38"/>
      <c r="C55" s="58">
        <f>SUM(C52:C54)</f>
        <v>0</v>
      </c>
      <c r="D55" s="58">
        <f>SUM(D52:D54)</f>
        <v>0</v>
      </c>
      <c r="E55" s="58">
        <f>C55-D55</f>
        <v>0</v>
      </c>
      <c r="F55" s="472" t="s">
        <v>711</v>
      </c>
      <c r="G55" s="39"/>
      <c r="H55" s="885" t="s">
        <v>742</v>
      </c>
      <c r="I55" s="879"/>
      <c r="J55" s="883">
        <v>0</v>
      </c>
      <c r="K55" s="883"/>
      <c r="L55" s="39"/>
      <c r="M55" s="39"/>
    </row>
    <row r="56" spans="1:13" s="66" customFormat="1" ht="13.5" thickTop="1">
      <c r="A56" s="97"/>
      <c r="B56" s="221"/>
      <c r="C56" s="220"/>
      <c r="D56" s="220"/>
      <c r="E56" s="222"/>
      <c r="F56" s="63"/>
      <c r="G56" s="63"/>
      <c r="H56" s="885" t="s">
        <v>743</v>
      </c>
      <c r="I56" s="886"/>
      <c r="J56" s="887"/>
      <c r="K56" s="883">
        <v>0</v>
      </c>
      <c r="L56" s="63"/>
      <c r="M56" s="63"/>
    </row>
    <row r="57" spans="1:13" s="33" customFormat="1" ht="25.5">
      <c r="A57" s="99">
        <v>4</v>
      </c>
      <c r="B57" s="59" t="s">
        <v>61</v>
      </c>
      <c r="C57" s="60"/>
      <c r="D57" s="60"/>
      <c r="E57" s="60"/>
      <c r="F57" s="32"/>
      <c r="G57" s="32"/>
      <c r="H57" s="880" t="s">
        <v>745</v>
      </c>
      <c r="I57" s="888"/>
      <c r="J57" s="889">
        <v>0</v>
      </c>
      <c r="K57" s="889">
        <v>0</v>
      </c>
      <c r="L57" s="32">
        <f>J57-K57</f>
        <v>0</v>
      </c>
      <c r="M57" s="32"/>
    </row>
    <row r="58" spans="1:13" s="36" customFormat="1">
      <c r="A58" s="100"/>
      <c r="B58" s="61" t="s">
        <v>237</v>
      </c>
      <c r="C58" s="62"/>
      <c r="D58" s="62">
        <f>облигации!C74</f>
        <v>0</v>
      </c>
      <c r="E58" s="63"/>
      <c r="F58" s="37"/>
      <c r="G58" s="37"/>
      <c r="H58" s="881">
        <v>7470.09</v>
      </c>
      <c r="I58" s="879"/>
      <c r="J58" s="890"/>
      <c r="K58" s="890">
        <v>0</v>
      </c>
      <c r="L58" s="37"/>
      <c r="M58" s="37"/>
    </row>
    <row r="59" spans="1:13" s="36" customFormat="1">
      <c r="A59" s="100"/>
      <c r="B59" s="61" t="s">
        <v>230</v>
      </c>
      <c r="C59" s="62"/>
      <c r="D59" s="62">
        <f>-D58</f>
        <v>0</v>
      </c>
      <c r="E59" s="63"/>
      <c r="F59" s="37"/>
      <c r="G59" s="37"/>
      <c r="H59" s="881">
        <v>7310.03</v>
      </c>
      <c r="I59" s="879"/>
      <c r="J59" s="890"/>
      <c r="K59" s="890">
        <v>0</v>
      </c>
      <c r="L59" s="37"/>
      <c r="M59" s="37"/>
    </row>
    <row r="60" spans="1:13" s="57" customFormat="1" ht="13.5" thickBot="1">
      <c r="A60" s="101"/>
      <c r="B60" s="64"/>
      <c r="C60" s="58">
        <f>SUM(C58:C59)</f>
        <v>0</v>
      </c>
      <c r="D60" s="58">
        <f>SUM(D58:D59)</f>
        <v>0</v>
      </c>
      <c r="E60" s="58">
        <f>C60-D60</f>
        <v>0</v>
      </c>
      <c r="F60" s="472" t="s">
        <v>711</v>
      </c>
      <c r="G60" s="40"/>
      <c r="H60" s="881">
        <v>7310.01</v>
      </c>
      <c r="I60" s="891"/>
      <c r="J60" s="891"/>
      <c r="K60" s="890">
        <v>0</v>
      </c>
    </row>
    <row r="61" spans="1:13" s="57" customFormat="1" ht="13.5" thickTop="1">
      <c r="A61" s="101"/>
      <c r="B61" s="64"/>
      <c r="C61" s="65"/>
      <c r="D61" s="65"/>
      <c r="E61" s="65"/>
      <c r="G61" s="40"/>
      <c r="H61" s="881">
        <v>6280.09</v>
      </c>
      <c r="I61" s="891"/>
      <c r="J61" s="890">
        <v>0</v>
      </c>
      <c r="K61" s="892"/>
    </row>
    <row r="62" spans="1:13" s="33" customFormat="1" ht="25.5">
      <c r="A62" s="99">
        <v>5</v>
      </c>
      <c r="B62" s="59" t="s">
        <v>80</v>
      </c>
      <c r="C62" s="60"/>
      <c r="D62" s="60"/>
      <c r="E62" s="60"/>
      <c r="F62" s="32"/>
      <c r="G62" s="32"/>
      <c r="H62" s="881"/>
      <c r="I62" s="32"/>
      <c r="J62" s="32">
        <v>0</v>
      </c>
      <c r="K62" s="32">
        <v>0</v>
      </c>
      <c r="L62" s="32">
        <f>J62-K62</f>
        <v>0</v>
      </c>
      <c r="M62" s="32"/>
    </row>
    <row r="63" spans="1:13" s="36" customFormat="1">
      <c r="A63" s="100"/>
      <c r="B63" s="14" t="s">
        <v>77</v>
      </c>
      <c r="C63" s="62"/>
      <c r="D63" s="62">
        <f>облигации!C121</f>
        <v>0</v>
      </c>
      <c r="E63" s="63"/>
      <c r="F63" s="37"/>
      <c r="G63" s="37"/>
      <c r="H63" s="37"/>
      <c r="I63" s="37"/>
      <c r="J63" s="37">
        <v>0</v>
      </c>
      <c r="K63" s="37">
        <v>0</v>
      </c>
      <c r="L63" s="37">
        <v>0</v>
      </c>
      <c r="M63" s="37"/>
    </row>
    <row r="64" spans="1:13" s="36" customFormat="1">
      <c r="A64" s="100"/>
      <c r="B64" s="14" t="s">
        <v>78</v>
      </c>
      <c r="C64" s="62"/>
      <c r="D64" s="62">
        <f>-облигации!B122</f>
        <v>0</v>
      </c>
      <c r="E64" s="63"/>
      <c r="F64" s="37"/>
      <c r="G64" s="37"/>
      <c r="H64" s="37"/>
      <c r="I64" s="37"/>
      <c r="J64" s="37"/>
      <c r="K64" s="37"/>
      <c r="L64" s="37"/>
      <c r="M64" s="37"/>
    </row>
    <row r="65" spans="1:13" s="36" customFormat="1">
      <c r="A65" s="100"/>
      <c r="B65" s="14" t="s">
        <v>290</v>
      </c>
      <c r="C65" s="62">
        <f>облигации!B124</f>
        <v>0</v>
      </c>
      <c r="D65" s="62">
        <v>0</v>
      </c>
      <c r="E65" s="63"/>
      <c r="F65" s="37"/>
      <c r="G65" s="37"/>
      <c r="H65" s="37"/>
      <c r="I65" s="37"/>
      <c r="J65" s="37"/>
      <c r="K65" s="37"/>
      <c r="L65" s="37"/>
      <c r="M65" s="37"/>
    </row>
    <row r="66" spans="1:13" s="57" customFormat="1" ht="13.5" thickBot="1">
      <c r="A66" s="101"/>
      <c r="B66" s="64"/>
      <c r="C66" s="58">
        <f>SUM(C63:C65)</f>
        <v>0</v>
      </c>
      <c r="D66" s="58">
        <f>SUM(D63:D65)</f>
        <v>0</v>
      </c>
      <c r="E66" s="58">
        <f>C66-D66</f>
        <v>0</v>
      </c>
      <c r="F66" s="472" t="s">
        <v>711</v>
      </c>
      <c r="G66" s="40"/>
      <c r="H66" s="40"/>
      <c r="I66" s="40"/>
      <c r="J66" s="40"/>
    </row>
    <row r="67" spans="1:13" s="57" customFormat="1" ht="13.5" thickTop="1">
      <c r="A67" s="101"/>
      <c r="B67" s="64"/>
      <c r="C67" s="65"/>
      <c r="D67" s="65"/>
      <c r="E67" s="65"/>
      <c r="G67" s="40"/>
      <c r="H67" s="40"/>
      <c r="I67" s="40"/>
      <c r="J67" s="40"/>
    </row>
    <row r="68" spans="1:13" s="57" customFormat="1">
      <c r="A68" s="101"/>
      <c r="B68" s="64"/>
      <c r="C68" s="65"/>
      <c r="D68" s="65"/>
      <c r="E68" s="65"/>
      <c r="G68" s="40"/>
      <c r="H68" s="40"/>
      <c r="I68" s="40"/>
      <c r="J68" s="40"/>
    </row>
    <row r="69" spans="1:13" s="57" customFormat="1">
      <c r="A69" s="101"/>
      <c r="B69" s="64"/>
      <c r="C69" s="65"/>
      <c r="D69" s="65"/>
      <c r="E69" s="65"/>
      <c r="G69" s="40"/>
      <c r="H69" s="40"/>
      <c r="I69" s="40"/>
      <c r="J69" s="40"/>
    </row>
    <row r="70" spans="1:13" s="36" customFormat="1">
      <c r="A70" s="939">
        <v>6</v>
      </c>
      <c r="B70" s="59" t="s">
        <v>62</v>
      </c>
      <c r="C70" s="66"/>
      <c r="D70" s="66"/>
      <c r="E70" s="63"/>
      <c r="F70" s="37"/>
      <c r="G70" s="37"/>
      <c r="H70" s="37"/>
      <c r="I70" s="37"/>
      <c r="J70" s="37"/>
      <c r="K70" s="37"/>
      <c r="L70" s="37"/>
      <c r="M70" s="37"/>
    </row>
    <row r="71" spans="1:13" s="36" customFormat="1">
      <c r="A71" s="100"/>
      <c r="B71" s="61" t="s">
        <v>26</v>
      </c>
      <c r="C71" s="62">
        <f>-'Элим дох расх'!H3</f>
        <v>496515718.44999999</v>
      </c>
      <c r="D71" s="62"/>
      <c r="E71" s="63"/>
      <c r="F71" s="37"/>
      <c r="G71" s="37"/>
      <c r="H71" s="37"/>
      <c r="I71" s="37"/>
      <c r="J71" s="37"/>
      <c r="K71" s="37"/>
      <c r="L71" s="37"/>
      <c r="M71" s="37"/>
    </row>
    <row r="72" spans="1:13" s="36" customFormat="1">
      <c r="A72" s="100"/>
      <c r="B72" s="61" t="s">
        <v>136</v>
      </c>
      <c r="C72" s="62">
        <f>-'Элим дох расх'!D4</f>
        <v>0</v>
      </c>
      <c r="D72" s="62"/>
      <c r="E72" s="63"/>
      <c r="F72" s="37"/>
      <c r="G72" s="37"/>
      <c r="H72" s="37"/>
      <c r="I72" s="37"/>
      <c r="J72" s="37"/>
      <c r="K72" s="37"/>
      <c r="L72" s="37"/>
      <c r="M72" s="37"/>
    </row>
    <row r="73" spans="1:13" s="36" customFormat="1">
      <c r="A73" s="100"/>
      <c r="B73" s="61" t="s">
        <v>163</v>
      </c>
      <c r="C73" s="62"/>
      <c r="D73" s="62">
        <f>'Элим дох расх'!H21</f>
        <v>505427548.28999996</v>
      </c>
      <c r="E73" s="63"/>
      <c r="F73" s="37"/>
      <c r="G73" s="37"/>
      <c r="H73" s="37"/>
      <c r="I73" s="37"/>
      <c r="J73" s="37"/>
      <c r="K73" s="37"/>
      <c r="L73" s="37"/>
      <c r="M73" s="37"/>
    </row>
    <row r="74" spans="1:13" s="33" customFormat="1" ht="13.5" thickBot="1">
      <c r="A74" s="99"/>
      <c r="B74" s="67"/>
      <c r="C74" s="68">
        <f>SUM(C71:C73)</f>
        <v>496515718.44999999</v>
      </c>
      <c r="D74" s="68">
        <f>SUM(D71:D73)</f>
        <v>505427548.28999996</v>
      </c>
      <c r="E74" s="58">
        <f>C74-D74</f>
        <v>-8911829.8399999738</v>
      </c>
      <c r="F74" s="938" t="s">
        <v>779</v>
      </c>
      <c r="G74" s="32"/>
      <c r="H74" s="32"/>
      <c r="I74" s="32"/>
      <c r="J74" s="32"/>
      <c r="K74" s="32"/>
      <c r="L74" s="32"/>
      <c r="M74" s="32"/>
    </row>
    <row r="75" spans="1:13" s="36" customFormat="1" ht="13.5" thickTop="1">
      <c r="A75" s="100"/>
      <c r="B75" s="69"/>
      <c r="C75" s="70"/>
      <c r="D75" s="70"/>
      <c r="E75" s="71"/>
      <c r="F75" s="37"/>
      <c r="G75" s="37"/>
      <c r="H75" s="37"/>
      <c r="I75" s="37"/>
      <c r="J75" s="37"/>
      <c r="K75" s="37"/>
      <c r="L75" s="37"/>
      <c r="M75" s="37"/>
    </row>
    <row r="76" spans="1:13" s="36" customFormat="1">
      <c r="A76" s="939">
        <v>7</v>
      </c>
      <c r="B76" s="59" t="s">
        <v>63</v>
      </c>
      <c r="C76" s="66"/>
      <c r="D76" s="66"/>
      <c r="E76" s="63"/>
      <c r="F76" s="37"/>
      <c r="G76" s="37"/>
      <c r="H76" s="37"/>
      <c r="I76" s="37"/>
    </row>
    <row r="77" spans="1:13" s="36" customFormat="1">
      <c r="A77" s="100"/>
      <c r="B77" s="59" t="s">
        <v>164</v>
      </c>
      <c r="C77" s="62"/>
      <c r="D77" s="62"/>
      <c r="E77" s="63"/>
      <c r="F77" s="37"/>
      <c r="I77" s="37"/>
    </row>
    <row r="78" spans="1:13" s="36" customFormat="1">
      <c r="A78" s="100"/>
      <c r="B78" s="61" t="s">
        <v>238</v>
      </c>
      <c r="C78" s="62"/>
      <c r="D78" s="62">
        <f>'Элим дох расх'!H12</f>
        <v>0</v>
      </c>
      <c r="E78" s="63"/>
      <c r="F78" s="37"/>
      <c r="G78" s="37"/>
      <c r="H78" s="37"/>
      <c r="I78" s="37"/>
    </row>
    <row r="79" spans="1:13" s="36" customFormat="1">
      <c r="A79" s="100"/>
      <c r="B79" s="61" t="s">
        <v>205</v>
      </c>
      <c r="C79" s="62"/>
      <c r="D79" s="62">
        <v>0</v>
      </c>
      <c r="E79" s="63"/>
      <c r="F79" s="37"/>
      <c r="G79" s="37"/>
      <c r="H79" s="37"/>
      <c r="I79" s="37"/>
    </row>
    <row r="80" spans="1:13" s="36" customFormat="1">
      <c r="A80" s="100"/>
      <c r="B80" s="61" t="s">
        <v>172</v>
      </c>
      <c r="C80" s="62"/>
      <c r="D80" s="62">
        <f>'Элим дох расх'!H32</f>
        <v>0</v>
      </c>
      <c r="E80" s="63"/>
      <c r="F80" s="37"/>
      <c r="G80" s="37"/>
      <c r="H80" s="37"/>
      <c r="I80" s="37"/>
    </row>
    <row r="81" spans="1:13" s="36" customFormat="1">
      <c r="A81" s="100"/>
      <c r="B81" s="61" t="s">
        <v>206</v>
      </c>
      <c r="C81" s="62"/>
      <c r="D81" s="62">
        <v>0</v>
      </c>
      <c r="E81" s="63"/>
      <c r="F81" s="37"/>
      <c r="G81" s="37"/>
      <c r="H81" s="37"/>
      <c r="I81" s="37"/>
    </row>
    <row r="82" spans="1:13" s="36" customFormat="1">
      <c r="A82" s="100"/>
      <c r="B82" s="59" t="s">
        <v>208</v>
      </c>
      <c r="C82" s="62"/>
      <c r="D82" s="62"/>
      <c r="E82" s="63"/>
      <c r="F82" s="37"/>
      <c r="G82" s="37"/>
      <c r="H82" s="37"/>
      <c r="I82" s="37"/>
      <c r="J82" s="37"/>
      <c r="K82" s="37"/>
      <c r="L82" s="37"/>
      <c r="M82" s="37"/>
    </row>
    <row r="83" spans="1:13" s="36" customFormat="1">
      <c r="A83" s="106">
        <v>6130</v>
      </c>
      <c r="B83" s="61" t="s">
        <v>186</v>
      </c>
      <c r="C83" s="62"/>
      <c r="D83" s="62">
        <f>'Элим дох расх'!H8</f>
        <v>0</v>
      </c>
      <c r="E83" s="63"/>
      <c r="F83" s="37"/>
      <c r="G83" s="37"/>
      <c r="H83" s="37"/>
      <c r="I83" s="37"/>
      <c r="J83" s="37"/>
      <c r="K83" s="37"/>
      <c r="L83" s="37"/>
      <c r="M83" s="37"/>
    </row>
    <row r="84" spans="1:13" s="36" customFormat="1">
      <c r="A84" s="106">
        <v>6115</v>
      </c>
      <c r="B84" s="61" t="s">
        <v>178</v>
      </c>
      <c r="C84" s="62"/>
      <c r="D84" s="62">
        <v>0</v>
      </c>
      <c r="E84" s="63"/>
      <c r="F84" s="37"/>
      <c r="G84" s="37"/>
      <c r="H84" s="37"/>
      <c r="I84" s="37"/>
      <c r="J84" s="37"/>
      <c r="K84" s="37"/>
      <c r="L84" s="37"/>
      <c r="M84" s="37"/>
    </row>
    <row r="85" spans="1:13" s="36" customFormat="1">
      <c r="A85" s="106">
        <v>7311</v>
      </c>
      <c r="B85" s="61" t="s">
        <v>187</v>
      </c>
      <c r="C85" s="62"/>
      <c r="D85" s="62">
        <v>0</v>
      </c>
      <c r="E85" s="63"/>
      <c r="F85" s="37"/>
      <c r="G85" s="37"/>
      <c r="H85" s="37"/>
      <c r="I85" s="37"/>
      <c r="J85" s="37"/>
      <c r="K85" s="37"/>
      <c r="L85" s="37"/>
      <c r="M85" s="37"/>
    </row>
    <row r="86" spans="1:13" s="36" customFormat="1">
      <c r="A86" s="106">
        <v>7320</v>
      </c>
      <c r="B86" s="61" t="s">
        <v>187</v>
      </c>
      <c r="C86" s="62"/>
      <c r="D86" s="62">
        <f>'Элим дох расх'!H29</f>
        <v>0</v>
      </c>
      <c r="E86" s="63"/>
      <c r="F86" s="37"/>
      <c r="G86" s="37"/>
      <c r="H86" s="37"/>
      <c r="I86" s="37"/>
      <c r="J86" s="37"/>
      <c r="K86" s="37"/>
      <c r="L86" s="37"/>
      <c r="M86" s="37"/>
    </row>
    <row r="87" spans="1:13" s="36" customFormat="1">
      <c r="A87" s="106"/>
      <c r="B87" s="59" t="s">
        <v>207</v>
      </c>
      <c r="C87" s="62"/>
      <c r="D87" s="62"/>
      <c r="E87" s="63"/>
      <c r="F87" s="37"/>
      <c r="G87" s="37"/>
      <c r="H87" s="37"/>
      <c r="I87" s="37"/>
      <c r="J87" s="37"/>
      <c r="K87" s="37"/>
      <c r="L87" s="37"/>
      <c r="M87" s="37"/>
    </row>
    <row r="88" spans="1:13" s="36" customFormat="1">
      <c r="A88" s="100"/>
      <c r="B88" s="61" t="s">
        <v>57</v>
      </c>
      <c r="C88" s="62"/>
      <c r="D88" s="62">
        <f>'Элим дох расх'!H18</f>
        <v>0</v>
      </c>
      <c r="E88" s="63"/>
      <c r="F88" s="37"/>
      <c r="G88" s="37"/>
      <c r="H88" s="37"/>
      <c r="I88" s="37"/>
      <c r="J88" s="37"/>
      <c r="K88" s="37"/>
      <c r="L88" s="37"/>
      <c r="M88" s="37"/>
    </row>
    <row r="89" spans="1:13" s="36" customFormat="1">
      <c r="A89" s="100"/>
      <c r="B89" s="61" t="s">
        <v>165</v>
      </c>
      <c r="C89" s="62"/>
      <c r="D89" s="62">
        <f>'Элим дох расх'!H38</f>
        <v>0</v>
      </c>
      <c r="E89" s="63"/>
      <c r="F89" s="37"/>
      <c r="G89" s="37"/>
      <c r="H89" s="37"/>
      <c r="I89" s="37"/>
      <c r="J89" s="37"/>
      <c r="K89" s="37"/>
      <c r="L89" s="37"/>
      <c r="M89" s="37"/>
    </row>
    <row r="90" spans="1:13" s="36" customFormat="1">
      <c r="A90" s="100"/>
      <c r="B90" s="61" t="s">
        <v>761</v>
      </c>
      <c r="C90" s="62"/>
      <c r="D90" s="62">
        <f>'Элим дох расх'!H19</f>
        <v>-42667235.159999996</v>
      </c>
      <c r="E90" s="63"/>
      <c r="F90" s="37"/>
      <c r="G90" s="37"/>
      <c r="H90" s="37"/>
      <c r="I90" s="37"/>
      <c r="J90" s="37"/>
      <c r="K90" s="37"/>
      <c r="L90" s="37"/>
      <c r="M90" s="37"/>
    </row>
    <row r="91" spans="1:13" s="36" customFormat="1" ht="15" customHeight="1">
      <c r="A91" s="100"/>
      <c r="B91" s="61" t="s">
        <v>166</v>
      </c>
      <c r="C91" s="62"/>
      <c r="D91" s="62">
        <f>'Элим дох расх'!H39</f>
        <v>-6771.429999999702</v>
      </c>
      <c r="E91" s="63"/>
      <c r="F91" s="37"/>
      <c r="G91" s="37"/>
      <c r="H91" s="37"/>
      <c r="I91" s="37"/>
      <c r="J91" s="37"/>
      <c r="K91" s="37"/>
      <c r="L91" s="37"/>
      <c r="M91" s="37"/>
    </row>
    <row r="92" spans="1:13" s="36" customFormat="1">
      <c r="A92" s="100"/>
      <c r="B92" s="61" t="s">
        <v>129</v>
      </c>
      <c r="C92" s="62"/>
      <c r="D92" s="62"/>
      <c r="E92" s="63"/>
      <c r="F92" s="37"/>
      <c r="G92" s="37"/>
      <c r="H92" s="37"/>
      <c r="I92" s="37"/>
      <c r="J92" s="37"/>
      <c r="K92" s="37"/>
      <c r="L92" s="37"/>
      <c r="M92" s="37"/>
    </row>
    <row r="93" spans="1:13" s="36" customFormat="1">
      <c r="A93" s="100"/>
      <c r="B93" s="61" t="s">
        <v>184</v>
      </c>
      <c r="C93" s="62"/>
      <c r="D93" s="62"/>
      <c r="E93" s="63"/>
      <c r="F93" s="37"/>
      <c r="G93" s="37"/>
      <c r="H93" s="37"/>
      <c r="I93" s="37"/>
      <c r="J93" s="37"/>
      <c r="K93" s="37"/>
      <c r="L93" s="37"/>
      <c r="M93" s="37"/>
    </row>
    <row r="94" spans="1:13" s="36" customFormat="1">
      <c r="A94" s="100"/>
      <c r="B94" s="59" t="s">
        <v>239</v>
      </c>
      <c r="C94" s="62"/>
      <c r="D94" s="62">
        <f>'Элим дох расх'!H22</f>
        <v>0</v>
      </c>
      <c r="E94" s="63"/>
      <c r="F94" s="37"/>
      <c r="G94" s="37"/>
      <c r="H94" s="37"/>
      <c r="I94" s="37"/>
      <c r="J94" s="37"/>
      <c r="K94" s="37"/>
      <c r="L94" s="37"/>
      <c r="M94" s="37"/>
    </row>
    <row r="95" spans="1:13" s="36" customFormat="1">
      <c r="A95" s="100"/>
      <c r="B95" s="59" t="s">
        <v>240</v>
      </c>
      <c r="C95" s="62"/>
      <c r="D95" s="62">
        <f>'Элим дох расх'!H23+'Элим дох расх'!G24</f>
        <v>33762176.75</v>
      </c>
      <c r="E95" s="63"/>
      <c r="F95" s="37"/>
      <c r="G95" s="37"/>
      <c r="H95" s="37"/>
      <c r="I95" s="37"/>
      <c r="J95" s="37"/>
      <c r="K95" s="37"/>
      <c r="L95" s="37"/>
      <c r="M95" s="37"/>
    </row>
    <row r="96" spans="1:13" s="36" customFormat="1">
      <c r="A96" s="100"/>
      <c r="B96" s="59" t="s">
        <v>180</v>
      </c>
      <c r="C96" s="62"/>
      <c r="D96" s="62" t="s">
        <v>66</v>
      </c>
      <c r="E96" s="63"/>
      <c r="F96" s="37"/>
      <c r="G96" s="37"/>
      <c r="H96" s="37"/>
      <c r="I96" s="37"/>
      <c r="J96" s="37"/>
      <c r="K96" s="37"/>
      <c r="L96" s="37"/>
      <c r="M96" s="37"/>
    </row>
    <row r="97" spans="1:13" s="36" customFormat="1">
      <c r="A97" s="100"/>
      <c r="B97" s="59" t="s">
        <v>179</v>
      </c>
      <c r="C97" s="62"/>
      <c r="D97" s="62"/>
      <c r="E97" s="63"/>
      <c r="F97" s="37"/>
      <c r="G97" s="37"/>
      <c r="H97" s="37"/>
      <c r="I97" s="37"/>
      <c r="J97" s="37"/>
      <c r="K97" s="37"/>
      <c r="L97" s="37"/>
      <c r="M97" s="37"/>
    </row>
    <row r="98" spans="1:13" s="40" customFormat="1" ht="13.5" thickBot="1">
      <c r="A98" s="100"/>
      <c r="B98" s="72"/>
      <c r="C98" s="58">
        <f>SUM(C96:C97)</f>
        <v>0</v>
      </c>
      <c r="D98" s="58">
        <f>SUM(D76:D96)</f>
        <v>-8911829.8399999961</v>
      </c>
      <c r="E98" s="58">
        <f>C98-D98</f>
        <v>8911829.8399999961</v>
      </c>
      <c r="F98" s="938" t="s">
        <v>779</v>
      </c>
      <c r="G98" s="39"/>
      <c r="H98" s="39"/>
      <c r="I98" s="39"/>
      <c r="J98" s="39"/>
      <c r="K98" s="39"/>
      <c r="L98" s="39"/>
      <c r="M98" s="39"/>
    </row>
    <row r="99" spans="1:13" s="57" customFormat="1" ht="12" thickTop="1">
      <c r="A99" s="101"/>
      <c r="B99" s="38"/>
      <c r="C99" s="34"/>
      <c r="D99" s="34"/>
      <c r="E99" s="34"/>
      <c r="G99" s="40"/>
      <c r="H99" s="40"/>
      <c r="I99" s="40"/>
      <c r="J99" s="40"/>
    </row>
    <row r="101" spans="1:13">
      <c r="A101" s="380">
        <v>8</v>
      </c>
      <c r="B101" s="228" t="s">
        <v>102</v>
      </c>
    </row>
    <row r="102" spans="1:13">
      <c r="B102" s="3" t="s">
        <v>221</v>
      </c>
      <c r="D102" s="219">
        <f>SUM(C104:C107)-D103</f>
        <v>0</v>
      </c>
    </row>
    <row r="103" spans="1:13">
      <c r="B103" s="3" t="s">
        <v>346</v>
      </c>
      <c r="D103" s="233">
        <f>-'РБП Бонды'!F8</f>
        <v>0</v>
      </c>
    </row>
    <row r="104" spans="1:13">
      <c r="B104" s="3" t="s">
        <v>220</v>
      </c>
      <c r="C104" s="219">
        <f>-'РБП Бонды'!C11</f>
        <v>0</v>
      </c>
    </row>
    <row r="105" spans="1:13">
      <c r="B105" s="3" t="s">
        <v>271</v>
      </c>
      <c r="C105" s="219">
        <f>-'РБП Бонды'!C23-C111</f>
        <v>0</v>
      </c>
    </row>
    <row r="106" spans="1:13">
      <c r="B106" s="3" t="s">
        <v>272</v>
      </c>
      <c r="C106" s="219">
        <f>'РБП Бонды'!D33</f>
        <v>0</v>
      </c>
    </row>
    <row r="107" spans="1:13">
      <c r="B107" s="3" t="s">
        <v>157</v>
      </c>
      <c r="C107" s="219">
        <f>'РБП Бонды'!D43</f>
        <v>0</v>
      </c>
    </row>
    <row r="108" spans="1:13">
      <c r="B108" s="102"/>
      <c r="C108" s="229">
        <f>'РБП Бонды'!D32+'РБП Бонды'!D41+'РБП Бонды'!D42-'РБП Бонды'!C21-'РБП Бонды'!C9</f>
        <v>0</v>
      </c>
    </row>
    <row r="109" spans="1:13">
      <c r="B109" s="102"/>
      <c r="C109" s="230">
        <f>-'РБП Бонды'!C8-'РБП Бонды'!C20</f>
        <v>0</v>
      </c>
    </row>
    <row r="110" spans="1:13">
      <c r="B110" s="102" t="s">
        <v>559</v>
      </c>
      <c r="C110" s="231">
        <f>-'РБП Бонды'!C10-'РБП Бонды'!C22</f>
        <v>0</v>
      </c>
    </row>
    <row r="111" spans="1:13">
      <c r="B111" s="102" t="s">
        <v>75</v>
      </c>
      <c r="C111" s="121"/>
    </row>
    <row r="112" spans="1:13" ht="13.5" thickBot="1">
      <c r="C112" s="103">
        <f>SUM(C102:C107)</f>
        <v>0</v>
      </c>
      <c r="D112" s="103">
        <f>SUM(D102:D104)</f>
        <v>0</v>
      </c>
      <c r="E112" s="104">
        <f>C112-D112</f>
        <v>0</v>
      </c>
      <c r="F112" s="472" t="s">
        <v>711</v>
      </c>
    </row>
    <row r="113" spans="1:6" ht="13.5" thickTop="1"/>
    <row r="115" spans="1:6">
      <c r="A115" s="607" t="s">
        <v>227</v>
      </c>
    </row>
    <row r="117" spans="1:6">
      <c r="A117" s="939">
        <v>9</v>
      </c>
      <c r="B117" s="228" t="s">
        <v>167</v>
      </c>
    </row>
    <row r="118" spans="1:6">
      <c r="B118" s="15">
        <v>1210</v>
      </c>
      <c r="C118" s="233">
        <f>зачет!D615</f>
        <v>-56436157.690000005</v>
      </c>
      <c r="D118" s="233"/>
    </row>
    <row r="119" spans="1:6">
      <c r="B119" s="15">
        <v>1220</v>
      </c>
      <c r="C119" s="233"/>
      <c r="D119" s="233"/>
      <c r="E119" s="206"/>
    </row>
    <row r="120" spans="1:6">
      <c r="B120" s="15">
        <v>1280</v>
      </c>
      <c r="C120" s="233">
        <f>зачет!D616</f>
        <v>-47332382.920000002</v>
      </c>
      <c r="D120" s="233"/>
      <c r="E120" s="206"/>
    </row>
    <row r="121" spans="1:6">
      <c r="B121" s="15">
        <v>1610</v>
      </c>
      <c r="C121" s="233">
        <f>зачет!D618+зачет!D619</f>
        <v>-260668311.95000002</v>
      </c>
      <c r="D121" s="233"/>
      <c r="E121" s="206"/>
    </row>
    <row r="122" spans="1:6">
      <c r="B122" s="15">
        <v>2940</v>
      </c>
      <c r="C122" s="233"/>
      <c r="D122" s="233"/>
      <c r="E122" s="206"/>
    </row>
    <row r="123" spans="1:6">
      <c r="B123" s="15">
        <v>3050</v>
      </c>
      <c r="C123" s="233"/>
      <c r="D123" s="233"/>
      <c r="E123" s="206"/>
    </row>
    <row r="124" spans="1:6">
      <c r="B124" s="15">
        <v>3360</v>
      </c>
      <c r="C124" s="233"/>
      <c r="D124" s="233"/>
      <c r="E124" s="206"/>
    </row>
    <row r="125" spans="1:6">
      <c r="B125" s="15">
        <v>3310</v>
      </c>
      <c r="C125" s="233"/>
      <c r="D125" s="233">
        <f>зачет!E620</f>
        <v>-332101471.11000001</v>
      </c>
      <c r="E125" s="206"/>
    </row>
    <row r="126" spans="1:6">
      <c r="B126" s="15">
        <v>3541</v>
      </c>
      <c r="C126" s="233"/>
      <c r="D126" s="233">
        <f>зачет!E623</f>
        <v>-23958337.489999998</v>
      </c>
      <c r="E126" s="206"/>
      <c r="F126" s="27"/>
    </row>
    <row r="127" spans="1:6">
      <c r="B127" s="15">
        <v>3320</v>
      </c>
      <c r="C127" s="233"/>
      <c r="D127" s="233"/>
      <c r="E127" s="206"/>
    </row>
    <row r="128" spans="1:6">
      <c r="B128" s="15">
        <v>3390</v>
      </c>
      <c r="C128" s="233"/>
      <c r="D128" s="233">
        <f>зачет!E621</f>
        <v>-8188469.7800000003</v>
      </c>
      <c r="E128" s="206"/>
    </row>
    <row r="129" spans="1:6">
      <c r="B129" s="15">
        <v>3510</v>
      </c>
      <c r="C129" s="233"/>
      <c r="D129" s="233">
        <f>зачет!E622</f>
        <v>-188574.18000000017</v>
      </c>
      <c r="E129" s="233"/>
    </row>
    <row r="130" spans="1:6">
      <c r="B130" s="232">
        <v>4010</v>
      </c>
      <c r="C130" s="233"/>
      <c r="D130" s="233"/>
      <c r="E130" s="206"/>
    </row>
    <row r="131" spans="1:6">
      <c r="B131" s="232">
        <v>4110</v>
      </c>
      <c r="C131" s="233"/>
      <c r="D131" s="233"/>
      <c r="E131" s="206"/>
    </row>
    <row r="132" spans="1:6">
      <c r="B132" s="232">
        <v>4160</v>
      </c>
      <c r="C132" s="233"/>
      <c r="D132" s="233"/>
      <c r="E132" s="206"/>
    </row>
    <row r="133" spans="1:6" ht="13.5" thickBot="1">
      <c r="C133" s="103">
        <f>SUM(C118:C132)</f>
        <v>-364436852.56000006</v>
      </c>
      <c r="D133" s="103">
        <f>SUM(D123:D132)</f>
        <v>-364436852.56</v>
      </c>
      <c r="E133" s="104">
        <f>C133-D133</f>
        <v>0</v>
      </c>
      <c r="F133" s="938" t="s">
        <v>779</v>
      </c>
    </row>
    <row r="134" spans="1:6" ht="13.5" thickTop="1"/>
    <row r="136" spans="1:6">
      <c r="B136" s="172"/>
    </row>
    <row r="137" spans="1:6">
      <c r="A137" s="939">
        <v>10</v>
      </c>
      <c r="B137" s="172" t="s">
        <v>8</v>
      </c>
    </row>
    <row r="138" spans="1:6">
      <c r="B138" s="3" t="s">
        <v>9</v>
      </c>
      <c r="C138" s="233">
        <f>-SUM(C139:C142)</f>
        <v>1075759965.46</v>
      </c>
    </row>
    <row r="139" spans="1:6">
      <c r="B139" s="3" t="s">
        <v>534</v>
      </c>
      <c r="C139" s="233">
        <f>-23930375+6000000</f>
        <v>-17930375</v>
      </c>
    </row>
    <row r="140" spans="1:6">
      <c r="B140" s="3" t="s">
        <v>535</v>
      </c>
      <c r="C140" s="233">
        <f>-1248019149+190189558.54</f>
        <v>-1057829590.46</v>
      </c>
    </row>
    <row r="141" spans="1:6">
      <c r="B141" s="3" t="s">
        <v>536</v>
      </c>
      <c r="C141" s="233"/>
    </row>
    <row r="142" spans="1:6">
      <c r="B142" s="3" t="s">
        <v>537</v>
      </c>
      <c r="C142" s="233"/>
    </row>
    <row r="143" spans="1:6" ht="13.5" thickBot="1">
      <c r="C143" s="103">
        <f>SUM(C136:C142)</f>
        <v>0</v>
      </c>
      <c r="D143" s="103">
        <f>SUM(D136:D142)</f>
        <v>0</v>
      </c>
      <c r="E143" s="104">
        <f>C143-D143</f>
        <v>0</v>
      </c>
      <c r="F143" s="938" t="s">
        <v>779</v>
      </c>
    </row>
    <row r="144" spans="1:6" ht="13.5" thickTop="1"/>
    <row r="146" spans="1:6" s="206" customFormat="1">
      <c r="A146" s="380">
        <v>11</v>
      </c>
      <c r="B146" s="492" t="s">
        <v>291</v>
      </c>
      <c r="C146" s="233"/>
      <c r="D146" s="233"/>
    </row>
    <row r="147" spans="1:6" s="206" customFormat="1">
      <c r="A147" s="380"/>
      <c r="B147" s="206" t="s">
        <v>292</v>
      </c>
      <c r="C147" s="233"/>
      <c r="D147" s="233"/>
    </row>
    <row r="148" spans="1:6" s="206" customFormat="1">
      <c r="A148" s="380"/>
      <c r="B148" s="206" t="s">
        <v>293</v>
      </c>
      <c r="C148" s="233"/>
      <c r="D148" s="233">
        <f>-D147</f>
        <v>0</v>
      </c>
    </row>
    <row r="149" spans="1:6" s="206" customFormat="1" ht="13.5" thickBot="1">
      <c r="A149" s="380"/>
      <c r="C149" s="103">
        <f>SUM(C147:C148)</f>
        <v>0</v>
      </c>
      <c r="D149" s="103">
        <f>SUM(D147:D148)</f>
        <v>0</v>
      </c>
      <c r="E149" s="104">
        <f>C149-D149</f>
        <v>0</v>
      </c>
      <c r="F149" s="900" t="s">
        <v>758</v>
      </c>
    </row>
    <row r="150" spans="1:6" ht="13.5" thickTop="1"/>
    <row r="151" spans="1:6">
      <c r="A151" s="939">
        <v>12</v>
      </c>
      <c r="B151" s="172" t="s">
        <v>294</v>
      </c>
    </row>
    <row r="152" spans="1:6">
      <c r="B152" s="3" t="s">
        <v>295</v>
      </c>
      <c r="D152" s="233">
        <f>4736420862+1383017.28</f>
        <v>4737803879.2799997</v>
      </c>
      <c r="E152" s="233"/>
    </row>
    <row r="153" spans="1:6">
      <c r="B153" s="3" t="s">
        <v>311</v>
      </c>
      <c r="D153" s="233"/>
      <c r="E153" s="206"/>
    </row>
    <row r="154" spans="1:6">
      <c r="B154" s="1046" t="s">
        <v>125</v>
      </c>
      <c r="D154" s="233">
        <f>-D155</f>
        <v>-115835000</v>
      </c>
      <c r="E154" s="206"/>
      <c r="F154" s="1225" t="s">
        <v>1100</v>
      </c>
    </row>
    <row r="155" spans="1:6">
      <c r="B155" s="3" t="s">
        <v>296</v>
      </c>
      <c r="D155" s="233">
        <v>115835000</v>
      </c>
      <c r="E155" s="206"/>
    </row>
    <row r="156" spans="1:6">
      <c r="B156" s="3" t="s">
        <v>297</v>
      </c>
      <c r="D156" s="233"/>
      <c r="E156" s="206"/>
    </row>
    <row r="157" spans="1:6">
      <c r="B157" s="3" t="s">
        <v>298</v>
      </c>
      <c r="D157" s="233"/>
      <c r="E157" s="206"/>
    </row>
    <row r="158" spans="1:6">
      <c r="B158" s="3" t="s">
        <v>299</v>
      </c>
      <c r="D158" s="233">
        <f>-D153-D157</f>
        <v>0</v>
      </c>
    </row>
    <row r="159" spans="1:6">
      <c r="B159" s="1430" t="s">
        <v>1101</v>
      </c>
      <c r="C159" s="219">
        <f>4736420862+1383017.28</f>
        <v>4737803879.2799997</v>
      </c>
      <c r="D159" s="233"/>
    </row>
    <row r="160" spans="1:6" ht="13.5" thickBot="1">
      <c r="C160" s="103">
        <f>SUM(C152:C158)</f>
        <v>0</v>
      </c>
      <c r="D160" s="103">
        <f>SUM(D152:D158)</f>
        <v>4737803879.2799997</v>
      </c>
      <c r="E160" s="58">
        <f>C160-D160</f>
        <v>-4737803879.2799997</v>
      </c>
      <c r="F160" s="938" t="s">
        <v>779</v>
      </c>
    </row>
    <row r="161" spans="1:14" ht="13.5" thickTop="1">
      <c r="C161" s="234"/>
      <c r="D161" s="234"/>
      <c r="E161" s="65"/>
      <c r="F161" s="472"/>
    </row>
    <row r="162" spans="1:14">
      <c r="B162" s="3" t="s">
        <v>587</v>
      </c>
      <c r="C162" s="604"/>
      <c r="D162" s="604">
        <f>-C163</f>
        <v>0</v>
      </c>
      <c r="E162" s="65"/>
      <c r="F162" s="472"/>
    </row>
    <row r="163" spans="1:14">
      <c r="B163" s="3" t="s">
        <v>588</v>
      </c>
      <c r="C163" s="604"/>
      <c r="D163" s="604"/>
      <c r="E163" s="65"/>
      <c r="F163" s="472"/>
    </row>
    <row r="164" spans="1:14" ht="13.5" thickBot="1">
      <c r="C164" s="103">
        <f>SUM(C162:C163)</f>
        <v>0</v>
      </c>
      <c r="D164" s="103">
        <f>SUM(D162:D163)</f>
        <v>0</v>
      </c>
      <c r="E164" s="58">
        <f>C164+D164</f>
        <v>0</v>
      </c>
      <c r="F164" s="938" t="s">
        <v>779</v>
      </c>
    </row>
    <row r="165" spans="1:14" ht="13.5" thickTop="1">
      <c r="C165" s="234"/>
      <c r="D165" s="234"/>
      <c r="E165" s="65"/>
      <c r="F165" s="3"/>
      <c r="H165" s="630"/>
      <c r="I165" s="630"/>
      <c r="J165" s="630"/>
      <c r="K165" s="630"/>
      <c r="L165" s="630"/>
      <c r="M165" s="630"/>
      <c r="N165" s="630"/>
    </row>
    <row r="166" spans="1:14">
      <c r="B166" s="172" t="s">
        <v>539</v>
      </c>
      <c r="C166" s="234"/>
      <c r="D166" s="234"/>
      <c r="E166" s="65"/>
      <c r="F166" s="472"/>
      <c r="H166" s="631" t="s">
        <v>611</v>
      </c>
      <c r="I166" s="632"/>
      <c r="J166" s="632"/>
      <c r="K166" s="633"/>
      <c r="L166" s="634"/>
      <c r="M166" s="630"/>
      <c r="N166" s="630"/>
    </row>
    <row r="167" spans="1:14">
      <c r="B167" s="3" t="s">
        <v>538</v>
      </c>
      <c r="D167" s="233"/>
      <c r="E167" s="65"/>
      <c r="F167" s="472"/>
      <c r="H167" s="630" t="e">
        <f>#REF!</f>
        <v>#REF!</v>
      </c>
      <c r="I167" s="635"/>
      <c r="J167" s="635">
        <f>-I243-I246</f>
        <v>-976400277</v>
      </c>
      <c r="K167" s="633"/>
      <c r="L167" s="634"/>
      <c r="M167" s="630"/>
      <c r="N167" s="630"/>
    </row>
    <row r="168" spans="1:14">
      <c r="B168" s="3" t="s">
        <v>296</v>
      </c>
      <c r="C168" s="234"/>
      <c r="D168" s="233"/>
      <c r="E168" s="65"/>
      <c r="F168" s="472"/>
      <c r="H168" s="630"/>
      <c r="I168" s="630"/>
      <c r="J168" s="630"/>
      <c r="K168" s="630"/>
      <c r="L168" s="630"/>
      <c r="M168" s="630"/>
      <c r="N168" s="630"/>
    </row>
    <row r="169" spans="1:14" ht="13.5" thickBot="1">
      <c r="C169" s="103">
        <f>SUM(C165:C168,C160)</f>
        <v>0</v>
      </c>
      <c r="D169" s="103">
        <f>SUM(D167:D168)</f>
        <v>0</v>
      </c>
      <c r="E169" s="58">
        <f>C169-D169</f>
        <v>0</v>
      </c>
      <c r="F169" s="472" t="s">
        <v>755</v>
      </c>
      <c r="H169" s="631" t="s">
        <v>612</v>
      </c>
      <c r="I169" s="630"/>
      <c r="J169" s="630"/>
      <c r="K169" s="630"/>
      <c r="L169" s="630"/>
      <c r="M169" s="630"/>
      <c r="N169" s="630"/>
    </row>
    <row r="170" spans="1:14" ht="13.5" thickTop="1">
      <c r="C170" s="234"/>
      <c r="D170" s="234"/>
      <c r="E170" s="65"/>
      <c r="F170" s="205"/>
      <c r="H170" s="630" t="e">
        <f>#REF!</f>
        <v>#REF!</v>
      </c>
      <c r="I170" s="630"/>
      <c r="J170" s="635">
        <f>J167</f>
        <v>-976400277</v>
      </c>
      <c r="K170" s="630"/>
      <c r="L170" s="630"/>
      <c r="M170" s="630"/>
      <c r="N170" s="630"/>
    </row>
    <row r="171" spans="1:14">
      <c r="A171" s="939">
        <v>13</v>
      </c>
      <c r="B171" s="172" t="s">
        <v>353</v>
      </c>
      <c r="D171" s="233"/>
      <c r="H171" s="630" t="e">
        <f>#REF!</f>
        <v>#REF!</v>
      </c>
      <c r="I171" s="632"/>
      <c r="J171" s="630"/>
      <c r="K171" s="635">
        <f>J167</f>
        <v>-976400277</v>
      </c>
      <c r="L171" s="634"/>
      <c r="M171" s="630"/>
      <c r="N171" s="630"/>
    </row>
    <row r="172" spans="1:14" ht="13.5" thickBot="1">
      <c r="B172" s="3" t="s">
        <v>354</v>
      </c>
      <c r="D172" s="233">
        <v>947400000</v>
      </c>
      <c r="H172" s="630"/>
      <c r="I172" s="636">
        <f>SUM(I165:I171,I160)</f>
        <v>0</v>
      </c>
      <c r="J172" s="636">
        <f>SUM(J170:J171)</f>
        <v>-976400277</v>
      </c>
      <c r="K172" s="637">
        <f>K171</f>
        <v>-976400277</v>
      </c>
      <c r="L172" s="634" t="s">
        <v>590</v>
      </c>
      <c r="M172" s="630"/>
      <c r="N172" s="630"/>
    </row>
    <row r="173" spans="1:14" ht="13.5" thickTop="1">
      <c r="B173" s="206" t="s">
        <v>390</v>
      </c>
      <c r="D173" s="233">
        <f>-D172</f>
        <v>-947400000</v>
      </c>
      <c r="H173" s="630"/>
      <c r="I173" s="630"/>
      <c r="J173" s="630"/>
      <c r="K173" s="630"/>
      <c r="L173" s="630"/>
      <c r="M173" s="630"/>
      <c r="N173" s="630"/>
    </row>
    <row r="174" spans="1:14">
      <c r="B174" s="206" t="s">
        <v>387</v>
      </c>
      <c r="C174" s="233"/>
      <c r="D174" s="233"/>
      <c r="G174" s="206"/>
      <c r="H174" s="631" t="s">
        <v>614</v>
      </c>
      <c r="I174" s="632"/>
      <c r="J174" s="632"/>
      <c r="K174" s="633"/>
      <c r="L174" s="634"/>
      <c r="M174" s="630"/>
      <c r="N174" s="630"/>
    </row>
    <row r="175" spans="1:14">
      <c r="B175" s="206" t="s">
        <v>404</v>
      </c>
      <c r="C175" s="233"/>
      <c r="D175" s="233">
        <f>'5610'!J38+'5610'!J34</f>
        <v>1802561166</v>
      </c>
      <c r="G175" s="219"/>
      <c r="H175" s="630" t="e">
        <f>H167</f>
        <v>#REF!</v>
      </c>
      <c r="I175" s="635"/>
      <c r="J175" s="635"/>
      <c r="K175" s="633"/>
      <c r="L175" s="634"/>
      <c r="M175" s="630"/>
      <c r="N175" s="630"/>
    </row>
    <row r="176" spans="1:14">
      <c r="B176" s="206" t="s">
        <v>412</v>
      </c>
      <c r="C176" s="233"/>
      <c r="D176" s="233">
        <f>-'5610'!C62-'5610'!J43</f>
        <v>-301281095</v>
      </c>
      <c r="G176" s="219">
        <f>D176-C177</f>
        <v>-2103842261</v>
      </c>
      <c r="H176" s="630"/>
      <c r="I176" s="630"/>
      <c r="J176" s="630"/>
      <c r="K176" s="630"/>
      <c r="L176" s="630"/>
      <c r="M176" s="630"/>
      <c r="N176" s="630"/>
    </row>
    <row r="177" spans="1:14">
      <c r="B177" s="954" t="s">
        <v>786</v>
      </c>
      <c r="C177" s="233">
        <f>'5610'!J38+'5610'!J34</f>
        <v>1802561166</v>
      </c>
      <c r="D177" s="233"/>
      <c r="G177" s="219"/>
      <c r="H177" s="630"/>
      <c r="I177" s="630"/>
      <c r="J177" s="630"/>
      <c r="K177" s="630"/>
      <c r="L177" s="630"/>
      <c r="M177" s="630"/>
      <c r="N177" s="630"/>
    </row>
    <row r="178" spans="1:14">
      <c r="B178" s="373" t="s">
        <v>781</v>
      </c>
      <c r="C178" s="233">
        <f>-'5610'!J38-C179</f>
        <v>-1690760071</v>
      </c>
      <c r="D178" s="233"/>
      <c r="F178" s="233"/>
      <c r="G178" s="233"/>
      <c r="H178" s="631" t="s">
        <v>615</v>
      </c>
      <c r="I178" s="632"/>
      <c r="J178" s="632"/>
      <c r="K178" s="630"/>
      <c r="L178" s="630"/>
      <c r="M178" s="630"/>
      <c r="N178" s="630"/>
    </row>
    <row r="179" spans="1:14">
      <c r="B179" s="206" t="s">
        <v>403</v>
      </c>
      <c r="C179" s="233">
        <v>189480000</v>
      </c>
      <c r="D179" s="233"/>
      <c r="H179" s="630" t="e">
        <f>H170</f>
        <v>#REF!</v>
      </c>
      <c r="I179" s="630"/>
      <c r="J179" s="635">
        <f>K180</f>
        <v>0</v>
      </c>
      <c r="K179" s="630"/>
      <c r="L179" s="630"/>
      <c r="M179" s="630"/>
      <c r="N179" s="630"/>
    </row>
    <row r="180" spans="1:14" ht="13.5" thickBot="1">
      <c r="C180" s="103">
        <f>SUM(C174:C179)</f>
        <v>301281095</v>
      </c>
      <c r="D180" s="103">
        <f>SUM(D175:D179)</f>
        <v>1501280071</v>
      </c>
      <c r="E180" s="58">
        <f>C180-D180</f>
        <v>-1199998976</v>
      </c>
      <c r="F180" s="938" t="s">
        <v>779</v>
      </c>
      <c r="H180" s="630" t="s">
        <v>296</v>
      </c>
      <c r="I180" s="632"/>
      <c r="J180" s="630"/>
      <c r="K180" s="635">
        <f>J175</f>
        <v>0</v>
      </c>
      <c r="L180" s="634"/>
      <c r="M180" s="630"/>
      <c r="N180" s="630"/>
    </row>
    <row r="181" spans="1:14" ht="15.75" customHeight="1" thickTop="1" thickBot="1">
      <c r="C181" s="234"/>
      <c r="D181" s="234"/>
      <c r="E181" s="65"/>
      <c r="F181" s="472"/>
      <c r="H181" s="630"/>
      <c r="I181" s="636">
        <f>SUM(I174:I180,I165)</f>
        <v>0</v>
      </c>
      <c r="J181" s="636">
        <f>SUM(J179:J180)</f>
        <v>0</v>
      </c>
      <c r="K181" s="636">
        <f>SUM(K179:K180)</f>
        <v>0</v>
      </c>
      <c r="L181" s="634" t="s">
        <v>590</v>
      </c>
      <c r="M181" s="630"/>
      <c r="N181" s="630"/>
    </row>
    <row r="182" spans="1:14" hidden="1">
      <c r="A182" s="380">
        <v>14</v>
      </c>
      <c r="B182" s="549" t="s">
        <v>478</v>
      </c>
      <c r="C182" s="524"/>
      <c r="D182" s="524"/>
      <c r="E182" s="525"/>
      <c r="F182" s="525"/>
      <c r="H182" s="630"/>
      <c r="I182" s="630"/>
      <c r="J182" s="630"/>
      <c r="K182" s="630"/>
      <c r="L182" s="630"/>
      <c r="M182" s="630"/>
      <c r="N182" s="630"/>
    </row>
    <row r="183" spans="1:14" hidden="1">
      <c r="B183" s="525" t="s">
        <v>529</v>
      </c>
      <c r="C183" s="524"/>
      <c r="D183" s="524"/>
      <c r="E183" s="524"/>
      <c r="F183" s="525"/>
      <c r="G183" s="206"/>
      <c r="H183" s="630"/>
      <c r="I183" s="630"/>
      <c r="J183" s="630"/>
      <c r="K183" s="630"/>
      <c r="L183" s="630"/>
      <c r="M183" s="630"/>
      <c r="N183" s="630"/>
    </row>
    <row r="184" spans="1:14" hidden="1">
      <c r="B184" s="525" t="s">
        <v>479</v>
      </c>
      <c r="C184" s="524"/>
      <c r="D184" s="524"/>
      <c r="E184" s="525"/>
      <c r="F184" s="525"/>
      <c r="H184" s="630"/>
      <c r="I184" s="630"/>
      <c r="J184" s="630"/>
      <c r="K184" s="630"/>
      <c r="L184" s="630"/>
      <c r="M184" s="630"/>
      <c r="N184" s="630"/>
    </row>
    <row r="185" spans="1:14" hidden="1">
      <c r="B185" s="525" t="s">
        <v>480</v>
      </c>
      <c r="C185" s="524"/>
      <c r="D185" s="524"/>
      <c r="E185" s="525"/>
      <c r="F185" s="525"/>
      <c r="H185" s="630"/>
      <c r="I185" s="630"/>
      <c r="J185" s="630"/>
      <c r="K185" s="630"/>
      <c r="L185" s="630"/>
      <c r="M185" s="630"/>
      <c r="N185" s="630"/>
    </row>
    <row r="186" spans="1:14" hidden="1">
      <c r="B186" s="525" t="s">
        <v>481</v>
      </c>
      <c r="C186" s="524">
        <f>D183</f>
        <v>0</v>
      </c>
      <c r="D186" s="524"/>
      <c r="E186" s="525"/>
      <c r="F186" s="525"/>
      <c r="H186" s="630"/>
      <c r="I186" s="630"/>
      <c r="J186" s="630"/>
      <c r="K186" s="630"/>
      <c r="L186" s="630"/>
      <c r="M186" s="630"/>
      <c r="N186" s="630"/>
    </row>
    <row r="187" spans="1:14" hidden="1">
      <c r="B187" s="525" t="s">
        <v>482</v>
      </c>
      <c r="C187" s="524"/>
      <c r="D187" s="524"/>
      <c r="E187" s="525"/>
      <c r="F187" s="525"/>
      <c r="H187" s="630"/>
      <c r="I187" s="630"/>
      <c r="J187" s="630"/>
      <c r="K187" s="630"/>
      <c r="L187" s="630"/>
      <c r="M187" s="630"/>
      <c r="N187" s="630"/>
    </row>
    <row r="188" spans="1:14" hidden="1">
      <c r="B188" s="525" t="s">
        <v>483</v>
      </c>
      <c r="C188" s="524"/>
      <c r="D188" s="524"/>
      <c r="E188" s="525"/>
      <c r="F188" s="525"/>
      <c r="H188" s="630"/>
      <c r="I188" s="630"/>
      <c r="J188" s="630"/>
      <c r="K188" s="630"/>
      <c r="L188" s="630"/>
      <c r="M188" s="630"/>
      <c r="N188" s="630"/>
    </row>
    <row r="189" spans="1:14" ht="13.5" hidden="1" thickBot="1">
      <c r="B189" s="525"/>
      <c r="C189" s="526">
        <f>SUM(C183:C188)</f>
        <v>0</v>
      </c>
      <c r="D189" s="526">
        <f>SUM(D183:D188)</f>
        <v>0</v>
      </c>
      <c r="E189" s="527">
        <f>C189-D189</f>
        <v>0</v>
      </c>
      <c r="F189" s="528" t="s">
        <v>477</v>
      </c>
      <c r="G189" s="206"/>
      <c r="H189" s="630"/>
      <c r="I189" s="630"/>
      <c r="J189" s="630"/>
      <c r="K189" s="630"/>
      <c r="L189" s="630"/>
      <c r="M189" s="630"/>
      <c r="N189" s="630"/>
    </row>
    <row r="190" spans="1:14" ht="13.5" hidden="1" thickTop="1">
      <c r="H190" s="630"/>
      <c r="I190" s="630"/>
      <c r="J190" s="630"/>
      <c r="K190" s="630"/>
      <c r="L190" s="630"/>
      <c r="M190" s="630"/>
      <c r="N190" s="630"/>
    </row>
    <row r="191" spans="1:14" s="206" customFormat="1" hidden="1">
      <c r="A191" s="380">
        <v>15</v>
      </c>
      <c r="B191" s="523" t="s">
        <v>517</v>
      </c>
      <c r="C191" s="524"/>
      <c r="D191" s="524"/>
      <c r="E191" s="525"/>
      <c r="F191" s="525"/>
      <c r="H191" s="630"/>
      <c r="I191" s="630"/>
      <c r="J191" s="630"/>
      <c r="K191" s="630"/>
      <c r="L191" s="630"/>
      <c r="M191" s="630"/>
      <c r="N191" s="630"/>
    </row>
    <row r="192" spans="1:14" s="206" customFormat="1" hidden="1">
      <c r="A192" s="380"/>
      <c r="B192" s="548" t="s">
        <v>529</v>
      </c>
      <c r="C192" s="524"/>
      <c r="D192" s="524"/>
      <c r="E192" s="525"/>
      <c r="F192" s="525"/>
      <c r="H192" s="630"/>
      <c r="I192" s="630"/>
      <c r="J192" s="630"/>
      <c r="K192" s="630"/>
      <c r="L192" s="630"/>
      <c r="M192" s="630"/>
      <c r="N192" s="630"/>
    </row>
    <row r="193" spans="1:14" s="206" customFormat="1" hidden="1">
      <c r="A193" s="380"/>
      <c r="B193" s="525" t="s">
        <v>518</v>
      </c>
      <c r="C193" s="524">
        <f>D192</f>
        <v>0</v>
      </c>
      <c r="D193" s="524"/>
      <c r="E193" s="525"/>
      <c r="F193" s="525"/>
      <c r="H193" s="630"/>
      <c r="I193" s="630"/>
      <c r="J193" s="630"/>
      <c r="K193" s="630"/>
      <c r="L193" s="630"/>
      <c r="M193" s="630"/>
      <c r="N193" s="630"/>
    </row>
    <row r="194" spans="1:14" s="206" customFormat="1" ht="13.5" hidden="1" thickBot="1">
      <c r="A194" s="380"/>
      <c r="B194" s="525"/>
      <c r="C194" s="526">
        <f>SUM(C192:C193)</f>
        <v>0</v>
      </c>
      <c r="D194" s="526">
        <f>SUM(D192:D193)</f>
        <v>0</v>
      </c>
      <c r="E194" s="527">
        <f>C194-D194</f>
        <v>0</v>
      </c>
      <c r="F194" s="528" t="s">
        <v>477</v>
      </c>
      <c r="H194" s="630"/>
      <c r="I194" s="630"/>
      <c r="J194" s="630"/>
      <c r="K194" s="630"/>
      <c r="L194" s="630"/>
      <c r="M194" s="630"/>
      <c r="N194" s="630"/>
    </row>
    <row r="195" spans="1:14" ht="13.5" hidden="1" thickTop="1">
      <c r="B195" s="525"/>
      <c r="C195" s="524"/>
      <c r="D195" s="524"/>
      <c r="E195" s="525"/>
      <c r="F195" s="525"/>
      <c r="H195" s="630"/>
      <c r="I195" s="630"/>
      <c r="J195" s="630"/>
      <c r="K195" s="630"/>
      <c r="L195" s="630"/>
      <c r="M195" s="630"/>
      <c r="N195" s="630"/>
    </row>
    <row r="196" spans="1:14" ht="13.5" thickTop="1">
      <c r="H196" s="630"/>
      <c r="I196" s="630"/>
      <c r="J196" s="630"/>
      <c r="K196" s="630"/>
      <c r="L196" s="630"/>
      <c r="M196" s="630"/>
      <c r="N196" s="630"/>
    </row>
    <row r="197" spans="1:14" s="206" customFormat="1">
      <c r="A197" s="939">
        <v>16</v>
      </c>
      <c r="B197" s="492" t="s">
        <v>519</v>
      </c>
      <c r="C197" s="233"/>
      <c r="D197" s="233"/>
      <c r="H197" s="631" t="s">
        <v>616</v>
      </c>
      <c r="I197" s="632"/>
      <c r="J197" s="632"/>
      <c r="K197" s="633"/>
      <c r="L197" s="634"/>
      <c r="M197" s="630"/>
      <c r="N197" s="630"/>
    </row>
    <row r="198" spans="1:14" s="206" customFormat="1">
      <c r="A198" s="380"/>
      <c r="B198" s="206" t="s">
        <v>520</v>
      </c>
      <c r="C198" s="233"/>
      <c r="G198" s="233"/>
      <c r="H198" s="630" t="e">
        <f>H175</f>
        <v>#REF!</v>
      </c>
      <c r="I198" s="635"/>
      <c r="J198" s="635"/>
      <c r="K198" s="633"/>
      <c r="L198" s="634"/>
      <c r="M198" s="630"/>
      <c r="N198" s="630"/>
    </row>
    <row r="199" spans="1:14" s="206" customFormat="1">
      <c r="A199" s="380"/>
      <c r="B199" s="206" t="s">
        <v>521</v>
      </c>
      <c r="C199" s="233"/>
      <c r="D199" s="233"/>
      <c r="G199" s="233"/>
      <c r="H199" s="630"/>
      <c r="I199" s="630"/>
      <c r="J199" s="630"/>
      <c r="K199" s="630"/>
      <c r="L199" s="630"/>
      <c r="M199" s="630"/>
      <c r="N199" s="630"/>
    </row>
    <row r="200" spans="1:14" s="206" customFormat="1">
      <c r="A200" s="380"/>
      <c r="B200" s="206" t="s">
        <v>522</v>
      </c>
      <c r="C200" s="233"/>
      <c r="D200" s="233">
        <f>C198+C201+C199</f>
        <v>0</v>
      </c>
      <c r="H200" s="631" t="s">
        <v>615</v>
      </c>
      <c r="I200" s="632"/>
      <c r="J200" s="632"/>
      <c r="K200" s="630"/>
      <c r="L200" s="630"/>
      <c r="M200" s="630"/>
      <c r="N200" s="630"/>
    </row>
    <row r="201" spans="1:14" s="206" customFormat="1">
      <c r="A201" s="380"/>
      <c r="B201" s="206" t="s">
        <v>523</v>
      </c>
      <c r="C201" s="233"/>
      <c r="H201" s="630" t="e">
        <f>H179</f>
        <v>#REF!</v>
      </c>
      <c r="I201" s="630"/>
      <c r="J201" s="635">
        <f>K202</f>
        <v>0</v>
      </c>
      <c r="K201" s="630"/>
      <c r="L201" s="630"/>
      <c r="M201" s="630"/>
      <c r="N201" s="630"/>
    </row>
    <row r="202" spans="1:14" s="206" customFormat="1" ht="13.5" thickBot="1">
      <c r="A202" s="380"/>
      <c r="C202" s="103">
        <f>SUM(C198:C201)</f>
        <v>0</v>
      </c>
      <c r="D202" s="103">
        <f>SUM(D198:D200)</f>
        <v>0</v>
      </c>
      <c r="E202" s="58">
        <f>C202-D202</f>
        <v>0</v>
      </c>
      <c r="F202" s="938" t="s">
        <v>779</v>
      </c>
      <c r="H202" s="630" t="s">
        <v>296</v>
      </c>
      <c r="I202" s="632"/>
      <c r="J202" s="630"/>
      <c r="K202" s="635">
        <f>J198</f>
        <v>0</v>
      </c>
      <c r="L202" s="634"/>
      <c r="M202" s="630"/>
      <c r="N202" s="630"/>
    </row>
    <row r="203" spans="1:14" ht="14.25" thickTop="1" thickBot="1">
      <c r="H203" s="630"/>
      <c r="I203" s="636">
        <f>SUM(I197:I202,I188)</f>
        <v>0</v>
      </c>
      <c r="J203" s="636">
        <f>SUM(J201:J202)</f>
        <v>0</v>
      </c>
      <c r="K203" s="636">
        <f>SUM(K201:K202)</f>
        <v>0</v>
      </c>
      <c r="L203" s="634" t="s">
        <v>590</v>
      </c>
      <c r="M203" s="630"/>
      <c r="N203" s="630"/>
    </row>
    <row r="204" spans="1:14" s="206" customFormat="1" ht="13.5" thickTop="1">
      <c r="A204" s="939">
        <v>17</v>
      </c>
      <c r="B204" s="492" t="s">
        <v>530</v>
      </c>
      <c r="C204" s="233"/>
      <c r="D204" s="233"/>
      <c r="H204" s="630"/>
      <c r="I204" s="630"/>
      <c r="J204" s="630"/>
      <c r="K204" s="630"/>
      <c r="L204" s="630"/>
      <c r="M204" s="630"/>
      <c r="N204" s="630"/>
    </row>
    <row r="205" spans="1:14" s="206" customFormat="1" ht="13.5" thickBot="1">
      <c r="A205" s="380"/>
      <c r="B205" s="373" t="s">
        <v>531</v>
      </c>
      <c r="C205" s="233"/>
      <c r="D205" s="233"/>
      <c r="H205" s="630"/>
      <c r="I205" s="630"/>
      <c r="J205" s="630"/>
      <c r="K205" s="630"/>
      <c r="L205" s="630"/>
      <c r="M205" s="630"/>
      <c r="N205" s="630"/>
    </row>
    <row r="206" spans="1:14" s="206" customFormat="1">
      <c r="A206" s="380"/>
      <c r="B206" s="206" t="s">
        <v>532</v>
      </c>
      <c r="C206" s="233">
        <f>D205</f>
        <v>0</v>
      </c>
      <c r="D206" s="233"/>
      <c r="H206" s="638" t="s">
        <v>617</v>
      </c>
      <c r="I206" s="639"/>
      <c r="J206" s="639"/>
      <c r="K206" s="640"/>
      <c r="L206" s="630"/>
      <c r="M206" s="630"/>
      <c r="N206" s="630"/>
    </row>
    <row r="207" spans="1:14" s="206" customFormat="1" ht="13.5" thickBot="1">
      <c r="A207" s="380"/>
      <c r="C207" s="103">
        <f>SUM(C205:C206)</f>
        <v>0</v>
      </c>
      <c r="D207" s="103">
        <f>SUM(D205:D206)</f>
        <v>0</v>
      </c>
      <c r="E207" s="104">
        <f>C207-D207</f>
        <v>0</v>
      </c>
      <c r="F207" s="938" t="s">
        <v>779</v>
      </c>
      <c r="H207" s="667" t="e">
        <f>H167</f>
        <v>#REF!</v>
      </c>
      <c r="I207" s="668"/>
      <c r="J207" s="669">
        <f>J175+J198+J167</f>
        <v>-976400277</v>
      </c>
      <c r="K207" s="670"/>
      <c r="L207" s="630"/>
      <c r="M207" s="630"/>
      <c r="N207" s="630"/>
    </row>
    <row r="208" spans="1:14" s="206" customFormat="1" ht="13.5" thickTop="1">
      <c r="A208" s="380"/>
      <c r="C208" s="233"/>
      <c r="D208" s="233"/>
      <c r="H208" s="645" t="s">
        <v>618</v>
      </c>
      <c r="I208" s="642"/>
      <c r="J208" s="642"/>
      <c r="K208" s="644"/>
      <c r="L208" s="630"/>
      <c r="M208" s="630"/>
      <c r="N208" s="630"/>
    </row>
    <row r="209" spans="1:14">
      <c r="A209" s="939">
        <v>18</v>
      </c>
      <c r="B209" s="492" t="s">
        <v>543</v>
      </c>
      <c r="C209" s="233"/>
      <c r="D209" s="233"/>
      <c r="E209" s="206"/>
      <c r="H209" s="641" t="e">
        <f>H171</f>
        <v>#REF!</v>
      </c>
      <c r="I209" s="642"/>
      <c r="J209" s="642"/>
      <c r="K209" s="666">
        <f>K171</f>
        <v>-976400277</v>
      </c>
      <c r="L209" s="630"/>
      <c r="M209" s="630"/>
      <c r="N209" s="630"/>
    </row>
    <row r="210" spans="1:14">
      <c r="B210" s="206" t="s">
        <v>544</v>
      </c>
      <c r="C210" s="233">
        <v>4808964</v>
      </c>
      <c r="D210" s="233"/>
      <c r="E210" s="206"/>
      <c r="G210" s="219"/>
      <c r="H210" s="641" t="e">
        <f>H179</f>
        <v>#REF!</v>
      </c>
      <c r="I210" s="642"/>
      <c r="J210" s="643">
        <f>J170+J179+J201</f>
        <v>-976400277</v>
      </c>
      <c r="K210" s="644"/>
      <c r="L210" s="630"/>
      <c r="M210" s="630"/>
      <c r="N210" s="630"/>
    </row>
    <row r="211" spans="1:14" ht="13.5" thickBot="1">
      <c r="B211" s="206" t="s">
        <v>545</v>
      </c>
      <c r="C211" s="233"/>
      <c r="D211" s="233">
        <f>C210</f>
        <v>4808964</v>
      </c>
      <c r="E211" s="206"/>
      <c r="H211" s="646" t="str">
        <f>H202</f>
        <v>Нераспределенная прибыль прошлого года</v>
      </c>
      <c r="I211" s="647"/>
      <c r="J211" s="647"/>
      <c r="K211" s="648">
        <f>K202+K180</f>
        <v>0</v>
      </c>
      <c r="L211" s="630"/>
      <c r="M211" s="630"/>
      <c r="N211" s="630"/>
    </row>
    <row r="212" spans="1:14" ht="13.5" thickBot="1">
      <c r="B212" s="206"/>
      <c r="C212" s="103">
        <f>SUM(C210:C211)</f>
        <v>4808964</v>
      </c>
      <c r="D212" s="103">
        <f>SUM(D210:D211)</f>
        <v>4808964</v>
      </c>
      <c r="E212" s="104">
        <f>C212-D212</f>
        <v>0</v>
      </c>
      <c r="F212" s="938" t="s">
        <v>779</v>
      </c>
      <c r="H212" s="630"/>
      <c r="I212" s="630"/>
      <c r="J212" s="635">
        <f>SUM(J209:J211)</f>
        <v>-976400277</v>
      </c>
      <c r="K212" s="635">
        <f>SUM(K209:K211)</f>
        <v>-976400277</v>
      </c>
      <c r="L212" s="630"/>
      <c r="M212" s="630"/>
      <c r="N212" s="630"/>
    </row>
    <row r="213" spans="1:14" ht="13.5" thickTop="1">
      <c r="B213" s="206"/>
      <c r="C213" s="233"/>
      <c r="D213" s="233"/>
      <c r="E213" s="206"/>
    </row>
    <row r="214" spans="1:14" s="206" customFormat="1">
      <c r="A214" s="380">
        <v>19</v>
      </c>
      <c r="B214" s="492" t="s">
        <v>546</v>
      </c>
      <c r="C214" s="233"/>
      <c r="D214" s="233"/>
    </row>
    <row r="215" spans="1:14" s="206" customFormat="1">
      <c r="A215" s="380"/>
      <c r="B215" s="206" t="s">
        <v>547</v>
      </c>
      <c r="C215" s="233"/>
      <c r="D215" s="233"/>
      <c r="G215" s="233"/>
    </row>
    <row r="216" spans="1:14" s="206" customFormat="1">
      <c r="A216" s="380"/>
      <c r="B216" s="206" t="s">
        <v>548</v>
      </c>
      <c r="C216" s="233"/>
      <c r="D216" s="233"/>
    </row>
    <row r="217" spans="1:14" s="206" customFormat="1">
      <c r="A217" s="380"/>
      <c r="B217" s="206" t="s">
        <v>549</v>
      </c>
      <c r="C217" s="233">
        <f>D215+D216</f>
        <v>0</v>
      </c>
      <c r="D217" s="233"/>
    </row>
    <row r="218" spans="1:14" s="206" customFormat="1" ht="13.5" thickBot="1">
      <c r="A218" s="380"/>
      <c r="C218" s="103">
        <f>SUM(C215:C217)</f>
        <v>0</v>
      </c>
      <c r="D218" s="103">
        <f>SUM(D215:D217)</f>
        <v>0</v>
      </c>
      <c r="E218" s="104">
        <f>C218-D218</f>
        <v>0</v>
      </c>
      <c r="F218" s="472" t="s">
        <v>533</v>
      </c>
    </row>
    <row r="219" spans="1:14" s="206" customFormat="1" ht="13.5" thickTop="1">
      <c r="A219" s="380"/>
      <c r="C219" s="233"/>
      <c r="D219" s="233"/>
    </row>
    <row r="220" spans="1:14" s="206" customFormat="1">
      <c r="A220" s="905">
        <v>20</v>
      </c>
      <c r="B220" s="492" t="s">
        <v>550</v>
      </c>
      <c r="C220" s="233"/>
      <c r="D220" s="233"/>
    </row>
    <row r="221" spans="1:14" s="206" customFormat="1">
      <c r="A221" s="380"/>
      <c r="B221" s="206" t="s">
        <v>551</v>
      </c>
      <c r="C221" s="233"/>
      <c r="D221" s="233">
        <v>0</v>
      </c>
    </row>
    <row r="222" spans="1:14" s="206" customFormat="1">
      <c r="A222" s="380"/>
      <c r="B222" s="206" t="s">
        <v>552</v>
      </c>
      <c r="C222" s="233"/>
      <c r="D222" s="233">
        <v>0</v>
      </c>
    </row>
    <row r="223" spans="1:14" s="206" customFormat="1">
      <c r="A223" s="380"/>
      <c r="B223" s="206" t="s">
        <v>553</v>
      </c>
      <c r="C223" s="233">
        <f>D221+D222</f>
        <v>0</v>
      </c>
      <c r="D223" s="233"/>
    </row>
    <row r="224" spans="1:14" s="206" customFormat="1" ht="13.5" thickBot="1">
      <c r="A224" s="380"/>
      <c r="C224" s="103">
        <f>SUM(C221:C223)</f>
        <v>0</v>
      </c>
      <c r="D224" s="103">
        <f>SUM(D221:D223)</f>
        <v>0</v>
      </c>
      <c r="E224" s="104">
        <f>C224-D224</f>
        <v>0</v>
      </c>
      <c r="F224" s="472" t="s">
        <v>711</v>
      </c>
    </row>
    <row r="225" spans="1:12" ht="13.5" thickTop="1"/>
    <row r="226" spans="1:12">
      <c r="A226" s="905">
        <v>21</v>
      </c>
      <c r="B226" s="492" t="s">
        <v>555</v>
      </c>
    </row>
    <row r="227" spans="1:12">
      <c r="B227" s="3" t="s">
        <v>556</v>
      </c>
    </row>
    <row r="228" spans="1:12">
      <c r="B228" s="3" t="s">
        <v>557</v>
      </c>
    </row>
    <row r="229" spans="1:12" s="206" customFormat="1" ht="13.5" thickBot="1">
      <c r="A229" s="380"/>
      <c r="C229" s="103">
        <f>SUM(C227:C228)</f>
        <v>0</v>
      </c>
      <c r="D229" s="103">
        <f>SUM(D227:D228)</f>
        <v>0</v>
      </c>
      <c r="E229" s="104">
        <f>C229-D229</f>
        <v>0</v>
      </c>
      <c r="F229" s="472" t="s">
        <v>554</v>
      </c>
    </row>
    <row r="230" spans="1:12" s="206" customFormat="1" ht="13.5" thickTop="1">
      <c r="A230" s="380"/>
      <c r="C230" s="234"/>
      <c r="D230" s="234"/>
      <c r="E230" s="551"/>
      <c r="F230" s="472"/>
    </row>
    <row r="231" spans="1:12" s="206" customFormat="1">
      <c r="A231" s="939">
        <v>22</v>
      </c>
      <c r="B231" s="492" t="s">
        <v>633</v>
      </c>
      <c r="C231" s="234"/>
      <c r="D231" s="234"/>
      <c r="E231" s="551"/>
      <c r="F231" s="472"/>
    </row>
    <row r="232" spans="1:12">
      <c r="A232" s="206"/>
      <c r="B232" s="3" t="s">
        <v>634</v>
      </c>
    </row>
    <row r="233" spans="1:12">
      <c r="B233" s="3" t="s">
        <v>635</v>
      </c>
      <c r="D233" s="219">
        <f>C232</f>
        <v>0</v>
      </c>
    </row>
    <row r="234" spans="1:12" ht="13.5" thickBot="1">
      <c r="C234" s="103">
        <f>SUM(C231:C233)</f>
        <v>0</v>
      </c>
      <c r="D234" s="103">
        <f>SUM(D231:D233)</f>
        <v>0</v>
      </c>
      <c r="E234" s="104">
        <f>C234-D234</f>
        <v>0</v>
      </c>
      <c r="F234" s="938" t="s">
        <v>779</v>
      </c>
    </row>
    <row r="235" spans="1:12" ht="13.5" thickTop="1"/>
    <row r="236" spans="1:12">
      <c r="E236" s="219"/>
      <c r="F236" s="3"/>
    </row>
    <row r="237" spans="1:12" hidden="1" outlineLevel="1">
      <c r="A237" s="380">
        <v>23</v>
      </c>
      <c r="B237" s="649" t="s">
        <v>613</v>
      </c>
      <c r="C237" s="650"/>
      <c r="D237" s="650"/>
      <c r="E237" s="650"/>
      <c r="F237" s="650"/>
      <c r="G237" s="650"/>
      <c r="H237" s="650"/>
      <c r="I237" s="650"/>
      <c r="J237" s="611"/>
      <c r="K237" s="612" t="s">
        <v>72</v>
      </c>
      <c r="L237" s="611"/>
    </row>
    <row r="238" spans="1:12" ht="15" hidden="1" outlineLevel="1">
      <c r="B238" s="651" t="s">
        <v>591</v>
      </c>
      <c r="C238" s="650"/>
      <c r="D238" s="650"/>
      <c r="E238" s="650"/>
      <c r="F238" s="650"/>
      <c r="G238" s="650"/>
      <c r="H238" s="650"/>
      <c r="I238" s="650"/>
      <c r="J238" s="611"/>
      <c r="K238" s="611"/>
      <c r="L238" s="611"/>
    </row>
    <row r="239" spans="1:12" hidden="1" outlineLevel="1">
      <c r="B239" s="652">
        <v>1200.6120000000001</v>
      </c>
      <c r="C239" s="650"/>
      <c r="D239" s="650"/>
      <c r="E239" s="650"/>
      <c r="F239" s="650"/>
      <c r="G239" s="650"/>
      <c r="H239" s="650"/>
      <c r="I239" s="650"/>
      <c r="J239" s="611"/>
      <c r="K239" s="611"/>
      <c r="L239" s="611"/>
    </row>
    <row r="240" spans="1:12" hidden="1" outlineLevel="1">
      <c r="B240" s="653" t="s">
        <v>753</v>
      </c>
      <c r="C240" s="650"/>
      <c r="D240" s="650"/>
      <c r="E240" s="650"/>
      <c r="F240" s="650"/>
      <c r="G240" s="650"/>
      <c r="H240" s="650"/>
      <c r="I240" s="650"/>
      <c r="J240" s="611"/>
      <c r="K240" s="611"/>
      <c r="L240" s="611"/>
    </row>
    <row r="241" spans="2:12" ht="13.5" hidden="1" outlineLevel="1" thickBot="1">
      <c r="B241" s="650"/>
      <c r="C241" s="650"/>
      <c r="D241" s="650"/>
      <c r="E241" s="650"/>
      <c r="F241" s="650"/>
      <c r="G241" s="650"/>
      <c r="H241" s="650"/>
      <c r="I241" s="650"/>
      <c r="J241" s="611"/>
      <c r="K241" s="611"/>
      <c r="L241" s="611"/>
    </row>
    <row r="242" spans="2:12" ht="23.25" hidden="1" outlineLevel="1" thickBot="1">
      <c r="B242" s="654" t="s">
        <v>592</v>
      </c>
      <c r="C242" s="654" t="s">
        <v>593</v>
      </c>
      <c r="D242" s="654" t="s">
        <v>594</v>
      </c>
      <c r="E242" s="1594" t="s">
        <v>595</v>
      </c>
      <c r="F242" s="1594"/>
      <c r="G242" s="1594" t="s">
        <v>596</v>
      </c>
      <c r="H242" s="1594"/>
      <c r="I242" s="654" t="s">
        <v>597</v>
      </c>
      <c r="J242" s="617" t="s">
        <v>598</v>
      </c>
      <c r="K242" s="617" t="s">
        <v>599</v>
      </c>
      <c r="L242" s="617" t="s">
        <v>600</v>
      </c>
    </row>
    <row r="243" spans="2:12" ht="67.5" hidden="1" customHeight="1" outlineLevel="1">
      <c r="B243" s="1597" t="s">
        <v>601</v>
      </c>
      <c r="C243" s="1597" t="s">
        <v>602</v>
      </c>
      <c r="D243" s="655" t="s">
        <v>603</v>
      </c>
      <c r="E243" s="1598" t="s">
        <v>604</v>
      </c>
      <c r="F243" s="1598"/>
      <c r="G243" s="1596">
        <v>6120</v>
      </c>
      <c r="H243" s="1596"/>
      <c r="I243" s="656">
        <v>756142320</v>
      </c>
      <c r="J243" s="618" t="s">
        <v>352</v>
      </c>
      <c r="K243" s="618" t="s">
        <v>605</v>
      </c>
      <c r="L243" s="619"/>
    </row>
    <row r="244" spans="2:12" ht="45" hidden="1" customHeight="1" outlineLevel="1">
      <c r="B244" s="1597"/>
      <c r="C244" s="1597"/>
      <c r="D244" s="657"/>
      <c r="E244" s="658"/>
      <c r="F244" s="659"/>
      <c r="G244" s="658"/>
      <c r="H244" s="659"/>
      <c r="I244" s="660"/>
      <c r="J244" s="621" t="s">
        <v>606</v>
      </c>
      <c r="K244" s="621" t="s">
        <v>607</v>
      </c>
      <c r="L244" s="620"/>
    </row>
    <row r="245" spans="2:12" ht="13.5" hidden="1" outlineLevel="1" thickBot="1">
      <c r="B245" s="1597"/>
      <c r="C245" s="1597"/>
      <c r="D245" s="661" t="s">
        <v>608</v>
      </c>
      <c r="E245" s="662" t="s">
        <v>74</v>
      </c>
      <c r="F245" s="663">
        <v>756142320</v>
      </c>
      <c r="G245" s="662"/>
      <c r="H245" s="664"/>
      <c r="I245" s="665"/>
      <c r="J245" s="623"/>
      <c r="K245" s="623"/>
      <c r="L245" s="622"/>
    </row>
    <row r="246" spans="2:12" ht="67.5" hidden="1" customHeight="1" outlineLevel="1">
      <c r="B246" s="1597" t="s">
        <v>609</v>
      </c>
      <c r="C246" s="1597" t="s">
        <v>610</v>
      </c>
      <c r="D246" s="655" t="s">
        <v>603</v>
      </c>
      <c r="E246" s="1598" t="s">
        <v>604</v>
      </c>
      <c r="F246" s="1598"/>
      <c r="G246" s="1596">
        <v>6120</v>
      </c>
      <c r="H246" s="1596"/>
      <c r="I246" s="656">
        <v>220257957</v>
      </c>
      <c r="J246" s="618" t="s">
        <v>352</v>
      </c>
      <c r="K246" s="618" t="s">
        <v>605</v>
      </c>
      <c r="L246" s="619"/>
    </row>
    <row r="247" spans="2:12" ht="45" hidden="1" customHeight="1" outlineLevel="1">
      <c r="B247" s="1597"/>
      <c r="C247" s="1597"/>
      <c r="D247" s="657"/>
      <c r="E247" s="658"/>
      <c r="F247" s="659"/>
      <c r="G247" s="658"/>
      <c r="H247" s="659"/>
      <c r="I247" s="660"/>
      <c r="J247" s="621" t="s">
        <v>606</v>
      </c>
      <c r="K247" s="621" t="s">
        <v>607</v>
      </c>
      <c r="L247" s="620"/>
    </row>
    <row r="248" spans="2:12" ht="13.5" hidden="1" outlineLevel="1" thickBot="1">
      <c r="B248" s="1597"/>
      <c r="C248" s="1597"/>
      <c r="D248" s="661" t="s">
        <v>608</v>
      </c>
      <c r="E248" s="662" t="s">
        <v>74</v>
      </c>
      <c r="F248" s="663">
        <v>220257957</v>
      </c>
      <c r="G248" s="662"/>
      <c r="H248" s="664"/>
      <c r="I248" s="665"/>
      <c r="J248" s="623"/>
      <c r="K248" s="623"/>
      <c r="L248" s="622"/>
    </row>
    <row r="249" spans="2:12" hidden="1" outlineLevel="1">
      <c r="F249" s="727">
        <f>F245+F248</f>
        <v>976400277</v>
      </c>
    </row>
    <row r="250" spans="2:12" hidden="1" outlineLevel="1">
      <c r="B250" s="610" t="s">
        <v>613</v>
      </c>
      <c r="C250" s="611"/>
      <c r="D250" s="611"/>
      <c r="E250" s="611"/>
      <c r="F250" s="611"/>
      <c r="G250" s="611"/>
      <c r="H250" s="611"/>
      <c r="I250" s="611"/>
      <c r="J250" s="611"/>
      <c r="K250" s="612" t="s">
        <v>72</v>
      </c>
      <c r="L250" s="611"/>
    </row>
    <row r="251" spans="2:12" ht="15" hidden="1" outlineLevel="1">
      <c r="B251" s="613" t="s">
        <v>591</v>
      </c>
      <c r="C251" s="611"/>
      <c r="D251" s="611"/>
      <c r="E251" s="611"/>
      <c r="F251" s="611"/>
      <c r="G251" s="611"/>
      <c r="H251" s="611"/>
      <c r="I251" s="611"/>
      <c r="J251" s="611"/>
      <c r="K251" s="611"/>
      <c r="L251" s="611"/>
    </row>
    <row r="252" spans="2:12" hidden="1" outlineLevel="1">
      <c r="B252" s="614">
        <v>5500.3031000000001</v>
      </c>
      <c r="C252" s="611"/>
      <c r="D252" s="611"/>
      <c r="E252" s="611"/>
      <c r="F252" s="611"/>
      <c r="G252" s="611"/>
      <c r="H252" s="611"/>
      <c r="I252" s="611"/>
      <c r="J252" s="611"/>
      <c r="K252" s="611"/>
      <c r="L252" s="611"/>
    </row>
    <row r="253" spans="2:12" hidden="1" outlineLevel="1">
      <c r="B253" s="615" t="s">
        <v>751</v>
      </c>
      <c r="C253" s="611"/>
      <c r="D253" s="611"/>
      <c r="E253" s="611"/>
      <c r="F253" s="611"/>
      <c r="G253" s="611"/>
      <c r="H253" s="611"/>
      <c r="I253" s="611"/>
      <c r="J253" s="611"/>
      <c r="K253" s="611"/>
      <c r="L253" s="611"/>
    </row>
    <row r="254" spans="2:12" ht="13.5" hidden="1" outlineLevel="1" thickBot="1">
      <c r="B254" s="611"/>
      <c r="C254" s="611"/>
      <c r="D254" s="650"/>
      <c r="E254" s="650"/>
      <c r="F254" s="650"/>
      <c r="G254" s="650"/>
      <c r="H254" s="650"/>
      <c r="I254" s="650"/>
      <c r="J254" s="650"/>
      <c r="K254" s="611"/>
      <c r="L254" s="611"/>
    </row>
    <row r="255" spans="2:12" ht="23.25" hidden="1" outlineLevel="1" thickBot="1">
      <c r="B255" s="616" t="s">
        <v>592</v>
      </c>
      <c r="C255" s="616" t="s">
        <v>593</v>
      </c>
      <c r="D255" s="654" t="s">
        <v>594</v>
      </c>
      <c r="E255" s="1594" t="s">
        <v>595</v>
      </c>
      <c r="F255" s="1594"/>
      <c r="G255" s="1594" t="s">
        <v>596</v>
      </c>
      <c r="H255" s="1594"/>
      <c r="I255" s="654" t="s">
        <v>597</v>
      </c>
      <c r="J255" s="671" t="s">
        <v>598</v>
      </c>
      <c r="K255" s="617" t="s">
        <v>599</v>
      </c>
      <c r="L255" s="617" t="s">
        <v>600</v>
      </c>
    </row>
    <row r="256" spans="2:12" hidden="1" outlineLevel="1">
      <c r="B256" s="1595" t="s">
        <v>601</v>
      </c>
      <c r="C256" s="1595" t="s">
        <v>619</v>
      </c>
      <c r="D256" s="655"/>
      <c r="E256" s="1596">
        <v>5520</v>
      </c>
      <c r="F256" s="1596"/>
      <c r="G256" s="1596">
        <v>3031</v>
      </c>
      <c r="H256" s="1596"/>
      <c r="I256" s="656">
        <v>756142320</v>
      </c>
      <c r="J256" s="672"/>
      <c r="K256" s="618" t="s">
        <v>351</v>
      </c>
      <c r="L256" s="619"/>
    </row>
    <row r="257" spans="2:12" ht="23.25" hidden="1" outlineLevel="1" thickBot="1">
      <c r="B257" s="1595"/>
      <c r="C257" s="1595"/>
      <c r="D257" s="661" t="s">
        <v>608</v>
      </c>
      <c r="E257" s="662"/>
      <c r="F257" s="664"/>
      <c r="G257" s="662" t="s">
        <v>74</v>
      </c>
      <c r="H257" s="663">
        <v>756142320</v>
      </c>
      <c r="I257" s="665"/>
      <c r="J257" s="673"/>
      <c r="K257" s="623" t="s">
        <v>620</v>
      </c>
      <c r="L257" s="622"/>
    </row>
    <row r="258" spans="2:12" hidden="1" outlineLevel="1">
      <c r="B258" s="1595" t="s">
        <v>609</v>
      </c>
      <c r="C258" s="1595" t="s">
        <v>621</v>
      </c>
      <c r="D258" s="655"/>
      <c r="E258" s="1596">
        <v>5520</v>
      </c>
      <c r="F258" s="1596"/>
      <c r="G258" s="1596">
        <v>3031</v>
      </c>
      <c r="H258" s="1596"/>
      <c r="I258" s="656">
        <v>220257957</v>
      </c>
      <c r="J258" s="672"/>
      <c r="K258" s="618" t="s">
        <v>351</v>
      </c>
      <c r="L258" s="619"/>
    </row>
    <row r="259" spans="2:12" ht="23.25" hidden="1" outlineLevel="1" thickBot="1">
      <c r="B259" s="1595"/>
      <c r="C259" s="1595"/>
      <c r="D259" s="661" t="s">
        <v>608</v>
      </c>
      <c r="E259" s="662"/>
      <c r="F259" s="664"/>
      <c r="G259" s="662" t="s">
        <v>74</v>
      </c>
      <c r="H259" s="663">
        <v>220257957</v>
      </c>
      <c r="I259" s="665"/>
      <c r="J259" s="673"/>
      <c r="K259" s="623" t="s">
        <v>620</v>
      </c>
      <c r="L259" s="622"/>
    </row>
    <row r="260" spans="2:12" ht="13.5" hidden="1" outlineLevel="1" thickBot="1">
      <c r="B260" s="624"/>
      <c r="C260" s="625"/>
      <c r="D260" s="626"/>
      <c r="E260" s="627"/>
      <c r="F260" s="628"/>
      <c r="G260" s="627"/>
      <c r="H260" s="628"/>
      <c r="I260" s="629">
        <v>976400277</v>
      </c>
      <c r="J260" s="624"/>
      <c r="K260" s="625"/>
      <c r="L260" s="626"/>
    </row>
    <row r="261" spans="2:12" hidden="1" outlineLevel="1"/>
    <row r="262" spans="2:12" hidden="1" outlineLevel="1"/>
    <row r="263" spans="2:12" hidden="1" outlineLevel="1">
      <c r="G263" s="3" t="s">
        <v>623</v>
      </c>
      <c r="H263" s="3" t="s">
        <v>622</v>
      </c>
      <c r="I263" s="674">
        <f>F249</f>
        <v>976400277</v>
      </c>
    </row>
    <row r="264" spans="2:12" hidden="1" outlineLevel="1">
      <c r="G264" s="3" t="s">
        <v>624</v>
      </c>
      <c r="H264" s="3" t="s">
        <v>625</v>
      </c>
      <c r="I264" s="675">
        <f>I260</f>
        <v>976400277</v>
      </c>
    </row>
    <row r="265" spans="2:12" hidden="1" outlineLevel="1"/>
    <row r="266" spans="2:12" hidden="1" outlineLevel="1"/>
    <row r="267" spans="2:12" hidden="1" outlineLevel="1">
      <c r="D267" s="610" t="s">
        <v>613</v>
      </c>
      <c r="E267" s="611"/>
      <c r="F267" s="611"/>
      <c r="G267" s="612" t="s">
        <v>72</v>
      </c>
      <c r="H267" s="611"/>
      <c r="I267" s="611"/>
    </row>
    <row r="268" spans="2:12" ht="30" hidden="1" outlineLevel="1">
      <c r="D268" s="613" t="s">
        <v>626</v>
      </c>
      <c r="E268" s="611"/>
      <c r="F268" s="611"/>
      <c r="G268" s="611"/>
      <c r="H268" s="611"/>
      <c r="I268" s="611"/>
    </row>
    <row r="269" spans="2:12" ht="24" hidden="1" outlineLevel="1">
      <c r="D269" s="719" t="s">
        <v>754</v>
      </c>
      <c r="E269" s="611"/>
      <c r="F269" s="611"/>
      <c r="G269" s="611"/>
      <c r="H269" s="611"/>
      <c r="I269" s="611"/>
    </row>
    <row r="270" spans="2:12" hidden="1" outlineLevel="1">
      <c r="D270" s="611"/>
      <c r="E270" s="611"/>
      <c r="F270" s="611"/>
      <c r="G270" s="611"/>
      <c r="H270" s="611"/>
      <c r="I270" s="611"/>
    </row>
    <row r="271" spans="2:12" hidden="1" outlineLevel="1">
      <c r="D271" s="1592" t="s">
        <v>627</v>
      </c>
      <c r="E271" s="1592"/>
      <c r="F271" s="1592"/>
      <c r="G271" s="1592"/>
      <c r="H271" s="1592"/>
      <c r="I271" s="1592"/>
    </row>
    <row r="272" spans="2:12" ht="13.5" hidden="1" outlineLevel="1" thickBot="1">
      <c r="D272" s="611"/>
      <c r="E272" s="611"/>
      <c r="F272" s="611"/>
      <c r="G272" s="611"/>
      <c r="H272" s="611"/>
      <c r="I272" s="611"/>
    </row>
    <row r="273" spans="4:9" hidden="1" outlineLevel="1">
      <c r="D273" s="676" t="s">
        <v>124</v>
      </c>
      <c r="E273" s="677" t="s">
        <v>148</v>
      </c>
      <c r="F273" s="677" t="s">
        <v>149</v>
      </c>
      <c r="G273" s="678" t="s">
        <v>150</v>
      </c>
      <c r="H273" s="677" t="s">
        <v>149</v>
      </c>
      <c r="I273" s="679" t="s">
        <v>150</v>
      </c>
    </row>
    <row r="274" spans="4:9" ht="13.5" hidden="1" outlineLevel="1" thickBot="1">
      <c r="D274" s="680"/>
      <c r="E274" s="681"/>
      <c r="F274" s="681"/>
      <c r="G274" s="682"/>
      <c r="H274" s="683" t="s">
        <v>628</v>
      </c>
      <c r="I274" s="684" t="s">
        <v>628</v>
      </c>
    </row>
    <row r="275" spans="4:9" ht="13.5" hidden="1" outlineLevel="1" thickBot="1">
      <c r="D275" s="685"/>
      <c r="E275" s="686" t="s">
        <v>151</v>
      </c>
      <c r="F275" s="687">
        <v>976400277</v>
      </c>
      <c r="G275" s="688"/>
      <c r="H275" s="689"/>
      <c r="I275" s="690"/>
    </row>
    <row r="276" spans="4:9" hidden="1" outlineLevel="1">
      <c r="D276" s="691" t="s">
        <v>74</v>
      </c>
      <c r="E276" s="692" t="s">
        <v>151</v>
      </c>
      <c r="F276" s="693">
        <v>976400277</v>
      </c>
      <c r="G276" s="694"/>
      <c r="H276" s="695">
        <v>976400277</v>
      </c>
      <c r="I276" s="696"/>
    </row>
    <row r="277" spans="4:9" hidden="1" outlineLevel="1">
      <c r="D277" s="697"/>
      <c r="E277" s="698">
        <v>1000</v>
      </c>
      <c r="F277" s="699"/>
      <c r="G277" s="700">
        <v>976400277</v>
      </c>
      <c r="H277" s="699"/>
      <c r="I277" s="701">
        <v>976400277</v>
      </c>
    </row>
    <row r="278" spans="4:9" hidden="1" outlineLevel="1">
      <c r="D278" s="697"/>
      <c r="E278" s="698">
        <v>1200</v>
      </c>
      <c r="F278" s="700">
        <v>1952800554</v>
      </c>
      <c r="G278" s="700">
        <v>2142280554</v>
      </c>
      <c r="H278" s="702">
        <v>1952800554</v>
      </c>
      <c r="I278" s="701">
        <v>2142280554</v>
      </c>
    </row>
    <row r="279" spans="4:9" hidden="1" outlineLevel="1">
      <c r="D279" s="697"/>
      <c r="E279" s="698">
        <v>6100</v>
      </c>
      <c r="F279" s="720">
        <v>189480000</v>
      </c>
      <c r="G279" s="699"/>
      <c r="H279" s="702">
        <v>189480000</v>
      </c>
      <c r="I279" s="703"/>
    </row>
    <row r="280" spans="4:9" hidden="1" outlineLevel="1">
      <c r="D280" s="704"/>
      <c r="E280" s="705" t="s">
        <v>152</v>
      </c>
      <c r="F280" s="706">
        <v>2142280554</v>
      </c>
      <c r="G280" s="706">
        <v>3118680831</v>
      </c>
      <c r="H280" s="707">
        <v>2142280554</v>
      </c>
      <c r="I280" s="708">
        <v>3118680831</v>
      </c>
    </row>
    <row r="281" spans="4:9" ht="13.5" hidden="1" outlineLevel="1" thickBot="1">
      <c r="D281" s="691"/>
      <c r="E281" s="692" t="s">
        <v>153</v>
      </c>
      <c r="F281" s="694"/>
      <c r="G281" s="694"/>
      <c r="H281" s="694"/>
      <c r="I281" s="696"/>
    </row>
    <row r="282" spans="4:9" hidden="1" outlineLevel="1">
      <c r="D282" s="709" t="s">
        <v>171</v>
      </c>
      <c r="E282" s="710" t="s">
        <v>152</v>
      </c>
      <c r="F282" s="711">
        <v>2142280554</v>
      </c>
      <c r="G282" s="711">
        <v>3118680831</v>
      </c>
      <c r="H282" s="712"/>
      <c r="I282" s="713"/>
    </row>
    <row r="283" spans="4:9" ht="13.5" hidden="1" outlineLevel="1" thickBot="1">
      <c r="D283" s="714"/>
      <c r="E283" s="715" t="s">
        <v>153</v>
      </c>
      <c r="F283" s="716"/>
      <c r="G283" s="716"/>
      <c r="H283" s="717"/>
      <c r="I283" s="718"/>
    </row>
    <row r="284" spans="4:9" hidden="1" outlineLevel="1"/>
    <row r="285" spans="4:9" hidden="1" outlineLevel="1">
      <c r="D285" s="610" t="s">
        <v>613</v>
      </c>
      <c r="E285" s="611"/>
      <c r="F285" s="611"/>
      <c r="G285" s="612" t="s">
        <v>72</v>
      </c>
      <c r="H285" s="611"/>
      <c r="I285" s="611"/>
    </row>
    <row r="286" spans="4:9" ht="30" hidden="1" outlineLevel="1">
      <c r="D286" s="613" t="s">
        <v>626</v>
      </c>
      <c r="E286" s="611"/>
      <c r="F286" s="611"/>
      <c r="G286" s="611"/>
      <c r="H286" s="611"/>
      <c r="I286" s="611"/>
    </row>
    <row r="287" spans="4:9" ht="36" hidden="1" outlineLevel="1">
      <c r="D287" s="726" t="s">
        <v>747</v>
      </c>
      <c r="E287" s="611"/>
      <c r="F287" s="611"/>
      <c r="G287" s="611"/>
      <c r="H287" s="611"/>
      <c r="I287" s="611"/>
    </row>
    <row r="288" spans="4:9" hidden="1" outlineLevel="1">
      <c r="D288" s="611"/>
      <c r="E288" s="611"/>
      <c r="F288" s="611"/>
      <c r="G288" s="611"/>
      <c r="H288" s="611"/>
      <c r="I288" s="611"/>
    </row>
    <row r="289" spans="4:9" hidden="1" outlineLevel="1">
      <c r="D289" s="1592" t="s">
        <v>627</v>
      </c>
      <c r="E289" s="1592"/>
      <c r="F289" s="1592"/>
      <c r="G289" s="1592"/>
      <c r="H289" s="1592"/>
      <c r="I289" s="1592"/>
    </row>
    <row r="290" spans="4:9" ht="13.5" hidden="1" outlineLevel="1" thickBot="1">
      <c r="D290" s="611"/>
      <c r="E290" s="611"/>
      <c r="F290" s="611"/>
      <c r="G290" s="611"/>
      <c r="H290" s="611"/>
      <c r="I290" s="611"/>
    </row>
    <row r="291" spans="4:9" hidden="1" outlineLevel="1">
      <c r="D291" s="676" t="s">
        <v>124</v>
      </c>
      <c r="E291" s="677" t="s">
        <v>148</v>
      </c>
      <c r="F291" s="677" t="s">
        <v>149</v>
      </c>
      <c r="G291" s="678" t="s">
        <v>150</v>
      </c>
      <c r="H291" s="677" t="s">
        <v>149</v>
      </c>
      <c r="I291" s="679" t="s">
        <v>150</v>
      </c>
    </row>
    <row r="292" spans="4:9" ht="13.5" hidden="1" outlineLevel="1" thickBot="1">
      <c r="D292" s="680"/>
      <c r="E292" s="681"/>
      <c r="F292" s="681"/>
      <c r="G292" s="682"/>
      <c r="H292" s="683" t="s">
        <v>628</v>
      </c>
      <c r="I292" s="684" t="s">
        <v>628</v>
      </c>
    </row>
    <row r="293" spans="4:9" ht="13.5" hidden="1" outlineLevel="1" thickBot="1">
      <c r="D293" s="685"/>
      <c r="E293" s="686" t="s">
        <v>151</v>
      </c>
      <c r="F293" s="688"/>
      <c r="G293" s="688"/>
      <c r="H293" s="689"/>
      <c r="I293" s="690"/>
    </row>
    <row r="294" spans="4:9" hidden="1" outlineLevel="1">
      <c r="D294" s="691" t="s">
        <v>74</v>
      </c>
      <c r="E294" s="692" t="s">
        <v>151</v>
      </c>
      <c r="F294" s="694"/>
      <c r="G294" s="694"/>
      <c r="H294" s="694"/>
      <c r="I294" s="696"/>
    </row>
    <row r="295" spans="4:9" hidden="1" outlineLevel="1">
      <c r="D295" s="697"/>
      <c r="E295" s="698">
        <v>1200</v>
      </c>
      <c r="F295" s="700">
        <v>4278.37</v>
      </c>
      <c r="G295" s="700">
        <v>4278.37</v>
      </c>
      <c r="H295" s="721">
        <v>4278.37</v>
      </c>
      <c r="I295" s="722">
        <v>4278.37</v>
      </c>
    </row>
    <row r="296" spans="4:9" hidden="1" outlineLevel="1">
      <c r="D296" s="697"/>
      <c r="E296" s="698">
        <v>6100</v>
      </c>
      <c r="F296" s="896">
        <v>189480000</v>
      </c>
      <c r="G296" s="699"/>
      <c r="H296" s="702">
        <v>976400277</v>
      </c>
      <c r="I296" s="703"/>
    </row>
    <row r="297" spans="4:9" hidden="1" outlineLevel="1">
      <c r="D297" s="704"/>
      <c r="E297" s="705" t="s">
        <v>152</v>
      </c>
      <c r="F297" s="706">
        <v>976404555.37</v>
      </c>
      <c r="G297" s="706">
        <v>4278.37</v>
      </c>
      <c r="H297" s="723">
        <v>976404555.37</v>
      </c>
      <c r="I297" s="724">
        <v>4278.37</v>
      </c>
    </row>
    <row r="298" spans="4:9" ht="13.5" hidden="1" outlineLevel="1" thickBot="1">
      <c r="D298" s="691"/>
      <c r="E298" s="692" t="s">
        <v>153</v>
      </c>
      <c r="F298" s="693">
        <v>976400277</v>
      </c>
      <c r="G298" s="694"/>
      <c r="H298" s="695">
        <v>976400277</v>
      </c>
      <c r="I298" s="696"/>
    </row>
    <row r="299" spans="4:9" hidden="1" outlineLevel="1">
      <c r="D299" s="709" t="s">
        <v>171</v>
      </c>
      <c r="E299" s="710" t="s">
        <v>152</v>
      </c>
      <c r="F299" s="711">
        <v>976404555.37</v>
      </c>
      <c r="G299" s="711">
        <v>4278.37</v>
      </c>
      <c r="H299" s="712"/>
      <c r="I299" s="713"/>
    </row>
    <row r="300" spans="4:9" ht="13.5" hidden="1" outlineLevel="1" thickBot="1">
      <c r="D300" s="714"/>
      <c r="E300" s="715" t="s">
        <v>153</v>
      </c>
      <c r="F300" s="725">
        <v>976400277</v>
      </c>
      <c r="G300" s="716"/>
      <c r="H300" s="717"/>
      <c r="I300" s="718"/>
    </row>
    <row r="301" spans="4:9" hidden="1" outlineLevel="1">
      <c r="D301" s="611"/>
      <c r="E301" s="611"/>
      <c r="F301" s="611"/>
      <c r="G301" s="611"/>
      <c r="H301" s="611"/>
      <c r="I301" s="611"/>
    </row>
    <row r="302" spans="4:9" hidden="1" outlineLevel="1"/>
    <row r="303" spans="4:9" hidden="1" outlineLevel="1"/>
    <row r="304" spans="4:9" hidden="1" outlineLevel="1"/>
    <row r="305" spans="1:2" hidden="1" outlineLevel="1"/>
    <row r="306" spans="1:2" hidden="1" outlineLevel="1"/>
    <row r="307" spans="1:2" hidden="1" outlineLevel="1"/>
    <row r="308" spans="1:2" hidden="1" outlineLevel="1"/>
    <row r="309" spans="1:2" hidden="1" outlineLevel="1"/>
    <row r="310" spans="1:2" hidden="1" outlineLevel="1"/>
    <row r="311" spans="1:2" hidden="1" outlineLevel="1"/>
    <row r="312" spans="1:2" hidden="1" outlineLevel="1"/>
    <row r="313" spans="1:2" hidden="1" outlineLevel="1"/>
    <row r="314" spans="1:2" hidden="1" outlineLevel="1"/>
    <row r="315" spans="1:2" hidden="1" outlineLevel="1"/>
    <row r="316" spans="1:2" hidden="1" outlineLevel="1"/>
    <row r="317" spans="1:2" hidden="1" outlineLevel="1"/>
    <row r="318" spans="1:2" hidden="1" outlineLevel="1"/>
    <row r="319" spans="1:2" collapsed="1"/>
    <row r="320" spans="1:2">
      <c r="A320" s="905">
        <v>24</v>
      </c>
      <c r="B320" s="492" t="s">
        <v>764</v>
      </c>
    </row>
    <row r="321" spans="2:6">
      <c r="B321" s="3">
        <v>7210</v>
      </c>
      <c r="C321" s="219">
        <v>0</v>
      </c>
    </row>
    <row r="322" spans="2:6">
      <c r="B322" s="3">
        <v>5610</v>
      </c>
      <c r="C322" s="219">
        <f>-C321</f>
        <v>0</v>
      </c>
    </row>
    <row r="323" spans="2:6">
      <c r="B323" s="3">
        <v>3130</v>
      </c>
      <c r="D323" s="219">
        <v>0</v>
      </c>
    </row>
    <row r="324" spans="2:6" ht="13.5" thickBot="1">
      <c r="C324" s="103">
        <f>SUM(C321:C323)</f>
        <v>0</v>
      </c>
      <c r="D324" s="103">
        <f>SUM(D323)</f>
        <v>0</v>
      </c>
      <c r="E324" s="103">
        <f>C324+D324</f>
        <v>0</v>
      </c>
      <c r="F324" s="472" t="s">
        <v>755</v>
      </c>
    </row>
    <row r="325" spans="2:6" ht="13.5" thickTop="1"/>
    <row r="328" spans="2:6">
      <c r="B328" s="3" t="s">
        <v>765</v>
      </c>
    </row>
    <row r="329" spans="2:6">
      <c r="B329" s="1046" t="s">
        <v>856</v>
      </c>
      <c r="C329" s="219" t="s">
        <v>766</v>
      </c>
    </row>
    <row r="330" spans="2:6">
      <c r="B330" s="3" t="s">
        <v>767</v>
      </c>
    </row>
  </sheetData>
  <mergeCells count="24">
    <mergeCell ref="B243:B245"/>
    <mergeCell ref="C243:C245"/>
    <mergeCell ref="E243:F243"/>
    <mergeCell ref="G243:H243"/>
    <mergeCell ref="B246:B248"/>
    <mergeCell ref="C246:C248"/>
    <mergeCell ref="E246:F246"/>
    <mergeCell ref="G246:H246"/>
    <mergeCell ref="D289:I289"/>
    <mergeCell ref="A2:D2"/>
    <mergeCell ref="A7:D7"/>
    <mergeCell ref="E242:F242"/>
    <mergeCell ref="G242:H242"/>
    <mergeCell ref="B258:B259"/>
    <mergeCell ref="C258:C259"/>
    <mergeCell ref="E258:F258"/>
    <mergeCell ref="G258:H258"/>
    <mergeCell ref="E255:F255"/>
    <mergeCell ref="G255:H255"/>
    <mergeCell ref="B256:B257"/>
    <mergeCell ref="C256:C257"/>
    <mergeCell ref="E256:F256"/>
    <mergeCell ref="G256:H256"/>
    <mergeCell ref="D271:I271"/>
  </mergeCells>
  <phoneticPr fontId="13" type="noConversion"/>
  <pageMargins left="0.74803149606299213" right="0.74803149606299213" top="0.98425196850393704" bottom="0.98425196850393704" header="0.51181102362204722" footer="0.51181102362204722"/>
  <pageSetup scale="53" fitToHeight="2" orientation="portrait" horizontalDpi="300" verticalDpi="300" r:id="rId1"/>
  <headerFooter alignWithMargins="0"/>
  <rowBreaks count="2" manualBreakCount="2">
    <brk id="36" max="16383" man="1"/>
    <brk id="106" max="5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B1:H90"/>
  <sheetViews>
    <sheetView workbookViewId="0">
      <pane xSplit="3" ySplit="2" topLeftCell="D60" activePane="bottomRight" state="frozen"/>
      <selection pane="topRight" activeCell="C1" sqref="C1"/>
      <selection pane="bottomLeft" activeCell="A3" sqref="A3"/>
      <selection pane="bottomRight" activeCell="E94" sqref="E94"/>
    </sheetView>
  </sheetViews>
  <sheetFormatPr defaultRowHeight="12.75"/>
  <cols>
    <col min="2" max="2" width="10.5703125" customWidth="1"/>
    <col min="3" max="3" width="21.5703125" customWidth="1"/>
    <col min="4" max="5" width="16.42578125" style="255" customWidth="1"/>
    <col min="6" max="6" width="15.42578125" style="255" customWidth="1"/>
    <col min="7" max="7" width="15.5703125" style="255" customWidth="1"/>
    <col min="8" max="8" width="17.42578125" style="255" customWidth="1"/>
    <col min="9" max="9" width="15.28515625" customWidth="1"/>
  </cols>
  <sheetData>
    <row r="1" spans="2:8" ht="13.5" thickBot="1">
      <c r="B1" s="2" t="s">
        <v>775</v>
      </c>
      <c r="D1" s="254"/>
      <c r="E1" s="254"/>
      <c r="F1" s="254"/>
      <c r="G1" s="254"/>
    </row>
    <row r="2" spans="2:8" ht="39.75" customHeight="1" thickBot="1">
      <c r="D2" s="75" t="s">
        <v>232</v>
      </c>
      <c r="E2" s="74" t="s">
        <v>301</v>
      </c>
      <c r="F2" s="74" t="s">
        <v>422</v>
      </c>
      <c r="G2" s="74" t="s">
        <v>55</v>
      </c>
      <c r="H2" s="114" t="s">
        <v>168</v>
      </c>
    </row>
    <row r="3" spans="2:8">
      <c r="B3" s="480" t="s">
        <v>56</v>
      </c>
      <c r="C3" s="176" t="s">
        <v>134</v>
      </c>
      <c r="D3" s="237">
        <f>-D62</f>
        <v>-496515718.44999999</v>
      </c>
      <c r="E3" s="208"/>
      <c r="F3" s="208"/>
      <c r="G3" s="208"/>
      <c r="H3" s="458">
        <f t="shared" ref="H3:H40" si="0">SUM(C3:G3)</f>
        <v>-496515718.44999999</v>
      </c>
    </row>
    <row r="4" spans="2:8">
      <c r="B4" s="480" t="s">
        <v>135</v>
      </c>
      <c r="C4" s="176" t="s">
        <v>136</v>
      </c>
      <c r="D4" s="897"/>
      <c r="E4" s="210"/>
      <c r="F4" s="210"/>
      <c r="G4" s="210"/>
      <c r="H4" s="209">
        <f t="shared" si="0"/>
        <v>0</v>
      </c>
    </row>
    <row r="5" spans="2:8">
      <c r="B5" s="480" t="s">
        <v>137</v>
      </c>
      <c r="C5" s="176" t="s">
        <v>138</v>
      </c>
      <c r="D5" s="584"/>
      <c r="E5" s="210"/>
      <c r="F5" s="210"/>
      <c r="G5" s="210"/>
      <c r="H5" s="209">
        <f t="shared" si="0"/>
        <v>0</v>
      </c>
    </row>
    <row r="6" spans="2:8">
      <c r="B6" s="480" t="s">
        <v>139</v>
      </c>
      <c r="C6" s="176" t="s">
        <v>140</v>
      </c>
      <c r="D6" s="210"/>
      <c r="E6" s="210"/>
      <c r="F6" s="210"/>
      <c r="G6" s="210"/>
      <c r="H6" s="209">
        <f t="shared" si="0"/>
        <v>0</v>
      </c>
    </row>
    <row r="7" spans="2:8">
      <c r="B7" s="480" t="s">
        <v>141</v>
      </c>
      <c r="C7" s="176" t="s">
        <v>142</v>
      </c>
      <c r="D7" s="210"/>
      <c r="E7" s="210"/>
      <c r="F7" s="210"/>
      <c r="G7" s="210"/>
      <c r="H7" s="209">
        <f t="shared" si="0"/>
        <v>0</v>
      </c>
    </row>
    <row r="8" spans="2:8">
      <c r="B8" s="480" t="s">
        <v>143</v>
      </c>
      <c r="C8" s="176" t="s">
        <v>144</v>
      </c>
      <c r="D8" s="210"/>
      <c r="E8" s="210"/>
      <c r="F8" s="210"/>
      <c r="G8" s="210"/>
      <c r="H8" s="209">
        <f t="shared" si="0"/>
        <v>0</v>
      </c>
    </row>
    <row r="9" spans="2:8">
      <c r="B9" s="480" t="s">
        <v>145</v>
      </c>
      <c r="C9" s="176" t="s">
        <v>175</v>
      </c>
      <c r="D9" s="210"/>
      <c r="E9" s="210"/>
      <c r="F9" s="210"/>
      <c r="G9" s="210"/>
      <c r="H9" s="209">
        <f t="shared" si="0"/>
        <v>0</v>
      </c>
    </row>
    <row r="10" spans="2:8">
      <c r="B10" s="480" t="s">
        <v>176</v>
      </c>
      <c r="C10" s="176" t="s">
        <v>177</v>
      </c>
      <c r="D10" s="210"/>
      <c r="E10" s="210"/>
      <c r="F10" s="210"/>
      <c r="G10" s="210"/>
      <c r="H10" s="209">
        <f t="shared" si="0"/>
        <v>0</v>
      </c>
    </row>
    <row r="11" spans="2:8">
      <c r="B11" s="480" t="s">
        <v>103</v>
      </c>
      <c r="C11" s="176" t="s">
        <v>104</v>
      </c>
      <c r="D11" s="210"/>
      <c r="E11" s="210"/>
      <c r="F11" s="210"/>
      <c r="G11" s="210"/>
      <c r="H11" s="209">
        <f t="shared" si="0"/>
        <v>0</v>
      </c>
    </row>
    <row r="12" spans="2:8">
      <c r="B12" s="480" t="s">
        <v>105</v>
      </c>
      <c r="C12" s="176" t="s">
        <v>106</v>
      </c>
      <c r="D12" s="209"/>
      <c r="E12" s="210"/>
      <c r="F12" s="210"/>
      <c r="G12" s="210">
        <v>0</v>
      </c>
      <c r="H12" s="209">
        <f t="shared" si="0"/>
        <v>0</v>
      </c>
    </row>
    <row r="13" spans="2:8">
      <c r="B13" s="480" t="s">
        <v>107</v>
      </c>
      <c r="C13" s="176" t="s">
        <v>116</v>
      </c>
      <c r="D13" s="210"/>
      <c r="E13" s="210"/>
      <c r="F13" s="210"/>
      <c r="G13" s="210"/>
      <c r="H13" s="209">
        <f t="shared" si="0"/>
        <v>0</v>
      </c>
    </row>
    <row r="14" spans="2:8">
      <c r="B14" s="480" t="s">
        <v>117</v>
      </c>
      <c r="C14" s="176" t="s">
        <v>118</v>
      </c>
      <c r="D14" s="210"/>
      <c r="E14" s="210"/>
      <c r="F14" s="210"/>
      <c r="G14" s="210"/>
      <c r="H14" s="209">
        <f t="shared" si="0"/>
        <v>0</v>
      </c>
    </row>
    <row r="15" spans="2:8">
      <c r="B15" s="480" t="s">
        <v>119</v>
      </c>
      <c r="C15" s="176" t="s">
        <v>169</v>
      </c>
      <c r="D15" s="210"/>
      <c r="E15" s="210"/>
      <c r="F15" s="210"/>
      <c r="G15" s="210"/>
      <c r="H15" s="209">
        <f t="shared" si="0"/>
        <v>0</v>
      </c>
    </row>
    <row r="16" spans="2:8">
      <c r="B16" s="480" t="s">
        <v>170</v>
      </c>
      <c r="C16" s="176" t="s">
        <v>216</v>
      </c>
      <c r="D16" s="210"/>
      <c r="E16" s="210"/>
      <c r="F16" s="210"/>
      <c r="G16" s="210"/>
      <c r="H16" s="209">
        <f t="shared" si="0"/>
        <v>0</v>
      </c>
    </row>
    <row r="17" spans="2:8">
      <c r="B17" s="480" t="s">
        <v>217</v>
      </c>
      <c r="C17" s="176" t="s">
        <v>218</v>
      </c>
      <c r="D17" s="210"/>
      <c r="E17" s="210"/>
      <c r="F17" s="210"/>
      <c r="G17" s="210"/>
      <c r="H17" s="209">
        <f t="shared" si="0"/>
        <v>0</v>
      </c>
    </row>
    <row r="18" spans="2:8" s="14" customFormat="1">
      <c r="B18" s="481"/>
      <c r="C18" s="76" t="s">
        <v>115</v>
      </c>
      <c r="D18" s="256"/>
      <c r="E18" s="256"/>
      <c r="F18" s="256"/>
      <c r="G18" s="256"/>
      <c r="H18" s="209">
        <f t="shared" si="0"/>
        <v>0</v>
      </c>
    </row>
    <row r="19" spans="2:8" s="14" customFormat="1">
      <c r="B19" s="481"/>
      <c r="C19" s="76" t="s">
        <v>81</v>
      </c>
      <c r="D19" s="237">
        <f>-D70</f>
        <v>-8911829.8399999999</v>
      </c>
      <c r="E19" s="490">
        <v>0</v>
      </c>
      <c r="F19" s="210">
        <f>F88</f>
        <v>33342.870000000003</v>
      </c>
      <c r="G19" s="210">
        <f>-F84-F83</f>
        <v>-33788748.189999998</v>
      </c>
      <c r="H19" s="209">
        <f>SUM(C19:G19)</f>
        <v>-42667235.159999996</v>
      </c>
    </row>
    <row r="20" spans="2:8" s="14" customFormat="1">
      <c r="B20" s="481"/>
      <c r="C20" s="76"/>
      <c r="D20" s="256"/>
      <c r="E20" s="256"/>
      <c r="F20" s="256"/>
      <c r="G20" s="256"/>
      <c r="H20" s="209">
        <f t="shared" si="0"/>
        <v>0</v>
      </c>
    </row>
    <row r="21" spans="2:8">
      <c r="B21" s="480" t="s">
        <v>82</v>
      </c>
      <c r="C21" s="176" t="s">
        <v>17</v>
      </c>
      <c r="D21" s="210">
        <f>-D3-D4-D19-D12</f>
        <v>505427548.28999996</v>
      </c>
      <c r="E21" s="210"/>
      <c r="F21" s="210"/>
      <c r="G21" s="210"/>
      <c r="H21" s="458">
        <f>SUM(C21:G21)</f>
        <v>505427548.28999996</v>
      </c>
    </row>
    <row r="22" spans="2:8">
      <c r="B22" s="480" t="s">
        <v>18</v>
      </c>
      <c r="C22" s="176" t="s">
        <v>19</v>
      </c>
      <c r="D22" s="584"/>
      <c r="E22" s="210">
        <f>-E19-E39</f>
        <v>0</v>
      </c>
      <c r="F22" s="210"/>
      <c r="G22" s="210"/>
      <c r="H22" s="209">
        <f t="shared" si="0"/>
        <v>0</v>
      </c>
    </row>
    <row r="23" spans="2:8">
      <c r="B23" s="480" t="s">
        <v>20</v>
      </c>
      <c r="C23" s="176" t="s">
        <v>21</v>
      </c>
      <c r="D23" s="210"/>
      <c r="E23" s="210"/>
      <c r="F23" s="210">
        <f>-F19</f>
        <v>-33342.870000000003</v>
      </c>
      <c r="G23" s="210">
        <f>F90+F89</f>
        <v>33795519.619999997</v>
      </c>
      <c r="H23" s="209">
        <f>SUM(C23:G23)</f>
        <v>33762176.75</v>
      </c>
    </row>
    <row r="24" spans="2:8" ht="24">
      <c r="B24" s="480">
        <v>7200</v>
      </c>
      <c r="C24" s="176" t="s">
        <v>435</v>
      </c>
      <c r="D24" s="584"/>
      <c r="E24" s="210"/>
      <c r="F24" s="210"/>
      <c r="G24" s="210"/>
      <c r="H24" s="209">
        <f>SUM(C24:G24)</f>
        <v>0</v>
      </c>
    </row>
    <row r="25" spans="2:8">
      <c r="B25" s="480" t="s">
        <v>22</v>
      </c>
      <c r="C25" s="176" t="s">
        <v>23</v>
      </c>
      <c r="D25" s="210"/>
      <c r="E25" s="210"/>
      <c r="F25" s="210"/>
      <c r="G25" s="210"/>
      <c r="H25" s="209">
        <f t="shared" si="0"/>
        <v>0</v>
      </c>
    </row>
    <row r="26" spans="2:8">
      <c r="B26" s="480" t="s">
        <v>209</v>
      </c>
      <c r="C26" s="176" t="s">
        <v>210</v>
      </c>
      <c r="D26" s="210"/>
      <c r="E26" s="210"/>
      <c r="F26" s="210"/>
      <c r="G26" s="210"/>
      <c r="H26" s="209">
        <f t="shared" si="0"/>
        <v>0</v>
      </c>
    </row>
    <row r="27" spans="2:8">
      <c r="B27" s="480" t="s">
        <v>211</v>
      </c>
      <c r="C27" s="176" t="s">
        <v>212</v>
      </c>
      <c r="D27" s="210"/>
      <c r="E27" s="210"/>
      <c r="F27" s="210"/>
      <c r="G27" s="210"/>
      <c r="H27" s="209">
        <f t="shared" si="0"/>
        <v>0</v>
      </c>
    </row>
    <row r="28" spans="2:8">
      <c r="B28" s="480" t="s">
        <v>213</v>
      </c>
      <c r="C28" s="176" t="s">
        <v>214</v>
      </c>
      <c r="D28" s="210"/>
      <c r="E28" s="210"/>
      <c r="F28" s="210"/>
      <c r="G28" s="210"/>
      <c r="H28" s="209">
        <f t="shared" si="0"/>
        <v>0</v>
      </c>
    </row>
    <row r="29" spans="2:8">
      <c r="B29" s="480" t="s">
        <v>215</v>
      </c>
      <c r="C29" s="176" t="s">
        <v>32</v>
      </c>
      <c r="D29" s="210"/>
      <c r="E29" s="210"/>
      <c r="F29" s="210">
        <f>-F8</f>
        <v>0</v>
      </c>
      <c r="G29" s="210"/>
      <c r="H29" s="209">
        <f t="shared" si="0"/>
        <v>0</v>
      </c>
    </row>
    <row r="30" spans="2:8">
      <c r="B30" s="480" t="s">
        <v>33</v>
      </c>
      <c r="C30" s="176" t="s">
        <v>34</v>
      </c>
      <c r="D30" s="210"/>
      <c r="E30" s="210"/>
      <c r="F30" s="210"/>
      <c r="G30" s="210"/>
      <c r="H30" s="209">
        <f t="shared" si="0"/>
        <v>0</v>
      </c>
    </row>
    <row r="31" spans="2:8">
      <c r="B31" s="480" t="s">
        <v>35</v>
      </c>
      <c r="C31" s="176" t="s">
        <v>36</v>
      </c>
      <c r="D31" s="210"/>
      <c r="E31" s="210"/>
      <c r="F31" s="210"/>
      <c r="G31" s="210"/>
      <c r="H31" s="209">
        <f t="shared" si="0"/>
        <v>0</v>
      </c>
    </row>
    <row r="32" spans="2:8">
      <c r="B32" s="480" t="s">
        <v>37</v>
      </c>
      <c r="C32" s="176" t="s">
        <v>38</v>
      </c>
      <c r="D32" s="210"/>
      <c r="E32" s="210"/>
      <c r="F32" s="908">
        <f>-F13</f>
        <v>0</v>
      </c>
      <c r="G32" s="210">
        <v>0</v>
      </c>
      <c r="H32" s="209">
        <f t="shared" si="0"/>
        <v>0</v>
      </c>
    </row>
    <row r="33" spans="2:8">
      <c r="B33" s="480" t="s">
        <v>39</v>
      </c>
      <c r="C33" s="176" t="s">
        <v>40</v>
      </c>
      <c r="D33" s="210"/>
      <c r="E33" s="210"/>
      <c r="F33" s="210"/>
      <c r="G33" s="210"/>
      <c r="H33" s="209">
        <f t="shared" si="0"/>
        <v>0</v>
      </c>
    </row>
    <row r="34" spans="2:8" ht="24">
      <c r="B34" s="480" t="s">
        <v>41</v>
      </c>
      <c r="C34" s="176" t="s">
        <v>198</v>
      </c>
      <c r="D34" s="210"/>
      <c r="E34" s="210"/>
      <c r="F34" s="210"/>
      <c r="G34" s="210"/>
      <c r="H34" s="209">
        <f t="shared" si="0"/>
        <v>0</v>
      </c>
    </row>
    <row r="35" spans="2:8" ht="24">
      <c r="B35" s="480" t="s">
        <v>199</v>
      </c>
      <c r="C35" s="176" t="s">
        <v>200</v>
      </c>
      <c r="D35" s="210"/>
      <c r="E35" s="210"/>
      <c r="F35" s="210"/>
      <c r="G35" s="210"/>
      <c r="H35" s="209">
        <f t="shared" si="0"/>
        <v>0</v>
      </c>
    </row>
    <row r="36" spans="2:8" ht="24">
      <c r="B36" s="480" t="s">
        <v>201</v>
      </c>
      <c r="C36" s="176" t="s">
        <v>202</v>
      </c>
      <c r="D36" s="210"/>
      <c r="E36" s="210"/>
      <c r="F36" s="210"/>
      <c r="G36" s="210"/>
      <c r="H36" s="209">
        <f t="shared" si="0"/>
        <v>0</v>
      </c>
    </row>
    <row r="37" spans="2:8">
      <c r="B37" s="480" t="s">
        <v>203</v>
      </c>
      <c r="C37" s="176" t="s">
        <v>204</v>
      </c>
      <c r="D37" s="210"/>
      <c r="E37" s="210"/>
      <c r="F37" s="210"/>
      <c r="G37" s="210"/>
      <c r="H37" s="209">
        <f t="shared" si="0"/>
        <v>0</v>
      </c>
    </row>
    <row r="38" spans="2:8" s="14" customFormat="1">
      <c r="B38" s="481"/>
      <c r="C38" s="76" t="s">
        <v>115</v>
      </c>
      <c r="D38" s="256">
        <f>-D18</f>
        <v>0</v>
      </c>
      <c r="E38" s="256"/>
      <c r="F38" s="256"/>
      <c r="G38" s="256"/>
      <c r="H38" s="209">
        <f t="shared" si="0"/>
        <v>0</v>
      </c>
    </row>
    <row r="39" spans="2:8" s="14" customFormat="1">
      <c r="B39" s="481"/>
      <c r="C39" s="76" t="s">
        <v>81</v>
      </c>
      <c r="D39" s="256"/>
      <c r="E39" s="256"/>
      <c r="F39" s="256"/>
      <c r="G39" s="256">
        <f>-G19-G23-G24</f>
        <v>-6771.429999999702</v>
      </c>
      <c r="H39" s="209">
        <f t="shared" si="0"/>
        <v>-6771.429999999702</v>
      </c>
    </row>
    <row r="40" spans="2:8" ht="13.5" thickBot="1">
      <c r="B40" s="480"/>
      <c r="C40" s="176" t="s">
        <v>204</v>
      </c>
      <c r="D40" s="211"/>
      <c r="E40" s="211"/>
      <c r="F40" s="211"/>
      <c r="G40" s="211"/>
      <c r="H40" s="257">
        <f t="shared" si="0"/>
        <v>0</v>
      </c>
    </row>
    <row r="41" spans="2:8" s="4" customFormat="1" ht="20.25" customHeight="1" thickBot="1">
      <c r="B41" s="1599" t="s">
        <v>152</v>
      </c>
      <c r="C41" s="1600"/>
      <c r="D41" s="77">
        <f>SUM(D3:D40)</f>
        <v>0</v>
      </c>
      <c r="E41" s="77">
        <f>SUM(E3:E40)</f>
        <v>0</v>
      </c>
      <c r="F41" s="77">
        <f>SUM(F3:F40)</f>
        <v>0</v>
      </c>
      <c r="G41" s="77">
        <f>SUM(G3:G40)</f>
        <v>0</v>
      </c>
      <c r="H41" s="258">
        <f>SUM(C41:G41)</f>
        <v>0</v>
      </c>
    </row>
    <row r="44" spans="2:8" ht="45">
      <c r="B44" s="1100" t="s">
        <v>959</v>
      </c>
      <c r="C44" s="1101"/>
      <c r="D44" s="1101"/>
      <c r="E44" s="1101"/>
    </row>
    <row r="45" spans="2:8" ht="36">
      <c r="B45" s="1102" t="s">
        <v>769</v>
      </c>
      <c r="C45" s="1101"/>
      <c r="D45" s="1101"/>
      <c r="E45" s="1101"/>
    </row>
    <row r="46" spans="2:8">
      <c r="B46" s="1601" t="s">
        <v>960</v>
      </c>
      <c r="C46" s="1601"/>
      <c r="D46" s="1601"/>
      <c r="E46" s="1601"/>
    </row>
    <row r="47" spans="2:8">
      <c r="B47" s="1601" t="s">
        <v>123</v>
      </c>
      <c r="C47" s="1601"/>
      <c r="D47" s="1601"/>
      <c r="E47" s="1601"/>
    </row>
    <row r="48" spans="2:8">
      <c r="B48" s="1602" t="s">
        <v>961</v>
      </c>
      <c r="C48" s="1602"/>
      <c r="D48" s="1602"/>
      <c r="E48" s="1602"/>
    </row>
    <row r="49" spans="2:5" ht="13.5" thickBot="1">
      <c r="B49" s="1101"/>
      <c r="C49" s="1101"/>
      <c r="D49" s="1101"/>
      <c r="E49" s="1101"/>
    </row>
    <row r="50" spans="2:5">
      <c r="B50" s="1103" t="s">
        <v>124</v>
      </c>
      <c r="C50" s="1104" t="s">
        <v>148</v>
      </c>
      <c r="D50" s="1104" t="s">
        <v>149</v>
      </c>
      <c r="E50" s="1105" t="s">
        <v>150</v>
      </c>
    </row>
    <row r="51" spans="2:5" ht="13.5" thickBot="1">
      <c r="B51" s="1106"/>
      <c r="C51" s="1107"/>
      <c r="D51" s="1107"/>
      <c r="E51" s="1108"/>
    </row>
    <row r="52" spans="2:5" ht="13.5" thickBot="1">
      <c r="B52" s="1109"/>
      <c r="C52" s="1110" t="s">
        <v>151</v>
      </c>
      <c r="D52" s="1111">
        <v>1439752667.3</v>
      </c>
      <c r="E52" s="1112"/>
    </row>
    <row r="53" spans="2:5" ht="48">
      <c r="B53" s="1113" t="s">
        <v>428</v>
      </c>
      <c r="C53" s="1114" t="s">
        <v>151</v>
      </c>
      <c r="D53" s="1115">
        <v>1439752667.3</v>
      </c>
      <c r="E53" s="1116"/>
    </row>
    <row r="54" spans="2:5">
      <c r="B54" s="1117"/>
      <c r="C54" s="1118">
        <v>1000</v>
      </c>
      <c r="D54" s="1119"/>
      <c r="E54" s="1120">
        <v>675807487.05999994</v>
      </c>
    </row>
    <row r="55" spans="2:5">
      <c r="B55" s="1117"/>
      <c r="C55" s="1118">
        <v>1030</v>
      </c>
      <c r="D55" s="1119"/>
      <c r="E55" s="1120">
        <v>675807487.05999994</v>
      </c>
    </row>
    <row r="56" spans="2:5">
      <c r="B56" s="1117"/>
      <c r="C56" s="1118">
        <v>1032</v>
      </c>
      <c r="D56" s="1119"/>
      <c r="E56" s="1120">
        <v>675807487.05999994</v>
      </c>
    </row>
    <row r="57" spans="2:5">
      <c r="B57" s="1117"/>
      <c r="C57" s="1118">
        <v>1400</v>
      </c>
      <c r="D57" s="1119"/>
      <c r="E57" s="1120">
        <v>5279296.3499999996</v>
      </c>
    </row>
    <row r="58" spans="2:5">
      <c r="B58" s="1117"/>
      <c r="C58" s="1121" t="s">
        <v>653</v>
      </c>
      <c r="D58" s="1119"/>
      <c r="E58" s="1120">
        <v>5279296.3499999996</v>
      </c>
    </row>
    <row r="59" spans="2:5">
      <c r="B59" s="1117"/>
      <c r="C59" s="1118">
        <v>3300</v>
      </c>
      <c r="D59" s="1119"/>
      <c r="E59" s="1120">
        <v>352389.09</v>
      </c>
    </row>
    <row r="60" spans="2:5">
      <c r="B60" s="1117"/>
      <c r="C60" s="1118">
        <v>3310</v>
      </c>
      <c r="D60" s="1119"/>
      <c r="E60" s="1120">
        <v>352389.09</v>
      </c>
    </row>
    <row r="61" spans="2:5">
      <c r="B61" s="1117"/>
      <c r="C61" s="1121" t="s">
        <v>12</v>
      </c>
      <c r="D61" s="1119"/>
      <c r="E61" s="1120">
        <v>352389.09</v>
      </c>
    </row>
    <row r="62" spans="2:5">
      <c r="B62" s="1117"/>
      <c r="C62" s="1118">
        <v>6000</v>
      </c>
      <c r="D62" s="584">
        <v>496515718.44999999</v>
      </c>
      <c r="E62" s="1122"/>
    </row>
    <row r="63" spans="2:5">
      <c r="B63" s="1117"/>
      <c r="C63" s="1118">
        <v>6010</v>
      </c>
      <c r="D63" s="584">
        <v>939052812.88</v>
      </c>
      <c r="E63" s="1122"/>
    </row>
    <row r="64" spans="2:5">
      <c r="B64" s="1117"/>
      <c r="C64" s="1118">
        <v>6030</v>
      </c>
      <c r="D64" s="584">
        <v>-442537094.43000001</v>
      </c>
      <c r="E64" s="1122"/>
    </row>
    <row r="65" spans="2:5">
      <c r="B65" s="1117"/>
      <c r="C65" s="1118">
        <v>6032</v>
      </c>
      <c r="D65" s="584">
        <v>-442537094.43000001</v>
      </c>
      <c r="E65" s="1122"/>
    </row>
    <row r="66" spans="2:5">
      <c r="B66" s="1117"/>
      <c r="C66" s="1118">
        <v>6200</v>
      </c>
      <c r="D66" s="584">
        <v>419568458.75</v>
      </c>
      <c r="E66" s="1122"/>
    </row>
    <row r="67" spans="2:5">
      <c r="B67" s="1117"/>
      <c r="C67" s="1118">
        <v>6250</v>
      </c>
      <c r="D67" s="584">
        <v>410656628.91000003</v>
      </c>
      <c r="E67" s="1122"/>
    </row>
    <row r="68" spans="2:5">
      <c r="B68" s="1117"/>
      <c r="C68" s="1121" t="s">
        <v>678</v>
      </c>
      <c r="D68" s="584">
        <v>410656628.91000003</v>
      </c>
      <c r="E68" s="1122"/>
    </row>
    <row r="69" spans="2:5">
      <c r="B69" s="1117"/>
      <c r="C69" s="1118">
        <v>6280</v>
      </c>
      <c r="D69" s="584">
        <v>8911829.8399999999</v>
      </c>
      <c r="E69" s="1122"/>
    </row>
    <row r="70" spans="2:5">
      <c r="B70" s="1117"/>
      <c r="C70" s="1121" t="s">
        <v>680</v>
      </c>
      <c r="D70" s="584">
        <v>8911829.8399999999</v>
      </c>
      <c r="E70" s="1122"/>
    </row>
    <row r="71" spans="2:5">
      <c r="B71" s="1117"/>
      <c r="C71" s="1118">
        <v>7100</v>
      </c>
      <c r="D71" s="1119"/>
      <c r="E71" s="1120">
        <v>13337.49</v>
      </c>
    </row>
    <row r="72" spans="2:5">
      <c r="B72" s="1117"/>
      <c r="C72" s="1118">
        <v>7110</v>
      </c>
      <c r="D72" s="1119"/>
      <c r="E72" s="1120">
        <v>13337.49</v>
      </c>
    </row>
    <row r="73" spans="2:5">
      <c r="B73" s="1117"/>
      <c r="C73" s="1118">
        <v>7400</v>
      </c>
      <c r="D73" s="1119"/>
      <c r="E73" s="1120">
        <v>394302182.07999998</v>
      </c>
    </row>
    <row r="74" spans="2:5">
      <c r="B74" s="1117"/>
      <c r="C74" s="1118">
        <v>7430</v>
      </c>
      <c r="D74" s="1119"/>
      <c r="E74" s="1120">
        <v>394302182.07999998</v>
      </c>
    </row>
    <row r="75" spans="2:5">
      <c r="B75" s="1117"/>
      <c r="C75" s="1121" t="s">
        <v>692</v>
      </c>
      <c r="D75" s="1119"/>
      <c r="E75" s="1120">
        <v>394302182.07999998</v>
      </c>
    </row>
    <row r="76" spans="2:5">
      <c r="B76" s="1123"/>
      <c r="C76" s="1124" t="s">
        <v>152</v>
      </c>
      <c r="D76" s="1125">
        <v>916084177.20000005</v>
      </c>
      <c r="E76" s="1126">
        <v>1075754692.0699999</v>
      </c>
    </row>
    <row r="77" spans="2:5" ht="13.5" thickBot="1">
      <c r="B77" s="1113"/>
      <c r="C77" s="1114" t="s">
        <v>153</v>
      </c>
      <c r="D77" s="1115">
        <v>1280082152.4300001</v>
      </c>
      <c r="E77" s="1116"/>
    </row>
    <row r="78" spans="2:5">
      <c r="B78" s="1127" t="s">
        <v>171</v>
      </c>
      <c r="C78" s="1128" t="s">
        <v>152</v>
      </c>
      <c r="D78" s="1129">
        <v>916084177.20000005</v>
      </c>
      <c r="E78" s="1130">
        <v>1075754692.0699999</v>
      </c>
    </row>
    <row r="79" spans="2:5" ht="13.5" thickBot="1">
      <c r="B79" s="1131"/>
      <c r="C79" s="1132" t="s">
        <v>153</v>
      </c>
      <c r="D79" s="1133">
        <v>1280082152.4300001</v>
      </c>
      <c r="E79" s="1134"/>
    </row>
    <row r="80" spans="2:5">
      <c r="B80" s="1101"/>
      <c r="C80" s="1101"/>
      <c r="D80" s="1101"/>
      <c r="E80" s="1101"/>
    </row>
    <row r="82" spans="3:7">
      <c r="C82" s="1135" t="s">
        <v>962</v>
      </c>
      <c r="D82" s="1135" t="s">
        <v>963</v>
      </c>
      <c r="E82" s="1135" t="s">
        <v>964</v>
      </c>
      <c r="F82" s="1135" t="s">
        <v>597</v>
      </c>
      <c r="G82" s="1135" t="s">
        <v>965</v>
      </c>
    </row>
    <row r="83" spans="3:7">
      <c r="C83" s="1136" t="s">
        <v>802</v>
      </c>
      <c r="D83" s="1136" t="s">
        <v>966</v>
      </c>
      <c r="E83" s="1136" t="s">
        <v>967</v>
      </c>
      <c r="F83" s="1137">
        <v>56428.57</v>
      </c>
      <c r="G83" s="1138"/>
    </row>
    <row r="84" spans="3:7">
      <c r="C84" s="1136" t="s">
        <v>815</v>
      </c>
      <c r="D84" s="1136" t="s">
        <v>967</v>
      </c>
      <c r="E84" s="1136" t="s">
        <v>966</v>
      </c>
      <c r="F84" s="1137">
        <v>33732319.619999997</v>
      </c>
      <c r="G84" s="1138"/>
    </row>
    <row r="85" spans="3:7">
      <c r="C85" s="1136" t="s">
        <v>968</v>
      </c>
      <c r="D85" s="1136" t="s">
        <v>967</v>
      </c>
      <c r="E85" s="1136" t="s">
        <v>966</v>
      </c>
      <c r="F85" s="1139">
        <v>1501280071</v>
      </c>
      <c r="G85" s="1138"/>
    </row>
    <row r="86" spans="3:7">
      <c r="C86" s="1136" t="s">
        <v>969</v>
      </c>
      <c r="D86" s="1136" t="s">
        <v>967</v>
      </c>
      <c r="E86" s="1136" t="s">
        <v>966</v>
      </c>
      <c r="F86" s="1137">
        <v>22228.58</v>
      </c>
      <c r="G86" s="1138"/>
    </row>
    <row r="87" spans="3:7">
      <c r="C87" s="1136" t="s">
        <v>969</v>
      </c>
      <c r="D87" s="1136" t="s">
        <v>967</v>
      </c>
      <c r="E87" s="1136" t="s">
        <v>966</v>
      </c>
      <c r="F87" s="1137">
        <v>11114.29</v>
      </c>
      <c r="G87" s="1138"/>
    </row>
    <row r="88" spans="3:7">
      <c r="C88" s="1136" t="s">
        <v>792</v>
      </c>
      <c r="D88" s="1136" t="s">
        <v>966</v>
      </c>
      <c r="E88" s="1136" t="s">
        <v>967</v>
      </c>
      <c r="F88" s="1137">
        <v>33342.870000000003</v>
      </c>
      <c r="G88" s="1138"/>
    </row>
    <row r="89" spans="3:7">
      <c r="C89" s="1136" t="s">
        <v>845</v>
      </c>
      <c r="D89" s="1136" t="s">
        <v>966</v>
      </c>
      <c r="E89" s="1136" t="s">
        <v>967</v>
      </c>
      <c r="F89" s="1139">
        <v>63200</v>
      </c>
      <c r="G89" s="1138"/>
    </row>
    <row r="90" spans="3:7">
      <c r="C90" s="1136" t="s">
        <v>970</v>
      </c>
      <c r="D90" s="1136" t="s">
        <v>966</v>
      </c>
      <c r="E90" s="1136" t="s">
        <v>967</v>
      </c>
      <c r="F90" s="1137">
        <v>33732319.619999997</v>
      </c>
      <c r="G90" s="1138"/>
    </row>
  </sheetData>
  <mergeCells count="4">
    <mergeCell ref="B41:C41"/>
    <mergeCell ref="B46:E46"/>
    <mergeCell ref="B47:E47"/>
    <mergeCell ref="B48:E48"/>
  </mergeCells>
  <phoneticPr fontId="13" type="noConversion"/>
  <pageMargins left="0.75" right="0.75" top="1" bottom="1" header="0.5" footer="0.5"/>
  <pageSetup paperSize="9" scale="76" orientation="landscape" r:id="rId1"/>
  <headerFooter alignWithMargins="0"/>
  <colBreaks count="1" manualBreakCount="1">
    <brk id="9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161"/>
  <sheetViews>
    <sheetView topLeftCell="A94" workbookViewId="0">
      <selection activeCell="E123" sqref="E123"/>
    </sheetView>
  </sheetViews>
  <sheetFormatPr defaultRowHeight="12.75" outlineLevelRow="3"/>
  <cols>
    <col min="1" max="1" width="3.140625" style="512" customWidth="1"/>
    <col min="2" max="2" width="27.140625" style="13" customWidth="1"/>
    <col min="3" max="3" width="16.28515625" style="13" customWidth="1"/>
    <col min="4" max="4" width="17.7109375" style="13" bestFit="1" customWidth="1"/>
    <col min="5" max="5" width="20.28515625" style="13" customWidth="1"/>
    <col min="6" max="6" width="19.140625" style="13" customWidth="1"/>
    <col min="7" max="7" width="16.85546875" style="13" customWidth="1"/>
    <col min="8" max="8" width="19.85546875" style="13" customWidth="1"/>
    <col min="9" max="9" width="9.28515625" customWidth="1"/>
    <col min="10" max="10" width="6.7109375" customWidth="1"/>
    <col min="11" max="11" width="11.42578125" customWidth="1"/>
  </cols>
  <sheetData>
    <row r="1" spans="1:8" ht="36.200000000000003" customHeight="1">
      <c r="A1" s="510"/>
      <c r="B1" s="1582" t="s">
        <v>430</v>
      </c>
      <c r="C1" s="1582"/>
      <c r="D1" s="1582"/>
      <c r="E1" s="1582"/>
      <c r="F1" s="1582"/>
      <c r="G1" s="1582"/>
      <c r="H1" s="13" t="s">
        <v>72</v>
      </c>
    </row>
    <row r="2" spans="1:8" ht="15">
      <c r="A2" s="510"/>
      <c r="B2" s="195" t="s">
        <v>92</v>
      </c>
    </row>
    <row r="3" spans="1:8">
      <c r="A3" s="511"/>
      <c r="B3" s="910" t="s">
        <v>774</v>
      </c>
    </row>
    <row r="4" spans="1:8">
      <c r="A4" s="491"/>
      <c r="B4" s="1603" t="s">
        <v>25</v>
      </c>
      <c r="C4" s="1603"/>
      <c r="D4" s="1603"/>
      <c r="E4" s="1603"/>
      <c r="F4" s="1603"/>
      <c r="G4" s="1603"/>
      <c r="H4" s="1603"/>
    </row>
    <row r="5" spans="1:8">
      <c r="A5" s="491"/>
      <c r="B5" s="1603" t="s">
        <v>49</v>
      </c>
      <c r="C5" s="1603"/>
      <c r="D5" s="1603"/>
      <c r="E5" s="1603"/>
      <c r="F5" s="1603"/>
      <c r="G5" s="1603"/>
      <c r="H5" s="1603"/>
    </row>
    <row r="6" spans="1:8">
      <c r="A6" s="491"/>
      <c r="B6" s="1603" t="s">
        <v>431</v>
      </c>
      <c r="C6" s="1603"/>
      <c r="D6" s="1603"/>
      <c r="E6" s="1603"/>
      <c r="F6" s="1603"/>
      <c r="G6" s="1603"/>
      <c r="H6" s="1603"/>
    </row>
    <row r="7" spans="1:8" s="13" customFormat="1" ht="28.5" customHeight="1" thickBot="1">
      <c r="A7" s="512"/>
    </row>
    <row r="8" spans="1:8">
      <c r="A8" s="13"/>
      <c r="B8" s="17" t="s">
        <v>188</v>
      </c>
      <c r="C8" s="1604" t="s">
        <v>154</v>
      </c>
      <c r="D8" s="1604"/>
      <c r="E8" s="1604" t="s">
        <v>155</v>
      </c>
      <c r="F8" s="1604"/>
      <c r="G8" s="1605" t="s">
        <v>156</v>
      </c>
      <c r="H8" s="1605"/>
    </row>
    <row r="9" spans="1:8" ht="13.5" thickBot="1">
      <c r="A9" s="13"/>
      <c r="B9" s="20"/>
      <c r="C9" s="42" t="s">
        <v>189</v>
      </c>
      <c r="D9" s="42" t="s">
        <v>190</v>
      </c>
      <c r="E9" s="42" t="s">
        <v>189</v>
      </c>
      <c r="F9" s="43" t="s">
        <v>190</v>
      </c>
      <c r="G9" s="42" t="s">
        <v>189</v>
      </c>
      <c r="H9" s="44" t="s">
        <v>190</v>
      </c>
    </row>
    <row r="10" spans="1:8" ht="12.6" customHeight="1">
      <c r="A10"/>
      <c r="B10" s="45" t="s">
        <v>351</v>
      </c>
      <c r="C10" s="46"/>
      <c r="D10" s="46"/>
      <c r="E10" s="46"/>
      <c r="F10" s="46"/>
      <c r="G10" s="46"/>
      <c r="H10" s="47"/>
    </row>
    <row r="11" spans="1:8" ht="12.6" customHeight="1" outlineLevel="1">
      <c r="A11"/>
      <c r="B11" s="1047">
        <v>1200</v>
      </c>
      <c r="C11" s="1048">
        <v>5243664614.4900007</v>
      </c>
      <c r="D11" s="1049"/>
      <c r="E11" s="1048">
        <v>69218156.530000001</v>
      </c>
      <c r="F11" s="1048">
        <v>65730705.32</v>
      </c>
      <c r="G11" s="1048">
        <v>5247152065.6999998</v>
      </c>
      <c r="H11" s="48"/>
    </row>
    <row r="12" spans="1:8" ht="12.6" customHeight="1" outlineLevel="2">
      <c r="A12"/>
      <c r="B12" s="1047">
        <v>1220</v>
      </c>
      <c r="C12" s="1048">
        <v>5211028907.96</v>
      </c>
      <c r="D12" s="1049"/>
      <c r="E12" s="1048">
        <v>69218156.530000001</v>
      </c>
      <c r="F12" s="1048">
        <v>65730705.32</v>
      </c>
      <c r="G12" s="1048">
        <v>5214516359.170001</v>
      </c>
      <c r="H12" s="48"/>
    </row>
    <row r="13" spans="1:8" ht="12.6" customHeight="1" outlineLevel="2">
      <c r="A13"/>
      <c r="B13" s="1047">
        <v>1280</v>
      </c>
      <c r="C13" s="1048">
        <v>32635706.530000001</v>
      </c>
      <c r="D13" s="1049"/>
      <c r="E13" s="1049"/>
      <c r="F13" s="1049"/>
      <c r="G13" s="1048">
        <v>32635706.530000001</v>
      </c>
      <c r="H13" s="48"/>
    </row>
    <row r="14" spans="1:8" ht="12.6" customHeight="1" outlineLevel="3">
      <c r="A14"/>
      <c r="B14" s="1051" t="s">
        <v>250</v>
      </c>
      <c r="C14" s="1048">
        <v>32635706.530000001</v>
      </c>
      <c r="D14" s="1049"/>
      <c r="E14" s="1049"/>
      <c r="F14" s="1049"/>
      <c r="G14" s="1048">
        <v>32635706.530000001</v>
      </c>
      <c r="H14" s="48"/>
    </row>
    <row r="15" spans="1:8" ht="12.6" customHeight="1" outlineLevel="1">
      <c r="A15"/>
      <c r="B15" s="1047">
        <v>3000</v>
      </c>
      <c r="C15" s="1049"/>
      <c r="D15" s="1048">
        <v>490125000</v>
      </c>
      <c r="E15" s="1048">
        <v>1501280071</v>
      </c>
      <c r="F15" s="1048">
        <v>1501280071</v>
      </c>
      <c r="G15" s="1049"/>
      <c r="H15" s="1052">
        <v>490125000</v>
      </c>
    </row>
    <row r="16" spans="1:8" ht="12.6" customHeight="1" outlineLevel="2">
      <c r="A16"/>
      <c r="B16" s="1047">
        <v>3030</v>
      </c>
      <c r="C16" s="1049"/>
      <c r="D16" s="1048">
        <v>490125000</v>
      </c>
      <c r="E16" s="1048">
        <v>1501280071</v>
      </c>
      <c r="F16" s="1048">
        <v>1501280071</v>
      </c>
      <c r="G16" s="1049"/>
      <c r="H16" s="1052">
        <v>490125000</v>
      </c>
    </row>
    <row r="17" spans="1:8" ht="12.6" customHeight="1" outlineLevel="3">
      <c r="A17"/>
      <c r="B17" s="1047">
        <v>3031</v>
      </c>
      <c r="C17" s="1049"/>
      <c r="D17" s="1048">
        <v>490125000</v>
      </c>
      <c r="E17" s="1048">
        <v>1501280071</v>
      </c>
      <c r="F17" s="1048">
        <v>1501280071</v>
      </c>
      <c r="G17" s="1049"/>
      <c r="H17" s="1052">
        <v>490125000</v>
      </c>
    </row>
    <row r="18" spans="1:8" ht="12.6" customHeight="1" outlineLevel="1">
      <c r="A18"/>
      <c r="B18" s="1047">
        <v>3300</v>
      </c>
      <c r="C18" s="1049"/>
      <c r="D18" s="1048">
        <v>2513104875.0700002</v>
      </c>
      <c r="E18" s="1048">
        <v>217455726.33000001</v>
      </c>
      <c r="F18" s="1048">
        <v>121548607.98</v>
      </c>
      <c r="G18" s="1049"/>
      <c r="H18" s="1052">
        <v>2417197756.7199998</v>
      </c>
    </row>
    <row r="19" spans="1:8" ht="12.6" customHeight="1" outlineLevel="2">
      <c r="A19"/>
      <c r="B19" s="1047">
        <v>3320</v>
      </c>
      <c r="C19" s="1049"/>
      <c r="D19" s="1048">
        <v>213889751.61000001</v>
      </c>
      <c r="E19" s="1048">
        <v>217455726.33000001</v>
      </c>
      <c r="F19" s="1048">
        <v>121548607.98</v>
      </c>
      <c r="G19" s="1049"/>
      <c r="H19" s="1052">
        <v>117982633.26000001</v>
      </c>
    </row>
    <row r="20" spans="1:8" ht="12.6" customHeight="1" outlineLevel="2">
      <c r="A20"/>
      <c r="B20" s="1047">
        <v>3390</v>
      </c>
      <c r="C20" s="1049"/>
      <c r="D20" s="1048">
        <v>2299215123.46</v>
      </c>
      <c r="E20" s="1049"/>
      <c r="F20" s="1049"/>
      <c r="G20" s="1049"/>
      <c r="H20" s="1052">
        <v>2299215123.46</v>
      </c>
    </row>
    <row r="21" spans="1:8" ht="12.6" customHeight="1" outlineLevel="3">
      <c r="A21"/>
      <c r="B21" s="188" t="s">
        <v>262</v>
      </c>
      <c r="C21" s="22"/>
      <c r="D21" s="237"/>
      <c r="E21" s="22"/>
      <c r="F21" s="22"/>
      <c r="G21" s="22"/>
      <c r="H21" s="238"/>
    </row>
    <row r="22" spans="1:8" ht="12.6" customHeight="1" outlineLevel="3">
      <c r="A22"/>
      <c r="B22" s="1051" t="s">
        <v>263</v>
      </c>
      <c r="C22" s="1049"/>
      <c r="D22" s="1048">
        <v>2299215123.46</v>
      </c>
      <c r="E22" s="1049"/>
      <c r="F22" s="1049"/>
      <c r="G22" s="1049"/>
      <c r="H22" s="1052">
        <v>2299215123.46</v>
      </c>
    </row>
    <row r="23" spans="1:8" ht="12.6" customHeight="1" outlineLevel="1">
      <c r="A23"/>
      <c r="B23" s="1047">
        <v>5000</v>
      </c>
      <c r="C23" s="1049"/>
      <c r="D23" s="1048">
        <v>773641500</v>
      </c>
      <c r="E23" s="1049"/>
      <c r="F23" s="1049"/>
      <c r="G23" s="1049"/>
      <c r="H23" s="1052">
        <v>773641500</v>
      </c>
    </row>
    <row r="24" spans="1:8" ht="12.6" customHeight="1" outlineLevel="2">
      <c r="A24"/>
      <c r="B24" s="1047">
        <v>5030</v>
      </c>
      <c r="C24" s="1049"/>
      <c r="D24" s="1048">
        <v>773641500</v>
      </c>
      <c r="E24" s="1049"/>
      <c r="F24" s="1049"/>
      <c r="G24" s="1049"/>
      <c r="H24" s="1052">
        <v>773641500</v>
      </c>
    </row>
    <row r="25" spans="1:8" ht="12.6" customHeight="1">
      <c r="A25"/>
      <c r="B25" s="1053" t="s">
        <v>171</v>
      </c>
      <c r="C25" s="1054">
        <v>1466793239.4200001</v>
      </c>
      <c r="D25" s="1055"/>
      <c r="E25" s="1054">
        <v>1787953953.8599999</v>
      </c>
      <c r="F25" s="1054">
        <v>1688559384.3</v>
      </c>
      <c r="G25" s="1054">
        <v>1566187808.98</v>
      </c>
      <c r="H25" s="1056"/>
    </row>
    <row r="26" spans="1:8" ht="12.6" customHeight="1">
      <c r="A26"/>
      <c r="B26" s="45" t="s">
        <v>352</v>
      </c>
      <c r="C26" s="46"/>
      <c r="D26" s="46"/>
      <c r="E26" s="46"/>
      <c r="F26" s="46"/>
      <c r="G26" s="46"/>
      <c r="H26" s="47"/>
    </row>
    <row r="27" spans="1:8" ht="12.6" customHeight="1" outlineLevel="1">
      <c r="A27"/>
      <c r="B27" s="1047">
        <v>1200</v>
      </c>
      <c r="C27" s="1048">
        <v>207556147.28</v>
      </c>
      <c r="D27" s="1049"/>
      <c r="E27" s="1048">
        <v>1598457369.9699998</v>
      </c>
      <c r="F27" s="1048">
        <v>1688680883.99</v>
      </c>
      <c r="G27" s="1048">
        <v>117332633.26000001</v>
      </c>
      <c r="H27" s="1050"/>
    </row>
    <row r="28" spans="1:8" ht="12.6" customHeight="1" outlineLevel="2">
      <c r="A28"/>
      <c r="B28" s="1047">
        <v>1220</v>
      </c>
      <c r="C28" s="1048">
        <v>207556147.28</v>
      </c>
      <c r="D28" s="1049"/>
      <c r="E28" s="1048">
        <v>97177298.969999999</v>
      </c>
      <c r="F28" s="1048">
        <v>187400812.99000001</v>
      </c>
      <c r="G28" s="1048">
        <v>117332633.26000001</v>
      </c>
      <c r="H28" s="1050"/>
    </row>
    <row r="29" spans="1:8" ht="12.6" customHeight="1" outlineLevel="2">
      <c r="A29"/>
      <c r="B29" s="1047">
        <v>1270</v>
      </c>
      <c r="C29" s="1049"/>
      <c r="D29" s="1049"/>
      <c r="E29" s="1048">
        <v>1501280071</v>
      </c>
      <c r="F29" s="1048">
        <v>1501280071</v>
      </c>
      <c r="G29" s="1049"/>
      <c r="H29" s="1050"/>
    </row>
    <row r="30" spans="1:8" ht="12.6" customHeight="1" outlineLevel="3">
      <c r="A30"/>
      <c r="B30" s="1051" t="s">
        <v>702</v>
      </c>
      <c r="C30" s="1049"/>
      <c r="D30" s="1049"/>
      <c r="E30" s="1048">
        <v>1501280071</v>
      </c>
      <c r="F30" s="1048">
        <v>1501280071</v>
      </c>
      <c r="G30" s="1049"/>
      <c r="H30" s="1050"/>
    </row>
    <row r="31" spans="1:8" ht="12.6" customHeight="1" outlineLevel="1">
      <c r="A31"/>
      <c r="B31" s="1047">
        <v>2200</v>
      </c>
      <c r="C31" s="1048">
        <v>1053041319</v>
      </c>
      <c r="D31" s="1049"/>
      <c r="E31" s="1049"/>
      <c r="F31" s="1049"/>
      <c r="G31" s="1048">
        <v>1053041319</v>
      </c>
      <c r="H31" s="1050"/>
    </row>
    <row r="32" spans="1:8" ht="12.6" customHeight="1" outlineLevel="2">
      <c r="A32"/>
      <c r="B32" s="1047">
        <v>2210</v>
      </c>
      <c r="C32" s="1048">
        <v>1053041319</v>
      </c>
      <c r="D32" s="1049"/>
      <c r="E32" s="1049"/>
      <c r="F32" s="1049"/>
      <c r="G32" s="1048">
        <v>1053041319</v>
      </c>
      <c r="H32" s="1050"/>
    </row>
    <row r="33" spans="1:8" ht="12.6" customHeight="1" outlineLevel="3">
      <c r="A33"/>
      <c r="B33" s="1051" t="s">
        <v>11</v>
      </c>
      <c r="C33" s="1048">
        <v>1053041319</v>
      </c>
      <c r="D33" s="1049"/>
      <c r="E33" s="1049"/>
      <c r="F33" s="1049"/>
      <c r="G33" s="1048">
        <v>1053041319</v>
      </c>
      <c r="H33" s="1050"/>
    </row>
    <row r="34" spans="1:8" ht="12.6" customHeight="1" outlineLevel="1">
      <c r="A34"/>
      <c r="B34" s="1047">
        <v>3300</v>
      </c>
      <c r="C34" s="1049"/>
      <c r="D34" s="1048">
        <v>4449893036.3299999</v>
      </c>
      <c r="E34" s="1048">
        <v>59397100.990000002</v>
      </c>
      <c r="F34" s="1048">
        <v>18855940</v>
      </c>
      <c r="G34" s="1049"/>
      <c r="H34" s="1052">
        <v>4409351875.3400002</v>
      </c>
    </row>
    <row r="35" spans="1:8" ht="12.6" customHeight="1" outlineLevel="2">
      <c r="A35"/>
      <c r="B35" s="1047">
        <v>3320</v>
      </c>
      <c r="C35" s="1049"/>
      <c r="D35" s="1048">
        <v>4259423627.0200005</v>
      </c>
      <c r="E35" s="1048">
        <v>59397100.990000002</v>
      </c>
      <c r="F35" s="1048">
        <v>18855940</v>
      </c>
      <c r="G35" s="1049"/>
      <c r="H35" s="1052">
        <v>4218882466.0300002</v>
      </c>
    </row>
    <row r="36" spans="1:8" ht="12.6" customHeight="1" outlineLevel="2">
      <c r="A36"/>
      <c r="B36" s="1047">
        <v>3390</v>
      </c>
      <c r="C36" s="1049"/>
      <c r="D36" s="1048">
        <v>190469409.31</v>
      </c>
      <c r="E36" s="1049"/>
      <c r="F36" s="1049"/>
      <c r="G36" s="1049"/>
      <c r="H36" s="1052">
        <v>190469409.31</v>
      </c>
    </row>
    <row r="37" spans="1:8" ht="12.6" customHeight="1" outlineLevel="3">
      <c r="A37"/>
      <c r="B37" s="1051" t="s">
        <v>263</v>
      </c>
      <c r="C37" s="1049"/>
      <c r="D37" s="1048">
        <v>190469409.31</v>
      </c>
      <c r="E37" s="1049"/>
      <c r="F37" s="1049"/>
      <c r="G37" s="1049"/>
      <c r="H37" s="1052">
        <v>190469409.31</v>
      </c>
    </row>
    <row r="38" spans="1:8" ht="12.6" customHeight="1" outlineLevel="1">
      <c r="A38"/>
      <c r="B38" s="1047">
        <v>5000</v>
      </c>
      <c r="C38" s="1049"/>
      <c r="D38" s="1048">
        <v>789032400</v>
      </c>
      <c r="E38" s="1049"/>
      <c r="F38" s="1049"/>
      <c r="G38" s="1049"/>
      <c r="H38" s="1052">
        <v>789032400</v>
      </c>
    </row>
    <row r="39" spans="1:8" outlineLevel="1">
      <c r="A39"/>
      <c r="B39" s="1057" t="s">
        <v>96</v>
      </c>
      <c r="C39" s="1049"/>
      <c r="D39" s="1058">
        <v>657527</v>
      </c>
      <c r="E39" s="1049"/>
      <c r="F39" s="1049"/>
      <c r="G39" s="1049"/>
      <c r="H39" s="1059">
        <v>657527</v>
      </c>
    </row>
    <row r="40" spans="1:8" ht="12.6" customHeight="1" outlineLevel="2">
      <c r="A40"/>
      <c r="B40" s="1047">
        <v>5010</v>
      </c>
      <c r="C40" s="1049"/>
      <c r="D40" s="1048">
        <v>789032400</v>
      </c>
      <c r="E40" s="1049"/>
      <c r="F40" s="1049"/>
      <c r="G40" s="1049"/>
      <c r="H40" s="1052">
        <v>789032400</v>
      </c>
    </row>
    <row r="41" spans="1:8" outlineLevel="2">
      <c r="A41"/>
      <c r="B41" s="1057" t="s">
        <v>96</v>
      </c>
      <c r="C41" s="1049"/>
      <c r="D41" s="1058">
        <v>657527</v>
      </c>
      <c r="E41" s="1049"/>
      <c r="F41" s="1049"/>
      <c r="G41" s="1049"/>
      <c r="H41" s="1059">
        <v>657527</v>
      </c>
    </row>
    <row r="42" spans="1:8" ht="12.6" customHeight="1">
      <c r="A42"/>
      <c r="B42" s="1053" t="s">
        <v>171</v>
      </c>
      <c r="C42" s="1055"/>
      <c r="D42" s="1054">
        <v>3978327970.0499997</v>
      </c>
      <c r="E42" s="1054">
        <v>1657854470.96</v>
      </c>
      <c r="F42" s="1054">
        <v>1707536823.99</v>
      </c>
      <c r="G42" s="1055"/>
      <c r="H42" s="1060">
        <v>4028010323.0799999</v>
      </c>
    </row>
    <row r="43" spans="1:8" ht="12.6" customHeight="1">
      <c r="A43"/>
      <c r="B43" s="1061" t="s">
        <v>97</v>
      </c>
      <c r="C43" s="1062"/>
      <c r="D43" s="1063">
        <v>657527</v>
      </c>
      <c r="E43" s="1062"/>
      <c r="F43" s="1062"/>
      <c r="G43" s="1062"/>
      <c r="H43" s="1064">
        <v>657527</v>
      </c>
    </row>
    <row r="44" spans="1:8" ht="23.85" customHeight="1">
      <c r="A44"/>
      <c r="B44" s="1065" t="s">
        <v>236</v>
      </c>
      <c r="C44" s="1066"/>
      <c r="D44" s="1066"/>
      <c r="E44" s="1066"/>
      <c r="F44" s="1066"/>
      <c r="G44" s="1066"/>
      <c r="H44" s="1067"/>
    </row>
    <row r="45" spans="1:8" ht="12.6" customHeight="1" outlineLevel="1">
      <c r="A45"/>
      <c r="B45" s="187">
        <v>1200</v>
      </c>
      <c r="C45" s="237"/>
      <c r="D45" s="22"/>
      <c r="E45" s="237"/>
      <c r="F45" s="237"/>
      <c r="G45" s="237"/>
      <c r="H45" s="48"/>
    </row>
    <row r="46" spans="1:8" ht="12.6" customHeight="1" outlineLevel="2">
      <c r="A46"/>
      <c r="B46" s="187">
        <v>1220</v>
      </c>
      <c r="C46" s="22"/>
      <c r="D46" s="22"/>
      <c r="E46" s="237"/>
      <c r="F46" s="237"/>
      <c r="G46" s="237"/>
      <c r="H46" s="48"/>
    </row>
    <row r="47" spans="1:8" ht="12.6" customHeight="1" outlineLevel="2">
      <c r="A47"/>
      <c r="B47" s="187">
        <v>1280</v>
      </c>
      <c r="C47" s="237"/>
      <c r="D47" s="22"/>
      <c r="E47" s="22"/>
      <c r="F47" s="237"/>
      <c r="G47" s="22"/>
      <c r="H47" s="48"/>
    </row>
    <row r="48" spans="1:8" ht="12.6" customHeight="1" outlineLevel="3">
      <c r="A48"/>
      <c r="B48" s="188" t="s">
        <v>250</v>
      </c>
      <c r="C48" s="237"/>
      <c r="D48" s="22"/>
      <c r="E48" s="22"/>
      <c r="F48" s="237"/>
      <c r="G48" s="22"/>
      <c r="H48" s="48"/>
    </row>
    <row r="49" spans="1:8" ht="12.6" customHeight="1" outlineLevel="1">
      <c r="A49"/>
      <c r="B49" s="187">
        <v>3300</v>
      </c>
      <c r="C49" s="22"/>
      <c r="D49" s="237"/>
      <c r="E49" s="237"/>
      <c r="F49" s="22"/>
      <c r="G49" s="22"/>
      <c r="H49" s="48"/>
    </row>
    <row r="50" spans="1:8" ht="12.6" customHeight="1" outlineLevel="1">
      <c r="A50"/>
      <c r="B50" s="1047">
        <v>3320</v>
      </c>
      <c r="C50" s="1049"/>
      <c r="D50" s="1049"/>
      <c r="E50" s="1048">
        <v>83753910</v>
      </c>
      <c r="F50" s="1048">
        <v>83753910</v>
      </c>
      <c r="G50" s="1049"/>
      <c r="H50" s="48"/>
    </row>
    <row r="51" spans="1:8" ht="12.6" customHeight="1" outlineLevel="2">
      <c r="A51"/>
      <c r="B51" s="187">
        <v>3390</v>
      </c>
      <c r="C51" s="22"/>
      <c r="D51" s="237"/>
      <c r="E51" s="237"/>
      <c r="F51" s="22"/>
      <c r="G51" s="22"/>
      <c r="H51" s="48"/>
    </row>
    <row r="52" spans="1:8" ht="12.6" customHeight="1" outlineLevel="3">
      <c r="A52"/>
      <c r="B52" s="188" t="s">
        <v>263</v>
      </c>
      <c r="C52" s="22"/>
      <c r="D52" s="237"/>
      <c r="E52" s="237"/>
      <c r="F52" s="22"/>
      <c r="G52" s="22"/>
      <c r="H52" s="48"/>
    </row>
    <row r="53" spans="1:8" ht="12.6" customHeight="1">
      <c r="A53"/>
      <c r="B53" s="49" t="s">
        <v>171</v>
      </c>
      <c r="C53" s="239"/>
      <c r="D53" s="50"/>
      <c r="E53" s="1048">
        <v>83753910</v>
      </c>
      <c r="F53" s="1048">
        <v>83753910</v>
      </c>
      <c r="G53" s="50"/>
      <c r="H53" s="240"/>
    </row>
    <row r="54" spans="1:8" ht="12.6" customHeight="1">
      <c r="A54"/>
      <c r="B54" s="45" t="s">
        <v>300</v>
      </c>
      <c r="C54" s="46"/>
      <c r="D54" s="46"/>
      <c r="E54" s="46"/>
      <c r="F54" s="46"/>
      <c r="G54" s="46"/>
      <c r="H54" s="47"/>
    </row>
    <row r="55" spans="1:8" ht="12.6" customHeight="1" outlineLevel="1">
      <c r="A55"/>
      <c r="B55" s="1047">
        <v>1200</v>
      </c>
      <c r="C55" s="1048">
        <v>38223176.18</v>
      </c>
      <c r="D55" s="1049"/>
      <c r="E55" s="1048">
        <v>2835176.91</v>
      </c>
      <c r="F55" s="1048">
        <v>2429348.65</v>
      </c>
      <c r="G55" s="1048">
        <v>38629004.439999998</v>
      </c>
      <c r="H55" s="1050"/>
    </row>
    <row r="56" spans="1:8" ht="12.6" customHeight="1" outlineLevel="2">
      <c r="A56"/>
      <c r="B56" s="1047">
        <v>1210</v>
      </c>
      <c r="C56" s="1048">
        <v>38223176.18</v>
      </c>
      <c r="D56" s="1049"/>
      <c r="E56" s="1048">
        <v>2835176.91</v>
      </c>
      <c r="F56" s="1048">
        <v>2429348.65</v>
      </c>
      <c r="G56" s="1048">
        <v>38629004.439999998</v>
      </c>
      <c r="H56" s="1050"/>
    </row>
    <row r="57" spans="1:8" ht="12.6" customHeight="1" outlineLevel="3">
      <c r="A57"/>
      <c r="B57" s="1051" t="s">
        <v>10</v>
      </c>
      <c r="C57" s="1048">
        <v>38223176.18</v>
      </c>
      <c r="D57" s="1049"/>
      <c r="E57" s="1048">
        <v>2835176.91</v>
      </c>
      <c r="F57" s="1048">
        <v>2429348.65</v>
      </c>
      <c r="G57" s="1048">
        <v>38629004.439999998</v>
      </c>
      <c r="H57" s="1050"/>
    </row>
    <row r="58" spans="1:8" ht="12.6" customHeight="1" outlineLevel="1">
      <c r="A58"/>
      <c r="B58" s="1047">
        <v>2200</v>
      </c>
      <c r="C58" s="1048">
        <v>11811261.699999999</v>
      </c>
      <c r="D58" s="1049"/>
      <c r="E58" s="1049"/>
      <c r="F58" s="1049"/>
      <c r="G58" s="1048">
        <v>11811261.699999999</v>
      </c>
      <c r="H58" s="1050"/>
    </row>
    <row r="59" spans="1:8" ht="12.6" customHeight="1" outlineLevel="2">
      <c r="A59"/>
      <c r="B59" s="1047">
        <v>2210</v>
      </c>
      <c r="C59" s="1048">
        <v>11811261.699999999</v>
      </c>
      <c r="D59" s="1049"/>
      <c r="E59" s="1049"/>
      <c r="F59" s="1049"/>
      <c r="G59" s="1048">
        <v>11811261.699999999</v>
      </c>
      <c r="H59" s="1050"/>
    </row>
    <row r="60" spans="1:8" ht="12.6" customHeight="1" outlineLevel="3">
      <c r="A60"/>
      <c r="B60" s="1051" t="s">
        <v>11</v>
      </c>
      <c r="C60" s="1048">
        <v>11811261.699999999</v>
      </c>
      <c r="D60" s="1049"/>
      <c r="E60" s="1049"/>
      <c r="F60" s="1049"/>
      <c r="G60" s="1048">
        <v>11811261.699999999</v>
      </c>
      <c r="H60" s="1050"/>
    </row>
    <row r="61" spans="1:8" ht="12.6" customHeight="1">
      <c r="A61"/>
      <c r="B61" s="1053" t="s">
        <v>171</v>
      </c>
      <c r="C61" s="1054">
        <v>50034437.880000003</v>
      </c>
      <c r="D61" s="1055"/>
      <c r="E61" s="1054">
        <v>2835176.91</v>
      </c>
      <c r="F61" s="1054">
        <v>2429348.65</v>
      </c>
      <c r="G61" s="1054">
        <v>50440266.140000001</v>
      </c>
      <c r="H61" s="1056"/>
    </row>
    <row r="62" spans="1:8" ht="12.6" customHeight="1">
      <c r="A62"/>
      <c r="B62" s="45" t="s">
        <v>191</v>
      </c>
      <c r="C62" s="46"/>
      <c r="D62" s="46"/>
      <c r="E62" s="46"/>
      <c r="F62" s="46"/>
      <c r="G62" s="46"/>
      <c r="H62" s="47"/>
    </row>
    <row r="63" spans="1:8" ht="12.6" customHeight="1" outlineLevel="1">
      <c r="A63"/>
      <c r="B63" s="187">
        <v>5000</v>
      </c>
      <c r="C63" s="22"/>
      <c r="D63" s="237">
        <v>359004500</v>
      </c>
      <c r="E63" s="22"/>
      <c r="F63" s="22"/>
      <c r="G63" s="22"/>
      <c r="H63" s="238">
        <v>359004500</v>
      </c>
    </row>
    <row r="64" spans="1:8" ht="12.6" customHeight="1" outlineLevel="2">
      <c r="A64"/>
      <c r="B64" s="187">
        <v>5030</v>
      </c>
      <c r="C64" s="22"/>
      <c r="D64" s="237">
        <v>359004500</v>
      </c>
      <c r="E64" s="22"/>
      <c r="F64" s="22"/>
      <c r="G64" s="22"/>
      <c r="H64" s="238">
        <v>359004500</v>
      </c>
    </row>
    <row r="65" spans="1:8" ht="12.6" customHeight="1">
      <c r="A65"/>
      <c r="B65" s="49" t="s">
        <v>171</v>
      </c>
      <c r="C65" s="50"/>
      <c r="D65" s="239">
        <v>359004500</v>
      </c>
      <c r="E65" s="50"/>
      <c r="F65" s="50"/>
      <c r="G65" s="50"/>
      <c r="H65" s="240">
        <v>359004500</v>
      </c>
    </row>
    <row r="66" spans="1:8" ht="12.6" customHeight="1">
      <c r="A66"/>
      <c r="B66" s="45" t="s">
        <v>121</v>
      </c>
      <c r="C66" s="46"/>
      <c r="D66" s="46"/>
      <c r="E66" s="46"/>
      <c r="F66" s="46"/>
      <c r="G66" s="46"/>
      <c r="H66" s="47"/>
    </row>
    <row r="67" spans="1:8" ht="12.6" customHeight="1" outlineLevel="1">
      <c r="A67"/>
      <c r="B67" s="1047">
        <v>1200</v>
      </c>
      <c r="C67" s="1048">
        <v>2485834812.8299999</v>
      </c>
      <c r="D67" s="1049"/>
      <c r="E67" s="1048">
        <v>1300000</v>
      </c>
      <c r="F67" s="1048">
        <v>134415016.53</v>
      </c>
      <c r="G67" s="1048">
        <v>2352719796.3000002</v>
      </c>
      <c r="H67" s="1050"/>
    </row>
    <row r="68" spans="1:8" ht="12.6" customHeight="1" outlineLevel="2">
      <c r="A68"/>
      <c r="B68" s="1047">
        <v>1280</v>
      </c>
      <c r="C68" s="1048">
        <v>2485834812.8299999</v>
      </c>
      <c r="D68" s="1049"/>
      <c r="E68" s="1048">
        <v>1300000</v>
      </c>
      <c r="F68" s="1048">
        <v>134415016.53</v>
      </c>
      <c r="G68" s="1048">
        <v>2352719796.3000002</v>
      </c>
      <c r="H68" s="1050"/>
    </row>
    <row r="69" spans="1:8" ht="12.6" customHeight="1" outlineLevel="3">
      <c r="A69"/>
      <c r="B69" s="1051" t="s">
        <v>250</v>
      </c>
      <c r="C69" s="1048">
        <v>2485834812.8299999</v>
      </c>
      <c r="D69" s="1049"/>
      <c r="E69" s="1048">
        <v>1300000</v>
      </c>
      <c r="F69" s="1048">
        <v>134415016.53</v>
      </c>
      <c r="G69" s="1048">
        <v>2352719796.3000002</v>
      </c>
      <c r="H69" s="1050"/>
    </row>
    <row r="70" spans="1:8" ht="12.6" customHeight="1" outlineLevel="1">
      <c r="A70"/>
      <c r="B70" s="1047">
        <v>2200</v>
      </c>
      <c r="C70" s="1048">
        <v>200000</v>
      </c>
      <c r="D70" s="1049"/>
      <c r="E70" s="1049"/>
      <c r="F70" s="1049"/>
      <c r="G70" s="1048">
        <v>200000</v>
      </c>
      <c r="H70" s="1050"/>
    </row>
    <row r="71" spans="1:8" ht="12.6" customHeight="1" outlineLevel="2">
      <c r="A71"/>
      <c r="B71" s="1047">
        <v>2210</v>
      </c>
      <c r="C71" s="1048">
        <v>200000</v>
      </c>
      <c r="D71" s="1049"/>
      <c r="E71" s="1049"/>
      <c r="F71" s="1049"/>
      <c r="G71" s="1048">
        <v>200000</v>
      </c>
      <c r="H71" s="1050"/>
    </row>
    <row r="72" spans="1:8" ht="12.6" customHeight="1" outlineLevel="3">
      <c r="A72"/>
      <c r="B72" s="1051" t="s">
        <v>11</v>
      </c>
      <c r="C72" s="1048">
        <v>200000</v>
      </c>
      <c r="D72" s="1049"/>
      <c r="E72" s="1049"/>
      <c r="F72" s="1049"/>
      <c r="G72" s="1048">
        <v>200000</v>
      </c>
      <c r="H72" s="1050"/>
    </row>
    <row r="73" spans="1:8" ht="12.6" customHeight="1" outlineLevel="1">
      <c r="A73"/>
      <c r="B73" s="1047">
        <v>3300</v>
      </c>
      <c r="C73" s="1049"/>
      <c r="D73" s="1048">
        <v>974057559.88999999</v>
      </c>
      <c r="E73" s="1048">
        <v>83402800</v>
      </c>
      <c r="F73" s="1049"/>
      <c r="G73" s="1049"/>
      <c r="H73" s="1052">
        <v>890654759.88999999</v>
      </c>
    </row>
    <row r="74" spans="1:8" ht="12.6" customHeight="1" outlineLevel="2">
      <c r="A74"/>
      <c r="B74" s="1047">
        <v>3310</v>
      </c>
      <c r="C74" s="1049"/>
      <c r="D74" s="1048">
        <v>753012059.79999995</v>
      </c>
      <c r="E74" s="1048">
        <v>83402800</v>
      </c>
      <c r="F74" s="1049"/>
      <c r="G74" s="1049"/>
      <c r="H74" s="1052">
        <v>669609259.79999995</v>
      </c>
    </row>
    <row r="75" spans="1:8" ht="12.6" customHeight="1" outlineLevel="3">
      <c r="A75"/>
      <c r="B75" s="1051" t="s">
        <v>12</v>
      </c>
      <c r="C75" s="1049"/>
      <c r="D75" s="1048">
        <v>753012059.79999995</v>
      </c>
      <c r="E75" s="1048">
        <v>83402800</v>
      </c>
      <c r="F75" s="1049"/>
      <c r="G75" s="1049"/>
      <c r="H75" s="1052">
        <v>669609259.79999995</v>
      </c>
    </row>
    <row r="76" spans="1:8" ht="12.6" customHeight="1" outlineLevel="2">
      <c r="A76"/>
      <c r="B76" s="1047">
        <v>3390</v>
      </c>
      <c r="C76" s="1049"/>
      <c r="D76" s="1048">
        <v>221045500.09</v>
      </c>
      <c r="E76" s="1049"/>
      <c r="F76" s="1049"/>
      <c r="G76" s="1049"/>
      <c r="H76" s="1052">
        <v>221045500.09</v>
      </c>
    </row>
    <row r="77" spans="1:8" ht="12.6" customHeight="1" outlineLevel="3">
      <c r="A77"/>
      <c r="B77" s="1051" t="s">
        <v>263</v>
      </c>
      <c r="C77" s="1049"/>
      <c r="D77" s="1048">
        <v>221045500.09</v>
      </c>
      <c r="E77" s="1049"/>
      <c r="F77" s="1049"/>
      <c r="G77" s="1049"/>
      <c r="H77" s="1052">
        <v>221045500.09</v>
      </c>
    </row>
    <row r="78" spans="1:8" ht="12.6" customHeight="1" outlineLevel="1">
      <c r="A78"/>
      <c r="B78" s="1047">
        <v>5000</v>
      </c>
      <c r="C78" s="1049"/>
      <c r="D78" s="1048">
        <v>158367600</v>
      </c>
      <c r="E78" s="1049"/>
      <c r="F78" s="1049"/>
      <c r="G78" s="1049"/>
      <c r="H78" s="1052">
        <v>158367600</v>
      </c>
    </row>
    <row r="79" spans="1:8" outlineLevel="1">
      <c r="A79"/>
      <c r="B79" s="1057" t="s">
        <v>96</v>
      </c>
      <c r="C79" s="1049"/>
      <c r="D79" s="1058">
        <v>131973</v>
      </c>
      <c r="E79" s="1049"/>
      <c r="F79" s="1049"/>
      <c r="G79" s="1049"/>
      <c r="H79" s="1059">
        <v>131973</v>
      </c>
    </row>
    <row r="80" spans="1:8" ht="12.6" customHeight="1" outlineLevel="2">
      <c r="A80"/>
      <c r="B80" s="1047">
        <v>5010</v>
      </c>
      <c r="C80" s="1049"/>
      <c r="D80" s="1048">
        <v>158367600</v>
      </c>
      <c r="E80" s="1049"/>
      <c r="F80" s="1049"/>
      <c r="G80" s="1049"/>
      <c r="H80" s="1052">
        <v>158367600</v>
      </c>
    </row>
    <row r="81" spans="1:8" outlineLevel="2">
      <c r="A81"/>
      <c r="B81" s="1057" t="s">
        <v>96</v>
      </c>
      <c r="C81" s="1049"/>
      <c r="D81" s="1058">
        <v>131973</v>
      </c>
      <c r="E81" s="1049"/>
      <c r="F81" s="1049"/>
      <c r="G81" s="1049"/>
      <c r="H81" s="1059">
        <v>131973</v>
      </c>
    </row>
    <row r="82" spans="1:8" ht="12.6" customHeight="1">
      <c r="A82"/>
      <c r="B82" s="1053" t="s">
        <v>171</v>
      </c>
      <c r="C82" s="1054">
        <v>1353609652.9400001</v>
      </c>
      <c r="D82" s="1055"/>
      <c r="E82" s="1054">
        <v>84702800</v>
      </c>
      <c r="F82" s="1054">
        <v>134415016.53</v>
      </c>
      <c r="G82" s="1054">
        <v>1303897436.4099998</v>
      </c>
      <c r="H82" s="1056"/>
    </row>
    <row r="83" spans="1:8" ht="12.6" customHeight="1">
      <c r="A83"/>
      <c r="B83" s="1061" t="s">
        <v>97</v>
      </c>
      <c r="C83" s="1062"/>
      <c r="D83" s="1063">
        <v>131973</v>
      </c>
      <c r="E83" s="1062"/>
      <c r="F83" s="1062"/>
      <c r="G83" s="1062"/>
      <c r="H83" s="1064">
        <v>131973</v>
      </c>
    </row>
    <row r="84" spans="1:8" ht="23.85" customHeight="1">
      <c r="A84"/>
      <c r="B84" s="45" t="s">
        <v>428</v>
      </c>
      <c r="C84" s="46"/>
      <c r="D84" s="46"/>
      <c r="E84" s="46"/>
      <c r="F84" s="46"/>
      <c r="G84" s="46"/>
      <c r="H84" s="47"/>
    </row>
    <row r="85" spans="1:8" ht="12.6" customHeight="1" outlineLevel="1">
      <c r="A85"/>
      <c r="B85" s="1047">
        <v>1200</v>
      </c>
      <c r="C85" s="1048">
        <v>1439752667.3</v>
      </c>
      <c r="D85" s="1049"/>
      <c r="E85" s="1048">
        <v>916084177.20000005</v>
      </c>
      <c r="F85" s="1048">
        <v>1075754692.0699999</v>
      </c>
      <c r="G85" s="1048">
        <v>1280082152.4300001</v>
      </c>
      <c r="H85" s="1050"/>
    </row>
    <row r="86" spans="1:8" ht="12.6" customHeight="1" outlineLevel="2">
      <c r="A86"/>
      <c r="B86" s="1047">
        <v>1210</v>
      </c>
      <c r="C86" s="1048">
        <v>1439752667.3</v>
      </c>
      <c r="D86" s="1049"/>
      <c r="E86" s="1048">
        <v>916084177.20000005</v>
      </c>
      <c r="F86" s="1048">
        <v>1075754692.0699999</v>
      </c>
      <c r="G86" s="1048">
        <v>1280082152.4300001</v>
      </c>
      <c r="H86" s="1050"/>
    </row>
    <row r="87" spans="1:8" ht="12.6" customHeight="1" outlineLevel="3">
      <c r="A87"/>
      <c r="B87" s="1051" t="s">
        <v>10</v>
      </c>
      <c r="C87" s="1048">
        <v>1388910748.3500001</v>
      </c>
      <c r="D87" s="1049"/>
      <c r="E87" s="1048">
        <v>903087965.66999996</v>
      </c>
      <c r="F87" s="1048">
        <v>1020403819.91</v>
      </c>
      <c r="G87" s="1048">
        <v>1271594894.1100001</v>
      </c>
      <c r="H87" s="1050"/>
    </row>
    <row r="88" spans="1:8" ht="12.6" customHeight="1" outlineLevel="3">
      <c r="A88"/>
      <c r="B88" s="1051" t="s">
        <v>558</v>
      </c>
      <c r="C88" s="1048">
        <v>50841918.950000003</v>
      </c>
      <c r="D88" s="1049"/>
      <c r="E88" s="1048">
        <v>12996211.529999999</v>
      </c>
      <c r="F88" s="1048">
        <v>55350872.159999996</v>
      </c>
      <c r="G88" s="1048">
        <v>8487258.3200000003</v>
      </c>
      <c r="H88" s="1050"/>
    </row>
    <row r="89" spans="1:8" ht="12.6" customHeight="1" outlineLevel="1">
      <c r="A89"/>
      <c r="B89" s="1047">
        <v>2200</v>
      </c>
      <c r="C89" s="1048">
        <v>161838</v>
      </c>
      <c r="D89" s="1049"/>
      <c r="E89" s="1049"/>
      <c r="F89" s="1049"/>
      <c r="G89" s="1048">
        <v>161838</v>
      </c>
      <c r="H89" s="1050"/>
    </row>
    <row r="90" spans="1:8" ht="12.6" customHeight="1" outlineLevel="2">
      <c r="A90"/>
      <c r="B90" s="1047">
        <v>2210</v>
      </c>
      <c r="C90" s="1048">
        <v>161838</v>
      </c>
      <c r="D90" s="1049"/>
      <c r="E90" s="1049"/>
      <c r="F90" s="1049"/>
      <c r="G90" s="1048">
        <v>161838</v>
      </c>
      <c r="H90" s="1050"/>
    </row>
    <row r="91" spans="1:8" ht="12.6" customHeight="1" outlineLevel="3">
      <c r="A91"/>
      <c r="B91" s="1051" t="s">
        <v>11</v>
      </c>
      <c r="C91" s="1048">
        <v>161838</v>
      </c>
      <c r="D91" s="1049"/>
      <c r="E91" s="1049"/>
      <c r="F91" s="1049"/>
      <c r="G91" s="1048">
        <v>161838</v>
      </c>
      <c r="H91" s="1050"/>
    </row>
    <row r="92" spans="1:8" ht="12.6" customHeight="1" outlineLevel="1">
      <c r="A92"/>
      <c r="B92" s="1047">
        <v>3300</v>
      </c>
      <c r="C92" s="1049"/>
      <c r="D92" s="1049"/>
      <c r="E92" s="1048">
        <v>704778.18</v>
      </c>
      <c r="F92" s="1048">
        <v>704778.18</v>
      </c>
      <c r="G92" s="1049"/>
      <c r="H92" s="1050"/>
    </row>
    <row r="93" spans="1:8" ht="12.6" customHeight="1" outlineLevel="2">
      <c r="A93"/>
      <c r="B93" s="1047">
        <v>3310</v>
      </c>
      <c r="C93" s="1049"/>
      <c r="D93" s="1049"/>
      <c r="E93" s="1048">
        <v>704778.18</v>
      </c>
      <c r="F93" s="1048">
        <v>704778.18</v>
      </c>
      <c r="G93" s="1049"/>
      <c r="H93" s="1050"/>
    </row>
    <row r="94" spans="1:8" ht="12.6" customHeight="1" outlineLevel="3">
      <c r="A94"/>
      <c r="B94" s="1051" t="s">
        <v>12</v>
      </c>
      <c r="C94" s="1049"/>
      <c r="D94" s="1049"/>
      <c r="E94" s="1048">
        <v>704778.18</v>
      </c>
      <c r="F94" s="1048">
        <v>704778.18</v>
      </c>
      <c r="G94" s="1049"/>
      <c r="H94" s="1050"/>
    </row>
    <row r="95" spans="1:8" ht="12.6" customHeight="1" outlineLevel="3">
      <c r="A95"/>
      <c r="B95" s="188" t="s">
        <v>13</v>
      </c>
      <c r="C95" s="22"/>
      <c r="D95" s="237"/>
      <c r="E95" s="22"/>
      <c r="F95" s="237"/>
      <c r="G95" s="22"/>
      <c r="H95" s="238"/>
    </row>
    <row r="96" spans="1:8" ht="12.6" customHeight="1" outlineLevel="3">
      <c r="A96"/>
      <c r="B96" s="1047">
        <v>3500</v>
      </c>
      <c r="C96" s="1049"/>
      <c r="D96" s="1049"/>
      <c r="E96" s="1049"/>
      <c r="F96" s="1048">
        <v>982000</v>
      </c>
      <c r="G96" s="1049"/>
      <c r="H96" s="1052">
        <v>982000</v>
      </c>
    </row>
    <row r="97" spans="1:8" ht="12.6" customHeight="1" outlineLevel="3">
      <c r="A97"/>
      <c r="B97" s="1047">
        <v>3510</v>
      </c>
      <c r="C97" s="1049"/>
      <c r="D97" s="1049"/>
      <c r="E97" s="1049"/>
      <c r="F97" s="1048">
        <v>982000</v>
      </c>
      <c r="G97" s="1049"/>
      <c r="H97" s="1052">
        <v>982000</v>
      </c>
    </row>
    <row r="98" spans="1:8" ht="12.6" customHeight="1" outlineLevel="3">
      <c r="A98"/>
      <c r="B98" s="1051" t="s">
        <v>260</v>
      </c>
      <c r="C98" s="1049"/>
      <c r="D98" s="1049"/>
      <c r="E98" s="1049"/>
      <c r="F98" s="1048">
        <v>982000</v>
      </c>
      <c r="G98" s="1049"/>
      <c r="H98" s="1052">
        <v>982000</v>
      </c>
    </row>
    <row r="99" spans="1:8" ht="12.6" customHeight="1" thickBot="1">
      <c r="A99"/>
      <c r="B99" s="1053" t="s">
        <v>171</v>
      </c>
      <c r="C99" s="1054">
        <v>1439914505.3</v>
      </c>
      <c r="D99" s="1055"/>
      <c r="E99" s="1054">
        <v>916788955.38</v>
      </c>
      <c r="F99" s="1054">
        <v>1077441470.25</v>
      </c>
      <c r="G99" s="1054">
        <v>1279261990.4300001</v>
      </c>
      <c r="H99" s="1056"/>
    </row>
    <row r="100" spans="1:8" ht="13.5" thickBot="1">
      <c r="A100" s="13"/>
      <c r="B100" s="55"/>
      <c r="C100" s="457"/>
      <c r="D100" s="241"/>
      <c r="E100" s="241"/>
      <c r="F100" s="241"/>
      <c r="G100" s="459"/>
      <c r="H100" s="460"/>
    </row>
    <row r="101" spans="1:8" ht="12.6" customHeight="1" thickBot="1">
      <c r="A101"/>
      <c r="B101" s="49"/>
      <c r="C101" s="239"/>
      <c r="D101" s="50"/>
      <c r="E101" s="239"/>
      <c r="F101" s="239"/>
      <c r="G101" s="239"/>
      <c r="H101" s="51"/>
    </row>
    <row r="102" spans="1:8" ht="13.5" thickBot="1">
      <c r="A102" s="13"/>
      <c r="B102" s="55"/>
      <c r="C102" s="457"/>
      <c r="D102" s="241"/>
      <c r="E102" s="241"/>
      <c r="F102" s="241"/>
      <c r="G102" s="459"/>
      <c r="H102" s="460"/>
    </row>
    <row r="103" spans="1:8" s="501" customFormat="1" ht="15.75" customHeight="1">
      <c r="A103" s="514"/>
      <c r="B103" s="498" t="s">
        <v>99</v>
      </c>
      <c r="C103" s="500"/>
      <c r="D103" s="500"/>
      <c r="E103" s="500"/>
      <c r="F103" s="500"/>
      <c r="G103" s="500"/>
      <c r="H103" s="500"/>
    </row>
    <row r="104" spans="1:8" s="73" customFormat="1" ht="16.5" thickBot="1">
      <c r="A104" s="514"/>
      <c r="B104" s="498"/>
      <c r="C104" s="499"/>
      <c r="D104" s="499"/>
      <c r="E104" s="499"/>
      <c r="F104" s="499"/>
      <c r="G104" s="499"/>
      <c r="H104" s="499"/>
    </row>
    <row r="105" spans="1:8" s="73" customFormat="1">
      <c r="A105" s="515"/>
      <c r="B105" s="508" t="s">
        <v>188</v>
      </c>
      <c r="C105" s="503" t="s">
        <v>154</v>
      </c>
      <c r="D105" s="504"/>
      <c r="E105" s="503" t="s">
        <v>155</v>
      </c>
      <c r="F105" s="504"/>
      <c r="G105" s="503" t="s">
        <v>156</v>
      </c>
      <c r="H105" s="505"/>
    </row>
    <row r="106" spans="1:8" s="73" customFormat="1" ht="13.5" thickBot="1">
      <c r="A106" s="515"/>
      <c r="B106" s="509"/>
      <c r="C106" s="506" t="s">
        <v>189</v>
      </c>
      <c r="D106" s="506" t="s">
        <v>190</v>
      </c>
      <c r="E106" s="506" t="s">
        <v>189</v>
      </c>
      <c r="F106" s="506" t="s">
        <v>190</v>
      </c>
      <c r="G106" s="506" t="s">
        <v>189</v>
      </c>
      <c r="H106" s="507" t="s">
        <v>190</v>
      </c>
    </row>
    <row r="107" spans="1:8" s="73" customFormat="1">
      <c r="B107" s="517"/>
      <c r="C107" s="493"/>
      <c r="D107" s="493"/>
      <c r="E107" s="493"/>
      <c r="F107" s="493"/>
      <c r="G107" s="493"/>
      <c r="H107" s="493"/>
    </row>
    <row r="108" spans="1:8" s="73" customFormat="1" ht="13.5" thickBot="1">
      <c r="B108" s="542" t="s">
        <v>98</v>
      </c>
      <c r="C108" s="494" t="s">
        <v>66</v>
      </c>
      <c r="D108" s="494"/>
      <c r="E108" s="494"/>
      <c r="F108" s="494"/>
      <c r="G108" s="494" t="s">
        <v>66</v>
      </c>
      <c r="H108" s="494"/>
    </row>
    <row r="109" spans="1:8" s="73" customFormat="1" ht="13.5" thickBot="1">
      <c r="B109" s="543" t="s">
        <v>171</v>
      </c>
      <c r="C109" s="495" t="s">
        <v>66</v>
      </c>
      <c r="D109" s="496" t="s">
        <v>66</v>
      </c>
      <c r="E109" s="496">
        <v>0</v>
      </c>
      <c r="F109" s="496"/>
      <c r="G109" s="496" t="s">
        <v>66</v>
      </c>
      <c r="H109" s="497"/>
    </row>
    <row r="110" spans="1:8" ht="15.75">
      <c r="B110" s="235"/>
      <c r="C110" s="236"/>
      <c r="D110" s="236"/>
      <c r="E110" s="236"/>
      <c r="F110" s="236"/>
      <c r="G110" s="236"/>
      <c r="H110" s="236"/>
    </row>
    <row r="111" spans="1:8" ht="15.75">
      <c r="B111" s="498" t="s">
        <v>92</v>
      </c>
      <c r="C111" s="499"/>
      <c r="D111" s="499"/>
      <c r="E111" s="499"/>
      <c r="F111" s="499"/>
      <c r="G111" s="499"/>
      <c r="H111" s="499"/>
    </row>
    <row r="112" spans="1:8" ht="15.75">
      <c r="B112" s="498" t="s">
        <v>524</v>
      </c>
      <c r="C112" s="500"/>
      <c r="D112" s="500"/>
      <c r="E112" s="500"/>
      <c r="F112" s="500"/>
      <c r="G112" s="500"/>
      <c r="H112" s="500"/>
    </row>
    <row r="113" spans="1:11" ht="16.5" thickBot="1">
      <c r="B113" s="498"/>
      <c r="C113" s="499"/>
      <c r="D113" s="499"/>
      <c r="E113" s="499"/>
      <c r="F113" s="499"/>
      <c r="G113" s="499"/>
      <c r="H113" s="499"/>
    </row>
    <row r="114" spans="1:11">
      <c r="B114" s="502" t="s">
        <v>188</v>
      </c>
      <c r="C114" s="503" t="s">
        <v>154</v>
      </c>
      <c r="D114" s="504"/>
      <c r="E114" s="503" t="s">
        <v>155</v>
      </c>
      <c r="F114" s="504"/>
      <c r="G114" s="503" t="s">
        <v>156</v>
      </c>
      <c r="H114" s="505"/>
    </row>
    <row r="115" spans="1:11">
      <c r="B115" s="517"/>
      <c r="C115" s="493" t="s">
        <v>189</v>
      </c>
      <c r="D115" s="493" t="s">
        <v>190</v>
      </c>
      <c r="E115" s="493" t="s">
        <v>189</v>
      </c>
      <c r="F115" s="493" t="s">
        <v>190</v>
      </c>
      <c r="G115" s="493" t="s">
        <v>189</v>
      </c>
      <c r="H115" s="518" t="s">
        <v>190</v>
      </c>
      <c r="J115" s="476"/>
      <c r="K115" t="s">
        <v>462</v>
      </c>
    </row>
    <row r="116" spans="1:11">
      <c r="A116" s="13"/>
      <c r="B116" s="542" t="s">
        <v>98</v>
      </c>
      <c r="C116" s="544" t="s">
        <v>66</v>
      </c>
      <c r="D116" s="133"/>
      <c r="E116" s="133">
        <v>0</v>
      </c>
      <c r="F116" s="133">
        <v>0</v>
      </c>
      <c r="G116" s="133" t="s">
        <v>66</v>
      </c>
      <c r="H116" s="545">
        <f>1509185805.81-194569256.27</f>
        <v>1314616549.54</v>
      </c>
    </row>
    <row r="117" spans="1:11" ht="13.5" thickBot="1">
      <c r="A117" s="13"/>
      <c r="B117" s="546"/>
      <c r="C117" s="544"/>
      <c r="D117" s="133"/>
      <c r="E117" s="133"/>
      <c r="F117" s="133"/>
      <c r="G117" s="133"/>
      <c r="H117" s="545"/>
    </row>
    <row r="118" spans="1:11" ht="13.5" thickBot="1">
      <c r="A118" s="13"/>
      <c r="B118" s="543" t="s">
        <v>171</v>
      </c>
      <c r="C118" s="547" t="s">
        <v>66</v>
      </c>
      <c r="D118" s="519"/>
      <c r="E118" s="519">
        <v>0</v>
      </c>
      <c r="F118" s="519">
        <v>0</v>
      </c>
      <c r="G118" s="519">
        <v>0</v>
      </c>
      <c r="H118" s="519">
        <f>H116</f>
        <v>1314616549.54</v>
      </c>
    </row>
    <row r="119" spans="1:11">
      <c r="A119" s="513"/>
      <c r="B119" s="516"/>
      <c r="C119" s="520"/>
      <c r="D119" s="521"/>
      <c r="E119" s="521"/>
      <c r="F119" s="521"/>
      <c r="G119" s="521"/>
      <c r="H119" s="521"/>
      <c r="I119" s="245"/>
      <c r="J119" s="244"/>
    </row>
    <row r="120" spans="1:11">
      <c r="A120" s="513"/>
      <c r="B120" s="516"/>
      <c r="C120" s="520"/>
      <c r="D120" s="521"/>
      <c r="E120" s="521"/>
      <c r="F120" s="521"/>
      <c r="G120" s="521"/>
      <c r="H120" s="522">
        <f>H118+H109</f>
        <v>1314616549.54</v>
      </c>
      <c r="I120" s="245"/>
      <c r="J120" s="244"/>
    </row>
    <row r="121" spans="1:11">
      <c r="A121" s="513"/>
      <c r="B121" s="516"/>
      <c r="C121" s="520"/>
      <c r="D121" s="521"/>
      <c r="E121" s="521"/>
      <c r="F121" s="521"/>
      <c r="G121" s="521"/>
      <c r="H121" s="521"/>
      <c r="I121" s="245"/>
      <c r="J121" s="244"/>
    </row>
    <row r="122" spans="1:11">
      <c r="G122" s="246"/>
      <c r="H122" s="246"/>
      <c r="J122" s="244"/>
    </row>
    <row r="123" spans="1:11">
      <c r="B123" s="15">
        <v>1210</v>
      </c>
      <c r="E123" s="200">
        <f>G57+G86+35516293.36</f>
        <v>1354227450.23</v>
      </c>
      <c r="G123" s="200"/>
      <c r="H123" s="200"/>
    </row>
    <row r="124" spans="1:11">
      <c r="B124" s="15">
        <v>1220</v>
      </c>
      <c r="E124" s="200">
        <f>G12+G28</f>
        <v>5331848992.4300013</v>
      </c>
      <c r="G124" s="200"/>
      <c r="H124" s="200"/>
      <c r="I124" s="244"/>
    </row>
    <row r="125" spans="1:11">
      <c r="B125" s="15">
        <v>1260</v>
      </c>
      <c r="E125" s="200"/>
      <c r="G125" s="200"/>
      <c r="H125" s="200"/>
    </row>
    <row r="126" spans="1:11">
      <c r="B126" s="15" t="s">
        <v>14</v>
      </c>
      <c r="E126" s="200"/>
      <c r="G126" s="200"/>
      <c r="H126" s="200"/>
    </row>
    <row r="127" spans="1:11">
      <c r="B127" s="15" t="s">
        <v>250</v>
      </c>
      <c r="E127" s="200">
        <f>G14+G69</f>
        <v>2385355502.8300004</v>
      </c>
      <c r="G127" s="200"/>
      <c r="H127" s="200"/>
    </row>
    <row r="128" spans="1:11">
      <c r="B128" s="15">
        <v>1610</v>
      </c>
      <c r="E128" s="200"/>
      <c r="G128" s="200"/>
      <c r="H128" s="200"/>
    </row>
    <row r="129" spans="2:9">
      <c r="B129" s="15">
        <v>2120</v>
      </c>
      <c r="E129" s="200"/>
      <c r="G129" s="200"/>
      <c r="H129" s="200"/>
    </row>
    <row r="130" spans="2:9">
      <c r="B130" s="15">
        <v>2170</v>
      </c>
      <c r="E130" s="200"/>
      <c r="G130" s="200"/>
      <c r="H130" s="200"/>
    </row>
    <row r="131" spans="2:9">
      <c r="B131" s="246" t="s">
        <v>195</v>
      </c>
      <c r="E131" s="247">
        <f>SUM(E123:E130)</f>
        <v>9071431945.4900017</v>
      </c>
      <c r="G131" s="248"/>
      <c r="H131" s="248"/>
    </row>
    <row r="132" spans="2:9">
      <c r="B132" s="15">
        <v>3310</v>
      </c>
      <c r="F132" s="200">
        <f>H74</f>
        <v>669609259.79999995</v>
      </c>
      <c r="G132" s="200"/>
      <c r="H132" s="200"/>
    </row>
    <row r="133" spans="2:9">
      <c r="B133" s="15">
        <v>3320</v>
      </c>
      <c r="F133" s="249">
        <f>H19+H35</f>
        <v>4336865099.29</v>
      </c>
      <c r="G133" s="200"/>
      <c r="H133" s="200"/>
      <c r="I133" s="244"/>
    </row>
    <row r="134" spans="2:9">
      <c r="B134" s="15">
        <v>3360</v>
      </c>
      <c r="F134" s="200"/>
      <c r="G134" s="200"/>
      <c r="H134" s="200"/>
    </row>
    <row r="135" spans="2:9">
      <c r="B135" s="15">
        <v>3510</v>
      </c>
      <c r="F135" s="200">
        <f>H98</f>
        <v>982000</v>
      </c>
      <c r="G135" s="200"/>
      <c r="H135" s="200"/>
    </row>
    <row r="136" spans="2:9">
      <c r="B136" s="15">
        <v>3540.01</v>
      </c>
      <c r="F136" s="200"/>
      <c r="G136" s="200"/>
      <c r="H136" s="200"/>
    </row>
    <row r="137" spans="2:9">
      <c r="B137" s="15" t="s">
        <v>269</v>
      </c>
      <c r="F137" s="200"/>
      <c r="G137" s="200"/>
      <c r="H137" s="200"/>
    </row>
    <row r="138" spans="2:9">
      <c r="B138" s="15" t="s">
        <v>259</v>
      </c>
      <c r="F138" s="200"/>
      <c r="G138" s="200"/>
      <c r="H138" s="200"/>
    </row>
    <row r="139" spans="2:9">
      <c r="B139" s="15" t="s">
        <v>267</v>
      </c>
      <c r="F139" s="200"/>
      <c r="G139" s="200"/>
      <c r="H139" s="200"/>
    </row>
    <row r="140" spans="2:9">
      <c r="B140" s="15" t="s">
        <v>263</v>
      </c>
      <c r="F140" s="200">
        <f>H22+H37+H77</f>
        <v>2710730032.8600001</v>
      </c>
      <c r="G140" s="200"/>
      <c r="H140" s="200"/>
    </row>
    <row r="141" spans="2:9">
      <c r="B141" s="15">
        <v>4120</v>
      </c>
      <c r="F141" s="200"/>
      <c r="G141" s="200"/>
      <c r="H141" s="200"/>
    </row>
    <row r="142" spans="2:9">
      <c r="B142" s="15">
        <v>3100</v>
      </c>
      <c r="F142" s="200">
        <f>H120</f>
        <v>1314616549.54</v>
      </c>
      <c r="G142" s="200"/>
      <c r="H142" s="200"/>
    </row>
    <row r="143" spans="2:9">
      <c r="B143" s="15">
        <v>60</v>
      </c>
      <c r="F143" s="585">
        <v>38629004</v>
      </c>
      <c r="G143" s="200"/>
      <c r="H143" s="200"/>
    </row>
    <row r="144" spans="2:9">
      <c r="B144" s="246" t="s">
        <v>196</v>
      </c>
      <c r="F144" s="247">
        <f>SUM(F132:F143)</f>
        <v>9071431945.4900017</v>
      </c>
      <c r="G144" s="200"/>
      <c r="H144" s="248"/>
    </row>
    <row r="145" spans="2:8">
      <c r="B145" s="15">
        <v>1622</v>
      </c>
      <c r="E145" s="200">
        <v>0</v>
      </c>
      <c r="F145" s="200"/>
      <c r="G145" s="200">
        <f>G123-G142</f>
        <v>0</v>
      </c>
      <c r="H145" s="200"/>
    </row>
    <row r="146" spans="2:8">
      <c r="B146" s="15">
        <v>2920</v>
      </c>
      <c r="E146" s="200">
        <v>0</v>
      </c>
      <c r="F146" s="200"/>
      <c r="G146" s="200"/>
      <c r="H146" s="200"/>
    </row>
    <row r="147" spans="2:8">
      <c r="B147" s="246" t="s">
        <v>146</v>
      </c>
      <c r="E147" s="247">
        <v>0</v>
      </c>
      <c r="G147" s="249"/>
      <c r="H147" s="200"/>
    </row>
    <row r="148" spans="2:8">
      <c r="B148" s="15">
        <v>3520</v>
      </c>
      <c r="F148" s="200">
        <v>0</v>
      </c>
      <c r="G148" s="200"/>
      <c r="H148" s="200"/>
    </row>
    <row r="149" spans="2:8">
      <c r="B149" s="15">
        <v>4420</v>
      </c>
      <c r="F149" s="200"/>
      <c r="G149" s="200"/>
      <c r="H149" s="200"/>
    </row>
    <row r="150" spans="2:8">
      <c r="B150" s="246" t="s">
        <v>42</v>
      </c>
      <c r="F150" s="247">
        <v>0</v>
      </c>
      <c r="G150" s="200"/>
      <c r="H150" s="200"/>
    </row>
    <row r="151" spans="2:8">
      <c r="G151" s="200"/>
      <c r="H151" s="200"/>
    </row>
    <row r="152" spans="2:8">
      <c r="B152" s="250" t="s">
        <v>91</v>
      </c>
      <c r="E152" s="247">
        <f>E131</f>
        <v>9071431945.4900017</v>
      </c>
      <c r="F152" s="247">
        <f>F144</f>
        <v>9071431945.4900017</v>
      </c>
      <c r="G152" s="248"/>
      <c r="H152" s="248"/>
    </row>
    <row r="154" spans="2:8">
      <c r="F154" s="374">
        <f>E152-F152</f>
        <v>0</v>
      </c>
      <c r="H154" s="252"/>
    </row>
    <row r="155" spans="2:8">
      <c r="F155" s="374"/>
      <c r="H155"/>
    </row>
    <row r="156" spans="2:8">
      <c r="E156" s="246"/>
      <c r="F156" s="251"/>
    </row>
    <row r="159" spans="2:8">
      <c r="E159" s="246"/>
      <c r="F159" s="251"/>
    </row>
    <row r="160" spans="2:8">
      <c r="B160"/>
      <c r="C160"/>
      <c r="D160"/>
      <c r="E160"/>
      <c r="F160" s="251"/>
      <c r="G160"/>
      <c r="H160"/>
    </row>
    <row r="161" spans="2:8">
      <c r="B161"/>
      <c r="C161"/>
      <c r="D161"/>
      <c r="E161"/>
      <c r="F161" s="253"/>
      <c r="G161"/>
      <c r="H161"/>
    </row>
  </sheetData>
  <mergeCells count="7">
    <mergeCell ref="B1:G1"/>
    <mergeCell ref="B4:H4"/>
    <mergeCell ref="B5:H5"/>
    <mergeCell ref="B6:H6"/>
    <mergeCell ref="C8:D8"/>
    <mergeCell ref="E8:F8"/>
    <mergeCell ref="G8:H8"/>
  </mergeCells>
  <phoneticPr fontId="13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  <rowBreaks count="1" manualBreakCount="1">
    <brk id="12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236"/>
  <sheetViews>
    <sheetView topLeftCell="A73" workbookViewId="0">
      <selection activeCell="C196" sqref="C196"/>
    </sheetView>
  </sheetViews>
  <sheetFormatPr defaultRowHeight="12.75" outlineLevelRow="1"/>
  <cols>
    <col min="1" max="1" width="19.140625" customWidth="1"/>
    <col min="2" max="2" width="17.42578125" customWidth="1"/>
    <col min="3" max="3" width="18" customWidth="1"/>
    <col min="4" max="4" width="19.140625" customWidth="1"/>
    <col min="5" max="5" width="17" customWidth="1"/>
    <col min="6" max="6" width="17.28515625" customWidth="1"/>
    <col min="7" max="7" width="17.42578125" customWidth="1"/>
    <col min="8" max="8" width="16.28515625" style="290" customWidth="1"/>
    <col min="9" max="9" width="9" bestFit="1" customWidth="1"/>
  </cols>
  <sheetData>
    <row r="1" spans="1:8" s="13" customFormat="1">
      <c r="A1" s="201" t="s">
        <v>4</v>
      </c>
      <c r="G1" s="13" t="s">
        <v>72</v>
      </c>
      <c r="H1" s="267"/>
    </row>
    <row r="2" spans="1:8" s="13" customFormat="1" ht="15">
      <c r="A2" s="41" t="s">
        <v>92</v>
      </c>
      <c r="B2" s="16"/>
      <c r="C2" s="16"/>
      <c r="D2" s="16"/>
      <c r="E2" s="16"/>
      <c r="F2" s="16"/>
      <c r="G2" s="16"/>
      <c r="H2" s="267"/>
    </row>
    <row r="3" spans="1:8" s="13" customFormat="1">
      <c r="A3" s="132"/>
      <c r="B3" s="16"/>
      <c r="C3" s="1608" t="s">
        <v>632</v>
      </c>
      <c r="D3" s="1613"/>
      <c r="E3" s="1613"/>
      <c r="F3" s="1613"/>
      <c r="G3" s="16"/>
      <c r="H3" s="267"/>
    </row>
    <row r="4" spans="1:8" s="13" customFormat="1">
      <c r="A4" s="1603" t="s">
        <v>48</v>
      </c>
      <c r="B4" s="1603"/>
      <c r="C4" s="1603"/>
      <c r="D4" s="1603"/>
      <c r="E4" s="1603"/>
      <c r="F4" s="1603"/>
      <c r="G4" s="1603"/>
      <c r="H4" s="267"/>
    </row>
    <row r="5" spans="1:8" s="13" customFormat="1">
      <c r="A5" s="1603" t="s">
        <v>49</v>
      </c>
      <c r="B5" s="1603"/>
      <c r="C5" s="1603"/>
      <c r="D5" s="1603"/>
      <c r="E5" s="1603"/>
      <c r="F5" s="1603"/>
      <c r="G5" s="1603"/>
      <c r="H5" s="267"/>
    </row>
    <row r="6" spans="1:8" s="13" customFormat="1">
      <c r="A6" s="1603" t="s">
        <v>65</v>
      </c>
      <c r="B6" s="1603"/>
      <c r="C6" s="1603"/>
      <c r="D6" s="1603"/>
      <c r="E6" s="1603"/>
      <c r="F6" s="1603"/>
      <c r="G6" s="1603"/>
      <c r="H6" s="267"/>
    </row>
    <row r="7" spans="1:8" s="13" customFormat="1" ht="5.25" customHeight="1" thickBot="1">
      <c r="H7" s="267"/>
    </row>
    <row r="8" spans="1:8" s="13" customFormat="1">
      <c r="A8" s="17" t="s">
        <v>188</v>
      </c>
      <c r="B8" s="1604" t="s">
        <v>154</v>
      </c>
      <c r="C8" s="1604"/>
      <c r="D8" s="1604" t="s">
        <v>155</v>
      </c>
      <c r="E8" s="1604"/>
      <c r="F8" s="1605" t="s">
        <v>156</v>
      </c>
      <c r="G8" s="1605"/>
      <c r="H8" s="267"/>
    </row>
    <row r="9" spans="1:8" s="13" customFormat="1" ht="13.5" thickBot="1">
      <c r="A9" s="20"/>
      <c r="B9" s="42" t="s">
        <v>189</v>
      </c>
      <c r="C9" s="42" t="s">
        <v>190</v>
      </c>
      <c r="D9" s="42" t="s">
        <v>189</v>
      </c>
      <c r="E9" s="43" t="s">
        <v>190</v>
      </c>
      <c r="F9" s="42" t="s">
        <v>189</v>
      </c>
      <c r="G9" s="44" t="s">
        <v>190</v>
      </c>
      <c r="H9" s="267"/>
    </row>
    <row r="10" spans="1:8" s="13" customFormat="1" ht="35.1" customHeight="1">
      <c r="A10" s="45" t="s">
        <v>68</v>
      </c>
      <c r="B10" s="46"/>
      <c r="C10" s="47"/>
      <c r="D10" s="46"/>
      <c r="E10" s="46"/>
      <c r="F10" s="46"/>
      <c r="G10" s="47"/>
      <c r="H10" s="267"/>
    </row>
    <row r="11" spans="1:8" s="13" customFormat="1" ht="12.6" customHeight="1" outlineLevel="1">
      <c r="A11" s="187">
        <v>1100</v>
      </c>
      <c r="B11" s="268">
        <v>562007221</v>
      </c>
      <c r="C11" s="48">
        <v>26958747.41</v>
      </c>
      <c r="D11" s="268">
        <v>87831044.719999999</v>
      </c>
      <c r="E11" s="268">
        <v>622879518.30999994</v>
      </c>
      <c r="F11" s="269"/>
      <c r="G11" s="377"/>
      <c r="H11" s="267"/>
    </row>
    <row r="12" spans="1:8" s="13" customFormat="1" outlineLevel="1">
      <c r="A12" s="270" t="s">
        <v>96</v>
      </c>
      <c r="B12" s="271">
        <v>554290000</v>
      </c>
      <c r="C12" s="272"/>
      <c r="D12" s="273"/>
      <c r="E12" s="273">
        <v>554290000</v>
      </c>
      <c r="F12" s="274">
        <v>0</v>
      </c>
      <c r="G12" s="48"/>
      <c r="H12" s="267"/>
    </row>
    <row r="13" spans="1:8" s="13" customFormat="1" outlineLevel="1">
      <c r="A13" s="134">
        <v>1120</v>
      </c>
      <c r="B13" s="268">
        <f t="shared" ref="B13:G13" si="0">B11</f>
        <v>562007221</v>
      </c>
      <c r="C13" s="272">
        <f t="shared" si="0"/>
        <v>26958747.41</v>
      </c>
      <c r="D13" s="268">
        <f t="shared" si="0"/>
        <v>87831044.719999999</v>
      </c>
      <c r="E13" s="268">
        <f t="shared" si="0"/>
        <v>622879518.30999994</v>
      </c>
      <c r="F13" s="268">
        <f t="shared" si="0"/>
        <v>0</v>
      </c>
      <c r="G13" s="275">
        <f t="shared" si="0"/>
        <v>0</v>
      </c>
      <c r="H13" s="141"/>
    </row>
    <row r="14" spans="1:8" s="13" customFormat="1" ht="14.25" customHeight="1" outlineLevel="1">
      <c r="A14" s="137" t="s">
        <v>96</v>
      </c>
      <c r="B14" s="271">
        <f>B12</f>
        <v>554290000</v>
      </c>
      <c r="C14" s="272"/>
      <c r="D14" s="273">
        <f>D12</f>
        <v>0</v>
      </c>
      <c r="E14" s="273">
        <f>E12</f>
        <v>554290000</v>
      </c>
      <c r="F14" s="273">
        <f>F12</f>
        <v>0</v>
      </c>
      <c r="G14" s="138"/>
      <c r="H14" s="141"/>
    </row>
    <row r="15" spans="1:8" s="13" customFormat="1" outlineLevel="1">
      <c r="A15" s="134">
        <v>1122</v>
      </c>
      <c r="B15" s="268">
        <f>B13</f>
        <v>562007221</v>
      </c>
      <c r="C15" s="272">
        <f>C13</f>
        <v>26958747.41</v>
      </c>
      <c r="D15" s="268">
        <f>D11</f>
        <v>87831044.719999999</v>
      </c>
      <c r="E15" s="268">
        <f>E13</f>
        <v>622879518.30999994</v>
      </c>
      <c r="F15" s="268">
        <f>F11</f>
        <v>0</v>
      </c>
      <c r="G15" s="275">
        <f>G11</f>
        <v>0</v>
      </c>
      <c r="H15" s="141"/>
    </row>
    <row r="16" spans="1:8" s="13" customFormat="1" outlineLevel="1">
      <c r="A16" s="139" t="s">
        <v>73</v>
      </c>
      <c r="B16" s="268">
        <f>B14</f>
        <v>554290000</v>
      </c>
      <c r="C16" s="272"/>
      <c r="D16" s="268">
        <v>87831044.719999999</v>
      </c>
      <c r="E16" s="268">
        <v>554550000</v>
      </c>
      <c r="F16" s="276">
        <v>0</v>
      </c>
      <c r="G16" s="138"/>
      <c r="H16" s="141"/>
    </row>
    <row r="17" spans="1:15" s="13" customFormat="1" outlineLevel="1">
      <c r="A17" s="139" t="s">
        <v>84</v>
      </c>
      <c r="B17" s="22"/>
      <c r="C17" s="268">
        <v>2378644.83</v>
      </c>
      <c r="D17" s="268">
        <v>2191042.4300000002</v>
      </c>
      <c r="E17" s="268"/>
      <c r="F17" s="272"/>
      <c r="G17" s="277"/>
      <c r="H17" s="141"/>
    </row>
    <row r="18" spans="1:15" s="13" customFormat="1" outlineLevel="1">
      <c r="A18" s="139" t="s">
        <v>87</v>
      </c>
      <c r="B18" s="22">
        <v>460421.45</v>
      </c>
      <c r="C18" s="237"/>
      <c r="D18" s="268"/>
      <c r="E18" s="268">
        <v>438684.35</v>
      </c>
      <c r="F18" s="268"/>
      <c r="G18" s="238"/>
      <c r="H18" s="141"/>
    </row>
    <row r="19" spans="1:15" s="13" customFormat="1" outlineLevel="1">
      <c r="A19" s="139" t="s">
        <v>85</v>
      </c>
      <c r="B19" s="268">
        <v>7256799.5499999998</v>
      </c>
      <c r="C19" s="272"/>
      <c r="D19" s="268">
        <v>23637900.43</v>
      </c>
      <c r="E19" s="268">
        <v>354724.41</v>
      </c>
      <c r="F19" s="268"/>
      <c r="G19" s="48"/>
      <c r="H19" s="141"/>
    </row>
    <row r="20" spans="1:15" s="13" customFormat="1" outlineLevel="1">
      <c r="A20" s="139" t="s">
        <v>86</v>
      </c>
      <c r="B20" s="22"/>
      <c r="C20" s="268">
        <v>24580102.579999998</v>
      </c>
      <c r="D20" s="268">
        <v>577126.09</v>
      </c>
      <c r="E20" s="268">
        <v>5880743.6799999997</v>
      </c>
      <c r="F20" s="272"/>
      <c r="G20" s="277"/>
      <c r="H20" s="278"/>
    </row>
    <row r="21" spans="1:15" s="13" customFormat="1" ht="12.6" customHeight="1" outlineLevel="1">
      <c r="A21" s="187">
        <v>1200</v>
      </c>
      <c r="B21" s="279">
        <v>8745464.4600000009</v>
      </c>
      <c r="C21" s="280"/>
      <c r="D21" s="279">
        <v>33000035.550000001</v>
      </c>
      <c r="E21" s="279">
        <v>22226933.359999999</v>
      </c>
      <c r="F21" s="279"/>
      <c r="G21" s="48"/>
      <c r="H21" s="267"/>
    </row>
    <row r="22" spans="1:15" s="13" customFormat="1" ht="12.6" customHeight="1" outlineLevel="1">
      <c r="A22" s="187">
        <v>6100</v>
      </c>
      <c r="B22" s="281"/>
      <c r="C22" s="282"/>
      <c r="D22" s="279">
        <v>30894699.98</v>
      </c>
      <c r="E22" s="279">
        <v>23637900.43</v>
      </c>
      <c r="F22" s="281"/>
      <c r="G22" s="48"/>
      <c r="H22" s="267"/>
    </row>
    <row r="23" spans="1:15" s="13" customFormat="1" ht="12.6" customHeight="1" outlineLevel="1">
      <c r="A23" s="187">
        <v>7300</v>
      </c>
      <c r="B23" s="281"/>
      <c r="C23" s="282"/>
      <c r="D23" s="279">
        <v>6339696.9000000004</v>
      </c>
      <c r="E23" s="279">
        <v>30919799.48</v>
      </c>
      <c r="F23" s="281"/>
      <c r="G23" s="48"/>
      <c r="H23" s="267"/>
    </row>
    <row r="24" spans="1:15" s="13" customFormat="1" ht="12.6" customHeight="1">
      <c r="A24" s="49" t="s">
        <v>171</v>
      </c>
      <c r="B24" s="283">
        <v>543793938.04999995</v>
      </c>
      <c r="C24" s="50"/>
      <c r="D24" s="239">
        <v>65996297</v>
      </c>
      <c r="E24" s="239">
        <v>62210836.729999997</v>
      </c>
      <c r="F24" s="283">
        <v>0</v>
      </c>
      <c r="G24" s="51"/>
      <c r="H24" s="267"/>
    </row>
    <row r="25" spans="1:15" s="13" customFormat="1" ht="12.6" customHeight="1">
      <c r="A25" s="52" t="s">
        <v>97</v>
      </c>
      <c r="B25" s="53">
        <v>554290000</v>
      </c>
      <c r="C25" s="178"/>
      <c r="D25" s="177">
        <f>D12</f>
        <v>0</v>
      </c>
      <c r="E25" s="177">
        <f>E12</f>
        <v>554290000</v>
      </c>
      <c r="F25" s="53">
        <f>F12</f>
        <v>0</v>
      </c>
      <c r="G25" s="54"/>
      <c r="H25" s="267"/>
    </row>
    <row r="26" spans="1:15" s="13" customFormat="1" ht="35.1" customHeight="1">
      <c r="A26" s="45" t="s">
        <v>50</v>
      </c>
      <c r="B26" s="46"/>
      <c r="C26" s="46"/>
      <c r="D26" s="46"/>
      <c r="E26" s="46"/>
      <c r="F26" s="46"/>
      <c r="G26" s="47"/>
      <c r="H26" s="267"/>
    </row>
    <row r="27" spans="1:15" s="13" customFormat="1" ht="12.6" customHeight="1" outlineLevel="1">
      <c r="A27" s="187">
        <v>1100</v>
      </c>
      <c r="B27" s="269">
        <v>1110782360.9300001</v>
      </c>
      <c r="C27" s="377">
        <v>153861337.62</v>
      </c>
      <c r="D27" s="268">
        <v>39496187.159999996</v>
      </c>
      <c r="E27" s="268">
        <v>49620815.810000002</v>
      </c>
      <c r="F27" s="269"/>
      <c r="G27" s="377"/>
      <c r="H27" s="267"/>
    </row>
    <row r="28" spans="1:15" s="13" customFormat="1" outlineLevel="1">
      <c r="A28" s="270" t="s">
        <v>96</v>
      </c>
      <c r="B28" s="274">
        <v>995480000</v>
      </c>
      <c r="C28" s="48"/>
      <c r="D28" s="273">
        <v>1011360000</v>
      </c>
      <c r="E28" s="273">
        <v>1013650000</v>
      </c>
      <c r="F28" s="274"/>
      <c r="G28" s="48"/>
      <c r="H28" s="267"/>
    </row>
    <row r="29" spans="1:15" s="13" customFormat="1" ht="15" outlineLevel="1">
      <c r="A29" s="134">
        <v>1120</v>
      </c>
      <c r="B29" s="268">
        <f>B27</f>
        <v>1110782360.9300001</v>
      </c>
      <c r="C29" s="275">
        <v>153861337.62</v>
      </c>
      <c r="D29" s="268">
        <f>D27</f>
        <v>39496187.159999996</v>
      </c>
      <c r="E29" s="268">
        <f>E27</f>
        <v>49620815.810000002</v>
      </c>
      <c r="F29" s="268"/>
      <c r="G29" s="275"/>
      <c r="H29" s="141"/>
      <c r="I29" s="136"/>
      <c r="J29" s="136"/>
      <c r="K29" s="136"/>
      <c r="L29" s="136"/>
      <c r="M29" s="136"/>
      <c r="N29" s="136"/>
      <c r="O29" s="136"/>
    </row>
    <row r="30" spans="1:15" s="13" customFormat="1" ht="15" outlineLevel="1">
      <c r="A30" s="137" t="s">
        <v>96</v>
      </c>
      <c r="B30" s="273">
        <f>B28</f>
        <v>995480000</v>
      </c>
      <c r="C30" s="138"/>
      <c r="D30" s="273">
        <v>1011360000</v>
      </c>
      <c r="E30" s="273">
        <f>E28</f>
        <v>1013650000</v>
      </c>
      <c r="F30" s="279"/>
      <c r="G30" s="275"/>
      <c r="H30" s="141"/>
      <c r="I30" s="136"/>
      <c r="J30" s="136"/>
      <c r="K30" s="136"/>
      <c r="L30" s="136"/>
      <c r="M30" s="136"/>
      <c r="N30" s="136"/>
      <c r="O30" s="136"/>
    </row>
    <row r="31" spans="1:15" s="13" customFormat="1" ht="15" outlineLevel="1">
      <c r="A31" s="134">
        <v>1122</v>
      </c>
      <c r="B31" s="268">
        <f>B29</f>
        <v>1110782360.9300001</v>
      </c>
      <c r="C31" s="284">
        <f>C29</f>
        <v>153861337.62</v>
      </c>
      <c r="D31" s="268">
        <f>D29</f>
        <v>39496187.159999996</v>
      </c>
      <c r="E31" s="268">
        <f>E27</f>
        <v>49620815.810000002</v>
      </c>
      <c r="F31" s="384"/>
      <c r="G31" s="382"/>
      <c r="H31" s="141"/>
      <c r="I31" s="140"/>
      <c r="J31" s="140"/>
      <c r="K31" s="140"/>
      <c r="L31" s="140"/>
      <c r="M31" s="140"/>
      <c r="N31" s="140"/>
      <c r="O31" s="140"/>
    </row>
    <row r="32" spans="1:15" s="13" customFormat="1" ht="15" outlineLevel="1">
      <c r="A32" s="139" t="s">
        <v>73</v>
      </c>
      <c r="B32" s="276">
        <f>B28</f>
        <v>995480000</v>
      </c>
      <c r="C32" s="138"/>
      <c r="D32" s="268">
        <v>1222375650.8499999</v>
      </c>
      <c r="E32" s="268">
        <v>1224665650.8499999</v>
      </c>
      <c r="F32" s="386"/>
      <c r="G32" s="382"/>
      <c r="H32" s="141"/>
      <c r="I32" s="140"/>
      <c r="J32" s="140"/>
      <c r="K32" s="140"/>
      <c r="L32" s="140"/>
      <c r="M32" s="140"/>
      <c r="N32" s="140"/>
      <c r="O32" s="140"/>
    </row>
    <row r="33" spans="1:15" s="13" customFormat="1" ht="15" outlineLevel="1">
      <c r="A33" s="139" t="s">
        <v>84</v>
      </c>
      <c r="B33" s="272"/>
      <c r="C33" s="277">
        <v>54336042.710000001</v>
      </c>
      <c r="D33" s="268">
        <v>164627112.62</v>
      </c>
      <c r="E33" s="268">
        <v>89021624.859999999</v>
      </c>
      <c r="F33" s="384"/>
      <c r="G33" s="382"/>
      <c r="H33" s="141"/>
      <c r="I33" s="140"/>
      <c r="J33" s="140"/>
      <c r="K33" s="140"/>
      <c r="L33" s="140"/>
      <c r="M33" s="140"/>
      <c r="N33" s="140"/>
      <c r="O33" s="140"/>
    </row>
    <row r="34" spans="1:15" s="13" customFormat="1" ht="15" outlineLevel="1">
      <c r="A34" s="139" t="s">
        <v>87</v>
      </c>
      <c r="B34" s="22"/>
      <c r="C34" s="138"/>
      <c r="D34" s="272"/>
      <c r="E34" s="268">
        <v>3654182.91</v>
      </c>
      <c r="F34" s="384"/>
      <c r="G34" s="382"/>
      <c r="H34" s="194"/>
      <c r="I34" s="140"/>
      <c r="J34" s="140"/>
      <c r="K34" s="140"/>
      <c r="L34" s="140"/>
      <c r="M34" s="140"/>
      <c r="N34" s="140"/>
      <c r="O34" s="140"/>
    </row>
    <row r="35" spans="1:15" s="13" customFormat="1" ht="15" outlineLevel="1">
      <c r="A35" s="139" t="s">
        <v>85</v>
      </c>
      <c r="B35" s="268">
        <v>115302360.93000001</v>
      </c>
      <c r="C35" s="138"/>
      <c r="D35" s="268">
        <v>75609148.329999998</v>
      </c>
      <c r="E35" s="268">
        <v>207536668.5</v>
      </c>
      <c r="F35" s="384"/>
      <c r="G35" s="382"/>
      <c r="H35" s="141"/>
      <c r="I35" s="140"/>
      <c r="J35" s="140"/>
      <c r="K35" s="140"/>
      <c r="L35" s="140"/>
      <c r="M35" s="140"/>
      <c r="N35" s="140"/>
      <c r="O35" s="140"/>
    </row>
    <row r="36" spans="1:15" s="13" customFormat="1" ht="15" outlineLevel="1">
      <c r="A36" s="139" t="s">
        <v>86</v>
      </c>
      <c r="B36" s="272"/>
      <c r="C36" s="277">
        <v>99525294.909999996</v>
      </c>
      <c r="D36" s="268">
        <v>239193219.31</v>
      </c>
      <c r="E36" s="268">
        <v>108542883.54000001</v>
      </c>
      <c r="F36" s="384"/>
      <c r="G36" s="382"/>
      <c r="H36" s="278"/>
      <c r="I36" s="140"/>
      <c r="J36" s="140"/>
      <c r="K36" s="140"/>
      <c r="L36" s="140"/>
      <c r="M36" s="140"/>
      <c r="N36" s="140"/>
      <c r="O36" s="140"/>
    </row>
    <row r="37" spans="1:15" s="13" customFormat="1" ht="12.6" customHeight="1" outlineLevel="1">
      <c r="A37" s="187">
        <v>1200</v>
      </c>
      <c r="B37" s="268">
        <v>31634142.280000001</v>
      </c>
      <c r="C37" s="48"/>
      <c r="D37" s="268">
        <v>182561804.19999999</v>
      </c>
      <c r="E37" s="268">
        <v>182634575.61000001</v>
      </c>
      <c r="F37" s="384"/>
      <c r="G37" s="382"/>
      <c r="H37" s="267"/>
    </row>
    <row r="38" spans="1:15" s="13" customFormat="1" ht="12.6" customHeight="1" outlineLevel="1">
      <c r="A38" s="187">
        <v>6100</v>
      </c>
      <c r="B38" s="22"/>
      <c r="C38" s="48"/>
      <c r="D38" s="268">
        <v>207536668.5</v>
      </c>
      <c r="E38" s="268">
        <v>75609148.329999998</v>
      </c>
      <c r="F38" s="384"/>
      <c r="G38" s="382"/>
      <c r="H38" s="267"/>
    </row>
    <row r="39" spans="1:15" s="13" customFormat="1" ht="12.6" customHeight="1" outlineLevel="1">
      <c r="A39" s="187">
        <v>7300</v>
      </c>
      <c r="B39" s="22"/>
      <c r="C39" s="48"/>
      <c r="D39" s="268">
        <v>106170966.91</v>
      </c>
      <c r="E39" s="268">
        <v>239193219.31</v>
      </c>
      <c r="F39" s="384"/>
      <c r="G39" s="382"/>
      <c r="H39" s="267"/>
    </row>
    <row r="40" spans="1:15" s="13" customFormat="1" ht="12.6" customHeight="1" outlineLevel="1">
      <c r="A40" s="188" t="s">
        <v>197</v>
      </c>
      <c r="B40" s="285"/>
      <c r="C40" s="193">
        <v>897737716</v>
      </c>
      <c r="D40" s="272"/>
      <c r="E40" s="272"/>
      <c r="F40" s="384"/>
      <c r="G40" s="382"/>
      <c r="H40" s="267"/>
    </row>
    <row r="41" spans="1:15" s="13" customFormat="1" outlineLevel="1">
      <c r="A41" s="270" t="s">
        <v>96</v>
      </c>
      <c r="B41" s="22"/>
      <c r="C41" s="193">
        <v>897737716</v>
      </c>
      <c r="D41" s="22"/>
      <c r="E41" s="22"/>
      <c r="F41" s="385"/>
      <c r="G41" s="383"/>
      <c r="H41" s="267"/>
    </row>
    <row r="42" spans="1:15" s="13" customFormat="1" ht="12.6" customHeight="1">
      <c r="A42" s="49" t="s">
        <v>171</v>
      </c>
      <c r="B42" s="239">
        <v>22506100.550000001</v>
      </c>
      <c r="C42" s="50"/>
      <c r="D42" s="239">
        <v>2200446487.3499999</v>
      </c>
      <c r="E42" s="239">
        <v>2130857953.9100001</v>
      </c>
      <c r="F42" s="286"/>
      <c r="G42" s="240"/>
      <c r="H42" s="267"/>
    </row>
    <row r="43" spans="1:15" s="13" customFormat="1" ht="12.6" customHeight="1">
      <c r="A43" s="52" t="s">
        <v>97</v>
      </c>
      <c r="B43" s="177">
        <v>997770000</v>
      </c>
      <c r="C43" s="178">
        <v>897737716</v>
      </c>
      <c r="D43" s="177">
        <v>1011360000</v>
      </c>
      <c r="E43" s="177">
        <v>1013650000</v>
      </c>
      <c r="F43" s="53"/>
      <c r="G43" s="193"/>
      <c r="H43" s="267"/>
    </row>
    <row r="44" spans="1:15" s="13" customFormat="1" ht="44.45" customHeight="1">
      <c r="A44" s="552" t="s">
        <v>560</v>
      </c>
      <c r="B44" s="46"/>
      <c r="C44" s="46"/>
      <c r="D44" s="46"/>
      <c r="E44" s="46"/>
      <c r="F44" s="46"/>
      <c r="G44" s="47"/>
      <c r="H44" s="287"/>
    </row>
    <row r="45" spans="1:15" s="13" customFormat="1" ht="12.6" customHeight="1" outlineLevel="1">
      <c r="A45" s="187">
        <v>1100</v>
      </c>
      <c r="B45" s="464"/>
      <c r="C45" s="442">
        <v>194852869.33000001</v>
      </c>
      <c r="D45" s="442">
        <v>220737521.13999999</v>
      </c>
      <c r="E45" s="442">
        <v>220737521.13999999</v>
      </c>
      <c r="F45" s="442">
        <v>0</v>
      </c>
      <c r="G45" s="443">
        <v>0</v>
      </c>
      <c r="H45" s="441"/>
    </row>
    <row r="46" spans="1:15" s="13" customFormat="1" outlineLevel="1">
      <c r="A46" s="270" t="s">
        <v>96</v>
      </c>
      <c r="B46" s="466"/>
      <c r="C46" s="282"/>
      <c r="D46" s="444">
        <v>184000000</v>
      </c>
      <c r="E46" s="444">
        <v>184000000</v>
      </c>
      <c r="F46" s="444">
        <v>0</v>
      </c>
      <c r="G46" s="48">
        <v>0</v>
      </c>
      <c r="H46" s="267"/>
    </row>
    <row r="47" spans="1:15" s="13" customFormat="1" ht="15" outlineLevel="1">
      <c r="A47" s="134">
        <v>1120</v>
      </c>
      <c r="B47" s="279">
        <f>B45</f>
        <v>0</v>
      </c>
      <c r="C47" s="442"/>
      <c r="D47" s="442">
        <v>191634504.36000001</v>
      </c>
      <c r="E47" s="442">
        <v>22051471.440000001</v>
      </c>
      <c r="F47" s="442">
        <v>0</v>
      </c>
      <c r="G47" s="443">
        <v>0</v>
      </c>
      <c r="H47" s="142"/>
      <c r="I47" s="140"/>
      <c r="J47" s="140"/>
      <c r="K47" s="140"/>
      <c r="L47" s="140"/>
      <c r="M47" s="140"/>
      <c r="N47" s="140"/>
      <c r="O47" s="140"/>
    </row>
    <row r="48" spans="1:15" s="13" customFormat="1" ht="15" outlineLevel="1">
      <c r="A48" s="137" t="s">
        <v>96</v>
      </c>
      <c r="B48" s="387">
        <f>B46</f>
        <v>0</v>
      </c>
      <c r="C48" s="388"/>
      <c r="D48" s="444">
        <v>184000000</v>
      </c>
      <c r="E48" s="579"/>
      <c r="F48" s="444">
        <v>0</v>
      </c>
      <c r="G48" s="138">
        <v>0</v>
      </c>
      <c r="H48" s="141"/>
      <c r="I48" s="140"/>
      <c r="J48" s="140"/>
      <c r="K48" s="140"/>
      <c r="L48" s="140"/>
      <c r="M48" s="140"/>
      <c r="N48" s="140"/>
      <c r="O48" s="140"/>
    </row>
    <row r="49" spans="1:15" s="13" customFormat="1" ht="15" outlineLevel="1">
      <c r="A49" s="134">
        <v>1122</v>
      </c>
      <c r="B49" s="279">
        <f>B45</f>
        <v>0</v>
      </c>
      <c r="C49" s="442"/>
      <c r="D49" s="442">
        <v>191634504.36000001</v>
      </c>
      <c r="E49" s="442">
        <v>22051471.440000001</v>
      </c>
      <c r="F49" s="442">
        <v>0</v>
      </c>
      <c r="G49" s="443">
        <v>0</v>
      </c>
      <c r="H49" s="141"/>
      <c r="I49" s="140"/>
      <c r="J49" s="140"/>
      <c r="K49" s="140"/>
      <c r="L49" s="140"/>
      <c r="M49" s="140"/>
      <c r="N49" s="140"/>
      <c r="O49" s="140"/>
    </row>
    <row r="50" spans="1:15" s="13" customFormat="1" ht="15" outlineLevel="1">
      <c r="A50" s="139" t="s">
        <v>73</v>
      </c>
      <c r="B50" s="464">
        <f>B46</f>
        <v>0</v>
      </c>
      <c r="C50" s="388"/>
      <c r="D50" s="442">
        <v>184000000</v>
      </c>
      <c r="E50" s="579"/>
      <c r="F50" s="442">
        <v>0</v>
      </c>
      <c r="G50" s="138">
        <v>0</v>
      </c>
      <c r="H50" s="141"/>
      <c r="I50" s="140"/>
      <c r="J50" s="140"/>
      <c r="K50" s="140"/>
      <c r="L50" s="140"/>
      <c r="M50" s="140"/>
      <c r="N50" s="140"/>
      <c r="O50" s="140"/>
    </row>
    <row r="51" spans="1:15" s="13" customFormat="1" ht="15" outlineLevel="1">
      <c r="A51" s="139" t="s">
        <v>84</v>
      </c>
      <c r="B51" s="280"/>
      <c r="C51" s="465"/>
      <c r="D51" s="442">
        <v>291479.51</v>
      </c>
      <c r="E51" s="442">
        <v>11174688</v>
      </c>
      <c r="F51" s="579"/>
      <c r="G51" s="443"/>
      <c r="H51" s="141"/>
      <c r="I51" s="140"/>
      <c r="J51" s="140"/>
      <c r="K51" s="140"/>
      <c r="L51" s="140"/>
      <c r="M51" s="140"/>
      <c r="N51" s="140"/>
      <c r="O51" s="140"/>
    </row>
    <row r="52" spans="1:15" s="13" customFormat="1" ht="15" outlineLevel="1">
      <c r="A52" s="139" t="s">
        <v>85</v>
      </c>
      <c r="B52" s="464"/>
      <c r="C52" s="388"/>
      <c r="D52" s="442"/>
      <c r="E52" s="442"/>
      <c r="F52" s="442"/>
      <c r="G52" s="138"/>
      <c r="H52" s="141"/>
      <c r="I52" s="140"/>
      <c r="J52" s="140"/>
      <c r="K52" s="140"/>
      <c r="L52" s="140"/>
      <c r="M52" s="140"/>
      <c r="N52" s="140"/>
      <c r="O52" s="140"/>
    </row>
    <row r="53" spans="1:15" s="13" customFormat="1" ht="15" outlineLevel="1">
      <c r="A53" s="139" t="s">
        <v>86</v>
      </c>
      <c r="B53" s="280"/>
      <c r="C53" s="442"/>
      <c r="D53" s="442"/>
      <c r="E53" s="442">
        <v>10876783.439999999</v>
      </c>
      <c r="F53" s="579"/>
      <c r="G53" s="443"/>
      <c r="H53" s="278"/>
      <c r="I53" s="140"/>
      <c r="J53" s="140"/>
      <c r="K53" s="140"/>
      <c r="L53" s="140"/>
      <c r="M53" s="140"/>
      <c r="N53" s="140"/>
      <c r="O53" s="140"/>
    </row>
    <row r="54" spans="1:15" s="13" customFormat="1" ht="12.6" customHeight="1" outlineLevel="1">
      <c r="A54" s="187">
        <v>1200</v>
      </c>
      <c r="B54" s="442"/>
      <c r="C54" s="282"/>
      <c r="D54" s="442">
        <v>12343333.33</v>
      </c>
      <c r="E54" s="442">
        <v>12343333.33</v>
      </c>
      <c r="F54" s="442"/>
      <c r="G54" s="48"/>
      <c r="H54" s="267"/>
    </row>
    <row r="55" spans="1:15" s="13" customFormat="1" ht="12.6" customHeight="1" outlineLevel="1">
      <c r="A55" s="187">
        <v>6100</v>
      </c>
      <c r="B55" s="281"/>
      <c r="C55" s="282"/>
      <c r="D55" s="442"/>
      <c r="E55" s="442"/>
      <c r="F55" s="22"/>
      <c r="G55" s="48"/>
      <c r="H55" s="267"/>
    </row>
    <row r="56" spans="1:15" s="13" customFormat="1" ht="12.6" customHeight="1" outlineLevel="1">
      <c r="A56" s="187">
        <v>7470</v>
      </c>
      <c r="B56" s="467"/>
      <c r="C56" s="442"/>
      <c r="D56" s="442">
        <v>10876783.439999999</v>
      </c>
      <c r="E56" s="442"/>
      <c r="F56" s="237"/>
      <c r="G56" s="48"/>
      <c r="H56" s="267"/>
    </row>
    <row r="57" spans="1:15" s="13" customFormat="1" ht="12.6" customHeight="1">
      <c r="A57" s="49" t="s">
        <v>171</v>
      </c>
      <c r="B57" s="468">
        <v>388479534.57999998</v>
      </c>
      <c r="C57" s="469"/>
      <c r="D57" s="445">
        <v>16330575.1</v>
      </c>
      <c r="E57" s="445">
        <v>3431185.33</v>
      </c>
      <c r="F57" s="445"/>
      <c r="G57" s="51"/>
      <c r="H57" s="267"/>
    </row>
    <row r="58" spans="1:15" s="13" customFormat="1" ht="12.6" customHeight="1" thickBot="1">
      <c r="A58" s="52" t="s">
        <v>97</v>
      </c>
      <c r="B58" s="470">
        <v>388440000</v>
      </c>
      <c r="C58" s="471"/>
      <c r="D58" s="288"/>
      <c r="E58" s="446"/>
      <c r="F58" s="447"/>
      <c r="G58" s="54"/>
      <c r="H58" s="267"/>
    </row>
    <row r="59" spans="1:15" s="13" customFormat="1" ht="13.5" thickBot="1">
      <c r="A59" s="55" t="s">
        <v>171</v>
      </c>
      <c r="B59" s="289">
        <v>388479534.57999998</v>
      </c>
      <c r="C59" s="242"/>
      <c r="D59" s="289">
        <v>16330575.1</v>
      </c>
      <c r="E59" s="583">
        <v>3431185.33</v>
      </c>
      <c r="F59" s="477"/>
      <c r="G59" s="242"/>
      <c r="H59" s="267"/>
    </row>
    <row r="60" spans="1:15">
      <c r="B60" s="245"/>
      <c r="G60" s="378">
        <f>SUM(G45:G56)</f>
        <v>0</v>
      </c>
      <c r="H60" s="389"/>
    </row>
    <row r="61" spans="1:15" ht="15">
      <c r="C61" s="291" t="s">
        <v>559</v>
      </c>
      <c r="D61" s="292"/>
      <c r="E61" s="291" t="s">
        <v>559</v>
      </c>
      <c r="F61" s="292"/>
    </row>
    <row r="62" spans="1:15" s="295" customFormat="1" ht="15">
      <c r="A62" s="171" t="s">
        <v>241</v>
      </c>
      <c r="B62" s="56"/>
      <c r="C62" s="320">
        <f>F45-G45-F46</f>
        <v>0</v>
      </c>
      <c r="D62" s="321"/>
      <c r="E62" s="320">
        <f>F11-F12-G11</f>
        <v>0</v>
      </c>
      <c r="F62" s="321"/>
      <c r="G62" s="293"/>
      <c r="H62" s="294"/>
    </row>
    <row r="63" spans="1:15" s="295" customFormat="1" ht="15">
      <c r="A63" s="56"/>
      <c r="B63" s="56"/>
      <c r="C63" s="320"/>
      <c r="D63" s="322"/>
      <c r="E63" s="296"/>
      <c r="F63" s="322"/>
      <c r="H63" s="267"/>
    </row>
    <row r="64" spans="1:15" s="295" customFormat="1" ht="34.5" customHeight="1">
      <c r="A64" s="1611" t="s">
        <v>302</v>
      </c>
      <c r="B64" s="1611"/>
      <c r="C64" s="323"/>
      <c r="D64" s="297">
        <f>-F50</f>
        <v>0</v>
      </c>
      <c r="E64" s="296"/>
      <c r="F64" s="297">
        <f>-F16</f>
        <v>0</v>
      </c>
      <c r="G64" s="295" t="s">
        <v>393</v>
      </c>
      <c r="I64" s="267"/>
    </row>
    <row r="65" spans="1:9" s="295" customFormat="1" ht="28.5" customHeight="1">
      <c r="A65" s="1611" t="s">
        <v>303</v>
      </c>
      <c r="B65" s="1611"/>
      <c r="C65" s="324">
        <f>G45-F45</f>
        <v>0</v>
      </c>
      <c r="D65" s="297"/>
      <c r="E65" s="324">
        <f>G11-F11</f>
        <v>0</v>
      </c>
      <c r="F65" s="321"/>
      <c r="G65" s="295" t="s">
        <v>394</v>
      </c>
      <c r="I65" s="267"/>
    </row>
    <row r="66" spans="1:9" s="295" customFormat="1" ht="14.25">
      <c r="A66" s="144"/>
      <c r="B66" s="144"/>
      <c r="C66" s="323"/>
      <c r="D66" s="297"/>
      <c r="E66" s="296"/>
      <c r="F66" s="321"/>
      <c r="I66" s="267"/>
    </row>
    <row r="67" spans="1:9" s="295" customFormat="1" ht="38.25" customHeight="1">
      <c r="A67" s="1611" t="s">
        <v>126</v>
      </c>
      <c r="B67" s="1611"/>
      <c r="C67" s="323"/>
      <c r="D67" s="578"/>
      <c r="E67" s="325"/>
      <c r="F67" s="297"/>
      <c r="I67" s="267"/>
    </row>
    <row r="68" spans="1:9" s="295" customFormat="1" ht="39.75" customHeight="1">
      <c r="A68" s="1611" t="s">
        <v>6</v>
      </c>
      <c r="B68" s="1611"/>
      <c r="C68" s="323"/>
      <c r="D68" s="297">
        <f>Переоценка!D59</f>
        <v>0</v>
      </c>
      <c r="E68" s="325"/>
      <c r="F68" s="297"/>
      <c r="I68" s="267"/>
    </row>
    <row r="69" spans="1:9" s="295" customFormat="1" ht="14.25">
      <c r="A69" s="1611" t="s">
        <v>344</v>
      </c>
      <c r="B69" s="1611"/>
      <c r="C69" s="324"/>
      <c r="D69" s="297"/>
      <c r="E69" s="296"/>
      <c r="F69" s="297"/>
      <c r="G69" s="318"/>
      <c r="H69" s="267"/>
    </row>
    <row r="70" spans="1:9" s="295" customFormat="1" ht="21" customHeight="1">
      <c r="A70" s="1611" t="s">
        <v>159</v>
      </c>
      <c r="B70" s="1611"/>
      <c r="C70" s="324"/>
      <c r="D70" s="297"/>
      <c r="E70" s="325"/>
      <c r="F70" s="321"/>
      <c r="H70" s="267"/>
    </row>
    <row r="71" spans="1:9" s="295" customFormat="1" ht="14.25" customHeight="1">
      <c r="A71" s="1612" t="s">
        <v>7</v>
      </c>
      <c r="B71" s="1612"/>
      <c r="C71" s="326"/>
      <c r="D71" s="327"/>
      <c r="E71" s="328"/>
      <c r="F71" s="329"/>
      <c r="H71" s="267"/>
    </row>
    <row r="72" spans="1:9" s="295" customFormat="1" ht="14.25">
      <c r="A72" s="56"/>
      <c r="B72" s="56"/>
      <c r="C72" s="730">
        <f>SUM(C64:C71)-SUM(D64:D71)</f>
        <v>0</v>
      </c>
      <c r="D72" s="318"/>
      <c r="E72" s="330">
        <f>SUM(E64:E71)-SUM(F64:F71)</f>
        <v>0</v>
      </c>
      <c r="F72" s="318"/>
      <c r="H72" s="267"/>
    </row>
    <row r="73" spans="1:9" s="295" customFormat="1" ht="15">
      <c r="A73" s="171" t="s">
        <v>51</v>
      </c>
      <c r="B73" s="56"/>
      <c r="C73" s="298"/>
      <c r="H73" s="267"/>
    </row>
    <row r="74" spans="1:9" s="295" customFormat="1" ht="14.25">
      <c r="A74" s="143" t="s">
        <v>52</v>
      </c>
      <c r="B74" s="376">
        <v>6110</v>
      </c>
      <c r="C74" s="145">
        <f>-C75</f>
        <v>0</v>
      </c>
      <c r="D74" s="295" t="s">
        <v>308</v>
      </c>
      <c r="E74" s="299">
        <f>C98+C105+C111+C74</f>
        <v>0</v>
      </c>
      <c r="H74" s="267"/>
    </row>
    <row r="75" spans="1:9" s="295" customFormat="1" ht="14.25">
      <c r="A75" s="143" t="s">
        <v>53</v>
      </c>
      <c r="B75" s="56"/>
      <c r="C75" s="300">
        <f>C98+C105+C111</f>
        <v>0</v>
      </c>
      <c r="H75" s="267"/>
    </row>
    <row r="78" spans="1:9" s="295" customFormat="1" ht="15">
      <c r="A78" s="171" t="s">
        <v>242</v>
      </c>
      <c r="B78" s="56"/>
      <c r="C78" s="298"/>
      <c r="H78" s="267"/>
    </row>
    <row r="79" spans="1:9" s="295" customFormat="1" ht="14.25">
      <c r="A79" s="143" t="s">
        <v>54</v>
      </c>
      <c r="B79" s="56"/>
      <c r="C79" s="145">
        <f>-C100-C107-C113</f>
        <v>0</v>
      </c>
      <c r="D79" s="295" t="s">
        <v>114</v>
      </c>
      <c r="E79" s="319">
        <f>C79+C100+C107+C113</f>
        <v>0</v>
      </c>
      <c r="H79" s="267"/>
    </row>
    <row r="80" spans="1:9" s="295" customFormat="1" ht="14.25">
      <c r="A80" s="143" t="s">
        <v>192</v>
      </c>
      <c r="B80" s="56"/>
      <c r="C80" s="145">
        <f>-C79</f>
        <v>0</v>
      </c>
      <c r="H80" s="267"/>
    </row>
    <row r="81" spans="1:8" ht="14.25">
      <c r="A81" s="143" t="s">
        <v>54</v>
      </c>
      <c r="B81" s="56"/>
      <c r="C81" s="145">
        <f>-C82</f>
        <v>0</v>
      </c>
      <c r="D81" s="145"/>
    </row>
    <row r="82" spans="1:8" ht="14.25">
      <c r="A82" s="143" t="s">
        <v>304</v>
      </c>
      <c r="B82" s="56"/>
      <c r="C82" s="300">
        <v>0</v>
      </c>
      <c r="D82" s="375"/>
    </row>
    <row r="85" spans="1:8" s="13" customFormat="1">
      <c r="A85" s="201" t="s">
        <v>4</v>
      </c>
      <c r="D85" s="13" t="s">
        <v>72</v>
      </c>
      <c r="H85" s="267"/>
    </row>
    <row r="86" spans="1:8" s="13" customFormat="1" ht="15.6" customHeight="1">
      <c r="A86" s="1583" t="s">
        <v>305</v>
      </c>
      <c r="B86" s="1583"/>
      <c r="C86" s="1583"/>
      <c r="D86" s="16"/>
      <c r="H86" s="267"/>
    </row>
    <row r="87" spans="1:8" s="13" customFormat="1" ht="12.6" customHeight="1">
      <c r="A87" s="1608" t="s">
        <v>710</v>
      </c>
      <c r="B87" s="1608"/>
      <c r="C87" s="1608"/>
      <c r="D87" s="301"/>
      <c r="E87" s="302"/>
      <c r="H87" s="267"/>
    </row>
    <row r="88" spans="1:8" s="13" customFormat="1" ht="12.6" customHeight="1">
      <c r="A88" s="1610" t="s">
        <v>70</v>
      </c>
      <c r="B88" s="1585"/>
      <c r="C88" s="1585"/>
      <c r="D88" s="1585"/>
      <c r="H88" s="267"/>
    </row>
    <row r="89" spans="1:8" s="13" customFormat="1" ht="12.6" customHeight="1">
      <c r="A89" s="1610" t="s">
        <v>123</v>
      </c>
      <c r="B89" s="1585"/>
      <c r="C89" s="1585"/>
      <c r="D89" s="1585"/>
      <c r="H89" s="267"/>
    </row>
    <row r="90" spans="1:8" s="13" customFormat="1">
      <c r="A90" s="1607" t="s">
        <v>67</v>
      </c>
      <c r="B90" s="1603"/>
      <c r="C90" s="1603"/>
      <c r="D90" s="1603"/>
      <c r="H90" s="267"/>
    </row>
    <row r="91" spans="1:8" s="13" customFormat="1" ht="5.25" customHeight="1" thickBot="1">
      <c r="H91" s="267"/>
    </row>
    <row r="92" spans="1:8" s="13" customFormat="1">
      <c r="A92" s="17" t="s">
        <v>124</v>
      </c>
      <c r="B92" s="18" t="s">
        <v>148</v>
      </c>
      <c r="C92" s="18" t="s">
        <v>149</v>
      </c>
      <c r="D92" s="19" t="s">
        <v>150</v>
      </c>
      <c r="H92" s="267"/>
    </row>
    <row r="93" spans="1:8" s="13" customFormat="1" ht="13.5" thickBot="1">
      <c r="A93" s="20"/>
      <c r="B93" s="21"/>
      <c r="C93" s="21"/>
      <c r="D93" s="108"/>
      <c r="H93" s="267"/>
    </row>
    <row r="94" spans="1:8" s="13" customFormat="1" ht="12.6" customHeight="1" thickBot="1">
      <c r="A94" s="109"/>
      <c r="B94" s="110" t="s">
        <v>151</v>
      </c>
      <c r="C94" s="462"/>
      <c r="D94" s="259"/>
      <c r="H94" s="267"/>
    </row>
    <row r="95" spans="1:8" s="13" customFormat="1" ht="52.15" customHeight="1" thickBot="1">
      <c r="A95" s="260" t="s">
        <v>69</v>
      </c>
      <c r="B95" s="261" t="s">
        <v>151</v>
      </c>
      <c r="C95" s="462"/>
      <c r="D95" s="54"/>
      <c r="H95" s="267"/>
    </row>
    <row r="96" spans="1:8" s="13" customFormat="1" ht="13.5" customHeight="1" outlineLevel="1">
      <c r="A96" s="304"/>
      <c r="B96" s="304">
        <v>1600</v>
      </c>
      <c r="C96" s="268"/>
      <c r="D96" s="238"/>
      <c r="H96" s="267"/>
    </row>
    <row r="97" spans="1:8" s="13" customFormat="1" ht="13.5" customHeight="1" outlineLevel="1">
      <c r="A97" s="304"/>
      <c r="B97" s="304">
        <v>3390</v>
      </c>
      <c r="C97" s="22"/>
      <c r="D97" s="443"/>
      <c r="H97" s="267"/>
    </row>
    <row r="98" spans="1:8" s="13" customFormat="1" ht="12.6" customHeight="1" outlineLevel="1">
      <c r="A98" s="304"/>
      <c r="B98" s="304">
        <v>6100</v>
      </c>
      <c r="C98" s="442"/>
      <c r="D98" s="48"/>
      <c r="H98" s="267"/>
    </row>
    <row r="99" spans="1:8" s="13" customFormat="1" ht="12.6" customHeight="1">
      <c r="A99" s="262"/>
      <c r="B99" s="263" t="s">
        <v>152</v>
      </c>
      <c r="C99" s="239">
        <f>SUM(C96:C98)</f>
        <v>0</v>
      </c>
      <c r="D99" s="239">
        <f>SUM(D96:D98)</f>
        <v>0</v>
      </c>
      <c r="H99" s="267"/>
    </row>
    <row r="100" spans="1:8" s="13" customFormat="1" ht="12.6" customHeight="1">
      <c r="A100" s="260"/>
      <c r="B100" s="261" t="s">
        <v>153</v>
      </c>
      <c r="C100" s="305">
        <f>C95-D99+C99</f>
        <v>0</v>
      </c>
      <c r="D100" s="178"/>
      <c r="H100" s="267"/>
    </row>
    <row r="101" spans="1:8" s="13" customFormat="1" ht="57.6" customHeight="1">
      <c r="A101" s="260" t="s">
        <v>68</v>
      </c>
      <c r="B101" s="261" t="s">
        <v>151</v>
      </c>
      <c r="C101" s="303">
        <v>0</v>
      </c>
      <c r="D101" s="54"/>
      <c r="H101" s="267"/>
    </row>
    <row r="102" spans="1:8" s="13" customFormat="1" ht="14.25" customHeight="1" outlineLevel="1">
      <c r="A102" s="306"/>
      <c r="B102" s="304">
        <v>1200</v>
      </c>
      <c r="C102" s="268"/>
      <c r="D102" s="238"/>
      <c r="H102" s="267"/>
    </row>
    <row r="103" spans="1:8" s="13" customFormat="1" ht="14.25" customHeight="1" outlineLevel="1">
      <c r="A103" s="306"/>
      <c r="B103" s="304">
        <v>1600</v>
      </c>
      <c r="C103" s="268"/>
      <c r="D103" s="243"/>
      <c r="H103" s="267"/>
    </row>
    <row r="104" spans="1:8" s="13" customFormat="1" ht="15" customHeight="1" outlineLevel="1">
      <c r="A104" s="306"/>
      <c r="B104" s="304">
        <v>3390</v>
      </c>
      <c r="C104" s="22"/>
      <c r="D104" s="268"/>
      <c r="H104" s="267"/>
    </row>
    <row r="105" spans="1:8" s="13" customFormat="1" ht="12.6" customHeight="1" outlineLevel="1">
      <c r="A105" s="304"/>
      <c r="B105" s="304">
        <v>6100</v>
      </c>
      <c r="C105" s="269"/>
      <c r="D105" s="48"/>
      <c r="H105" s="267"/>
    </row>
    <row r="106" spans="1:8" s="13" customFormat="1" ht="12.6" customHeight="1">
      <c r="A106" s="262"/>
      <c r="B106" s="263" t="s">
        <v>152</v>
      </c>
      <c r="C106" s="239">
        <f>SUM(C102:C105)</f>
        <v>0</v>
      </c>
      <c r="D106" s="239">
        <f>SUM(D102:D105)</f>
        <v>0</v>
      </c>
      <c r="H106" s="267"/>
    </row>
    <row r="107" spans="1:8" s="13" customFormat="1" ht="12.6" customHeight="1">
      <c r="A107" s="260"/>
      <c r="B107" s="261" t="s">
        <v>153</v>
      </c>
      <c r="C107" s="305">
        <f>C101-D106+C106</f>
        <v>0</v>
      </c>
      <c r="D107" s="178"/>
      <c r="H107" s="267"/>
    </row>
    <row r="108" spans="1:8" s="13" customFormat="1" ht="57.6" customHeight="1">
      <c r="A108" s="580" t="s">
        <v>560</v>
      </c>
      <c r="B108" s="261" t="s">
        <v>151</v>
      </c>
      <c r="C108" s="303"/>
      <c r="D108" s="54"/>
      <c r="H108" s="267"/>
    </row>
    <row r="109" spans="1:8" s="13" customFormat="1" ht="12.6" customHeight="1" outlineLevel="1">
      <c r="A109" s="188"/>
      <c r="B109" s="304">
        <v>1200</v>
      </c>
      <c r="C109" s="442"/>
      <c r="D109" s="268"/>
      <c r="H109" s="267"/>
    </row>
    <row r="110" spans="1:8" s="13" customFormat="1" ht="12.6" customHeight="1" outlineLevel="1">
      <c r="A110" s="188"/>
      <c r="B110" s="304">
        <v>3390</v>
      </c>
      <c r="C110" s="268"/>
      <c r="D110" s="442"/>
      <c r="H110" s="267"/>
    </row>
    <row r="111" spans="1:8" s="13" customFormat="1" ht="12.6" customHeight="1" outlineLevel="1">
      <c r="A111" s="188"/>
      <c r="B111" s="304">
        <v>6100</v>
      </c>
      <c r="C111" s="608"/>
      <c r="D111" s="48"/>
      <c r="H111" s="267"/>
    </row>
    <row r="112" spans="1:8" s="13" customFormat="1" ht="12.6" customHeight="1">
      <c r="A112" s="262"/>
      <c r="B112" s="263" t="s">
        <v>152</v>
      </c>
      <c r="C112" s="239">
        <f>SUM(C109:C111)</f>
        <v>0</v>
      </c>
      <c r="D112" s="239"/>
      <c r="H112" s="267"/>
    </row>
    <row r="113" spans="1:8" s="13" customFormat="1" ht="12.6" customHeight="1" thickBot="1">
      <c r="A113" s="260"/>
      <c r="B113" s="261" t="s">
        <v>153</v>
      </c>
      <c r="C113" s="305">
        <v>0</v>
      </c>
      <c r="D113" s="178"/>
      <c r="H113" s="267"/>
    </row>
    <row r="114" spans="1:8" s="13" customFormat="1" ht="12.6" customHeight="1">
      <c r="A114" s="23" t="s">
        <v>171</v>
      </c>
      <c r="B114" s="24" t="s">
        <v>152</v>
      </c>
      <c r="C114" s="264">
        <f>C112+C106+C99</f>
        <v>0</v>
      </c>
      <c r="D114" s="264">
        <f>D112+D106+D99</f>
        <v>0</v>
      </c>
      <c r="H114" s="267"/>
    </row>
    <row r="115" spans="1:8" s="13" customFormat="1" ht="12.6" customHeight="1" thickBot="1">
      <c r="A115" s="25"/>
      <c r="B115" s="26" t="s">
        <v>153</v>
      </c>
      <c r="C115" s="307">
        <f>C94+C114-D114</f>
        <v>0</v>
      </c>
      <c r="D115" s="265"/>
      <c r="H115" s="267"/>
    </row>
    <row r="117" spans="1:8" ht="18.75" customHeight="1">
      <c r="A117" s="171" t="s">
        <v>76</v>
      </c>
    </row>
    <row r="121" spans="1:8">
      <c r="A121" s="14" t="s">
        <v>77</v>
      </c>
      <c r="B121" s="14"/>
      <c r="C121" s="124">
        <f>-C145-C167-C156</f>
        <v>0</v>
      </c>
    </row>
    <row r="122" spans="1:8">
      <c r="A122" s="14" t="s">
        <v>78</v>
      </c>
      <c r="B122" s="124">
        <f>-D186-D199</f>
        <v>0</v>
      </c>
      <c r="C122" s="14"/>
    </row>
    <row r="123" spans="1:8">
      <c r="A123" s="14" t="s">
        <v>79</v>
      </c>
      <c r="B123" s="124"/>
      <c r="C123" s="14"/>
    </row>
    <row r="124" spans="1:8">
      <c r="A124" s="186" t="s">
        <v>247</v>
      </c>
      <c r="B124" s="204">
        <f>C121-B122-B123</f>
        <v>0</v>
      </c>
      <c r="C124" s="14"/>
    </row>
    <row r="125" spans="1:8">
      <c r="A125" s="186">
        <v>7470.09</v>
      </c>
      <c r="B125" s="204"/>
      <c r="C125" s="14"/>
    </row>
    <row r="126" spans="1:8">
      <c r="B126" s="14"/>
      <c r="C126" s="14"/>
    </row>
    <row r="128" spans="1:8" ht="15">
      <c r="A128" s="201" t="s">
        <v>5</v>
      </c>
      <c r="B128" s="136"/>
      <c r="C128" s="136"/>
      <c r="D128" s="136" t="s">
        <v>72</v>
      </c>
      <c r="E128" s="136"/>
      <c r="F128" s="136"/>
      <c r="G128" s="140"/>
    </row>
    <row r="129" spans="1:8" ht="15">
      <c r="A129" s="146" t="s">
        <v>88</v>
      </c>
      <c r="B129" s="147"/>
      <c r="C129" s="147"/>
      <c r="D129" s="147"/>
      <c r="E129" s="308" t="s">
        <v>306</v>
      </c>
      <c r="F129" s="147"/>
      <c r="G129" s="140"/>
    </row>
    <row r="130" spans="1:8" ht="15">
      <c r="A130" s="148"/>
      <c r="B130" s="1608" t="s">
        <v>708</v>
      </c>
      <c r="C130" s="1608"/>
      <c r="D130" s="1608"/>
      <c r="E130" s="301"/>
      <c r="F130" s="302"/>
      <c r="G130" s="140"/>
    </row>
    <row r="131" spans="1:8" ht="14.25" customHeight="1">
      <c r="A131" s="1609" t="s">
        <v>89</v>
      </c>
      <c r="B131" s="1609"/>
      <c r="C131" s="1609"/>
      <c r="D131" s="1609"/>
      <c r="E131" s="1609"/>
      <c r="F131" s="1609"/>
      <c r="G131" s="140"/>
    </row>
    <row r="132" spans="1:8" ht="14.25" customHeight="1">
      <c r="A132" s="1609" t="s">
        <v>193</v>
      </c>
      <c r="B132" s="1609"/>
      <c r="C132" s="1609"/>
      <c r="D132" s="1609"/>
      <c r="E132" s="1609"/>
      <c r="F132" s="1609"/>
      <c r="G132" s="140"/>
    </row>
    <row r="133" spans="1:8" ht="15">
      <c r="A133" s="1606" t="s">
        <v>83</v>
      </c>
      <c r="B133" s="1606"/>
      <c r="C133" s="1606"/>
      <c r="D133" s="1606"/>
      <c r="E133" s="1606"/>
      <c r="F133" s="1606"/>
      <c r="G133" s="140"/>
    </row>
    <row r="134" spans="1:8" ht="15.75" thickBot="1">
      <c r="A134" s="136"/>
      <c r="B134" s="136"/>
      <c r="C134" s="136"/>
      <c r="D134" s="136"/>
      <c r="E134" s="140"/>
      <c r="F134" s="290"/>
      <c r="H134"/>
    </row>
    <row r="135" spans="1:8" ht="15">
      <c r="A135" s="149" t="s">
        <v>124</v>
      </c>
      <c r="B135" s="150" t="s">
        <v>148</v>
      </c>
      <c r="C135" s="150" t="s">
        <v>149</v>
      </c>
      <c r="D135" s="151" t="s">
        <v>150</v>
      </c>
      <c r="E135" s="140"/>
      <c r="F135" s="290"/>
      <c r="H135"/>
    </row>
    <row r="136" spans="1:8" ht="15.75" thickBot="1">
      <c r="A136" s="152"/>
      <c r="B136" s="153"/>
      <c r="C136" s="153"/>
      <c r="D136" s="154"/>
      <c r="E136" s="140"/>
      <c r="F136" s="290"/>
      <c r="H136"/>
    </row>
    <row r="137" spans="1:8" ht="15.75" thickBot="1">
      <c r="A137" s="155"/>
      <c r="B137" s="156" t="s">
        <v>151</v>
      </c>
      <c r="C137" s="157"/>
      <c r="D137" s="463"/>
      <c r="E137" s="140"/>
      <c r="F137" s="290"/>
      <c r="H137"/>
    </row>
    <row r="138" spans="1:8" ht="36.75" thickBot="1">
      <c r="A138" s="139" t="s">
        <v>69</v>
      </c>
      <c r="B138" s="161" t="s">
        <v>151</v>
      </c>
      <c r="C138" s="135"/>
      <c r="D138" s="463"/>
      <c r="E138" s="140"/>
      <c r="F138" s="290"/>
      <c r="H138"/>
    </row>
    <row r="139" spans="1:8" ht="15">
      <c r="A139" s="162"/>
      <c r="B139" s="163" t="s">
        <v>96</v>
      </c>
      <c r="C139" s="159"/>
      <c r="D139" s="159"/>
      <c r="E139" s="140"/>
      <c r="F139" s="290"/>
      <c r="H139"/>
    </row>
    <row r="140" spans="1:8" ht="15">
      <c r="A140" s="160" t="s">
        <v>74</v>
      </c>
      <c r="B140" s="158" t="s">
        <v>151</v>
      </c>
      <c r="C140" s="159"/>
      <c r="D140" s="309"/>
      <c r="E140" s="140"/>
      <c r="F140" s="290"/>
      <c r="H140"/>
    </row>
    <row r="141" spans="1:8" ht="15">
      <c r="A141" s="139"/>
      <c r="B141" s="164">
        <v>1100</v>
      </c>
      <c r="C141" s="485">
        <v>0.02</v>
      </c>
      <c r="D141" s="22"/>
      <c r="E141" s="140"/>
      <c r="F141" s="290"/>
      <c r="H141"/>
    </row>
    <row r="142" spans="1:8" ht="15">
      <c r="A142" s="139"/>
      <c r="B142" s="165" t="s">
        <v>96</v>
      </c>
      <c r="C142" s="22"/>
      <c r="D142" s="22"/>
      <c r="E142" s="140"/>
      <c r="F142" s="290"/>
      <c r="H142"/>
    </row>
    <row r="143" spans="1:8" ht="15">
      <c r="A143" s="139"/>
      <c r="B143" s="164">
        <v>3300</v>
      </c>
      <c r="C143" s="22"/>
      <c r="D143" s="268"/>
      <c r="E143" s="140"/>
      <c r="F143" s="290"/>
      <c r="H143"/>
    </row>
    <row r="144" spans="1:8" ht="15">
      <c r="A144" s="139"/>
      <c r="B144" s="165" t="s">
        <v>96</v>
      </c>
      <c r="C144" s="135"/>
      <c r="D144" s="135"/>
      <c r="E144" s="140"/>
      <c r="F144" s="290"/>
      <c r="H144"/>
    </row>
    <row r="145" spans="1:8" ht="15">
      <c r="A145" s="139"/>
      <c r="B145" s="164">
        <v>6100</v>
      </c>
      <c r="C145" s="442"/>
      <c r="D145" s="135"/>
      <c r="E145" s="140"/>
      <c r="F145" s="290"/>
      <c r="H145"/>
    </row>
    <row r="146" spans="1:8" ht="15">
      <c r="A146" s="139"/>
      <c r="B146" s="165" t="s">
        <v>96</v>
      </c>
      <c r="C146" s="135"/>
      <c r="D146" s="135"/>
      <c r="E146" s="136"/>
      <c r="F146" s="290"/>
      <c r="H146"/>
    </row>
    <row r="147" spans="1:8" ht="15">
      <c r="A147" s="166"/>
      <c r="B147" s="167" t="s">
        <v>152</v>
      </c>
      <c r="C147" s="310"/>
      <c r="D147" s="310">
        <f>SUM(D141:D146)</f>
        <v>0</v>
      </c>
      <c r="E147" s="136"/>
      <c r="F147" s="290"/>
      <c r="H147"/>
    </row>
    <row r="148" spans="1:8" ht="15">
      <c r="A148" s="160"/>
      <c r="B148" s="158" t="s">
        <v>153</v>
      </c>
      <c r="C148" s="159"/>
      <c r="D148" s="311">
        <f>D138+D147-C147</f>
        <v>0</v>
      </c>
      <c r="E148" s="136"/>
      <c r="F148" s="290"/>
      <c r="H148"/>
    </row>
    <row r="149" spans="1:8" ht="72">
      <c r="A149" s="581" t="s">
        <v>560</v>
      </c>
      <c r="B149" s="161" t="s">
        <v>151</v>
      </c>
      <c r="C149" s="135"/>
      <c r="D149" s="268">
        <v>0</v>
      </c>
      <c r="E149" s="136"/>
      <c r="F149" s="290"/>
      <c r="H149"/>
    </row>
    <row r="150" spans="1:8" ht="15">
      <c r="A150" s="162"/>
      <c r="B150" s="163" t="s">
        <v>96</v>
      </c>
      <c r="C150" s="159"/>
      <c r="D150" s="159"/>
      <c r="E150" s="136"/>
      <c r="F150" s="290"/>
      <c r="H150"/>
    </row>
    <row r="151" spans="1:8" ht="15">
      <c r="A151" s="160" t="s">
        <v>74</v>
      </c>
      <c r="B151" s="158" t="s">
        <v>151</v>
      </c>
      <c r="C151" s="159"/>
      <c r="D151" s="159">
        <v>0</v>
      </c>
      <c r="E151" s="136"/>
      <c r="F151" s="290"/>
      <c r="H151"/>
    </row>
    <row r="152" spans="1:8" ht="15">
      <c r="A152" s="139"/>
      <c r="B152" s="164">
        <v>1100</v>
      </c>
      <c r="C152" s="442"/>
      <c r="D152" s="312"/>
      <c r="E152" s="140"/>
      <c r="F152" s="290"/>
      <c r="H152"/>
    </row>
    <row r="153" spans="1:8" ht="15">
      <c r="A153" s="139"/>
      <c r="B153" s="165" t="s">
        <v>96</v>
      </c>
      <c r="C153" s="135"/>
      <c r="D153" s="135"/>
      <c r="E153" s="140"/>
      <c r="F153" s="290"/>
      <c r="H153"/>
    </row>
    <row r="154" spans="1:8" ht="15">
      <c r="A154" s="139"/>
      <c r="B154" s="164">
        <v>3300</v>
      </c>
      <c r="C154" s="22"/>
      <c r="D154" s="442"/>
      <c r="E154" s="140"/>
      <c r="F154" s="290"/>
      <c r="H154"/>
    </row>
    <row r="155" spans="1:8" ht="15">
      <c r="A155" s="139"/>
      <c r="B155" s="165" t="s">
        <v>96</v>
      </c>
      <c r="C155" s="22"/>
      <c r="D155" s="22"/>
      <c r="E155" s="140"/>
      <c r="F155" s="290"/>
      <c r="H155"/>
    </row>
    <row r="156" spans="1:8" ht="15">
      <c r="A156" s="139"/>
      <c r="B156" s="852">
        <v>6110.03</v>
      </c>
      <c r="C156" s="442"/>
      <c r="D156" s="22"/>
      <c r="E156" s="140"/>
      <c r="F156" s="290"/>
      <c r="H156"/>
    </row>
    <row r="157" spans="1:8" ht="15">
      <c r="A157" s="139"/>
      <c r="B157" s="165" t="s">
        <v>96</v>
      </c>
      <c r="C157" s="135"/>
      <c r="D157" s="135"/>
      <c r="E157" s="140"/>
      <c r="F157" s="290"/>
      <c r="H157"/>
    </row>
    <row r="158" spans="1:8" ht="15">
      <c r="A158" s="166"/>
      <c r="B158" s="167" t="s">
        <v>152</v>
      </c>
      <c r="C158" s="310">
        <f>SUM(C152:C157)</f>
        <v>0</v>
      </c>
      <c r="D158" s="310">
        <f>SUM(D152:D157)</f>
        <v>0</v>
      </c>
      <c r="E158" s="140"/>
      <c r="F158" s="290"/>
      <c r="H158"/>
    </row>
    <row r="159" spans="1:8" ht="15">
      <c r="A159" s="160"/>
      <c r="B159" s="158" t="s">
        <v>153</v>
      </c>
      <c r="C159" s="159"/>
      <c r="D159" s="311">
        <f>D149+D158-C158</f>
        <v>0</v>
      </c>
      <c r="E159" s="140"/>
      <c r="F159" s="290"/>
      <c r="H159"/>
    </row>
    <row r="160" spans="1:8" ht="15">
      <c r="A160" s="581"/>
      <c r="B160" s="161" t="s">
        <v>151</v>
      </c>
      <c r="C160" s="402"/>
      <c r="D160" s="403"/>
      <c r="E160" s="140"/>
      <c r="F160" s="290"/>
      <c r="H160"/>
    </row>
    <row r="161" spans="1:8" ht="15">
      <c r="A161" s="162"/>
      <c r="B161" s="163" t="s">
        <v>96</v>
      </c>
      <c r="C161" s="404"/>
      <c r="D161" s="404"/>
      <c r="E161" s="140"/>
      <c r="F161" s="290"/>
      <c r="H161"/>
    </row>
    <row r="162" spans="1:8" ht="15">
      <c r="A162" s="160" t="s">
        <v>74</v>
      </c>
      <c r="B162" s="158" t="s">
        <v>151</v>
      </c>
      <c r="C162" s="404"/>
      <c r="D162" s="279"/>
      <c r="E162" s="140"/>
      <c r="F162" s="290"/>
      <c r="H162"/>
    </row>
    <row r="163" spans="1:8" ht="15">
      <c r="A163" s="139"/>
      <c r="B163" s="164">
        <v>1100</v>
      </c>
      <c r="C163" s="279"/>
      <c r="D163" s="281"/>
      <c r="E163" s="140"/>
      <c r="F163" s="290"/>
      <c r="H163"/>
    </row>
    <row r="164" spans="1:8" ht="15">
      <c r="A164" s="139"/>
      <c r="B164" s="165" t="s">
        <v>96</v>
      </c>
      <c r="C164" s="281"/>
      <c r="D164" s="281"/>
      <c r="E164" s="140"/>
      <c r="F164" s="290"/>
      <c r="H164"/>
    </row>
    <row r="165" spans="1:8" ht="15">
      <c r="A165" s="139"/>
      <c r="B165" s="164">
        <v>3390</v>
      </c>
      <c r="C165" s="281"/>
      <c r="D165" s="279"/>
      <c r="E165" s="140"/>
      <c r="F165" s="290"/>
      <c r="H165"/>
    </row>
    <row r="166" spans="1:8" ht="15">
      <c r="A166" s="139"/>
      <c r="B166" s="165" t="s">
        <v>96</v>
      </c>
      <c r="C166" s="281"/>
      <c r="D166" s="281"/>
      <c r="E166" s="140"/>
      <c r="F166" s="290"/>
      <c r="H166"/>
    </row>
    <row r="167" spans="1:8" ht="15">
      <c r="A167" s="139"/>
      <c r="B167" s="164">
        <v>6100</v>
      </c>
      <c r="C167" s="279"/>
      <c r="D167" s="281"/>
      <c r="E167" s="140"/>
      <c r="F167" s="290"/>
      <c r="H167"/>
    </row>
    <row r="168" spans="1:8" ht="15">
      <c r="A168" s="139"/>
      <c r="B168" s="165" t="s">
        <v>96</v>
      </c>
      <c r="C168" s="402"/>
      <c r="D168" s="402"/>
      <c r="E168" s="140"/>
      <c r="F168" s="290"/>
      <c r="H168"/>
    </row>
    <row r="169" spans="1:8" ht="15">
      <c r="A169" s="166"/>
      <c r="B169" s="167" t="s">
        <v>152</v>
      </c>
      <c r="C169" s="405"/>
      <c r="D169" s="405"/>
      <c r="E169" s="140"/>
      <c r="F169" s="290"/>
      <c r="H169"/>
    </row>
    <row r="170" spans="1:8" ht="15">
      <c r="A170" s="160"/>
      <c r="B170" s="158" t="s">
        <v>153</v>
      </c>
      <c r="C170" s="159"/>
      <c r="D170" s="311">
        <f>D160+D169-C169</f>
        <v>0</v>
      </c>
      <c r="E170" s="140"/>
      <c r="F170" s="290"/>
      <c r="H170"/>
    </row>
    <row r="171" spans="1:8" ht="15">
      <c r="A171" s="140"/>
      <c r="B171" s="140"/>
      <c r="C171" s="140"/>
      <c r="D171" s="140"/>
      <c r="E171" s="140"/>
      <c r="F171" s="140"/>
      <c r="G171" s="140"/>
    </row>
    <row r="172" spans="1:8" ht="15">
      <c r="A172" s="146" t="s">
        <v>194</v>
      </c>
      <c r="B172" s="147"/>
      <c r="C172" s="147"/>
      <c r="D172" s="147"/>
      <c r="E172" s="308" t="s">
        <v>307</v>
      </c>
      <c r="F172" s="147"/>
      <c r="G172" s="140"/>
    </row>
    <row r="173" spans="1:8" ht="15">
      <c r="A173" s="148"/>
      <c r="B173" s="1608" t="s">
        <v>708</v>
      </c>
      <c r="C173" s="1608"/>
      <c r="D173" s="1608"/>
      <c r="E173" s="313"/>
      <c r="F173" s="147"/>
      <c r="G173" s="140"/>
    </row>
    <row r="174" spans="1:8" ht="14.25" customHeight="1">
      <c r="A174" s="1609" t="s">
        <v>89</v>
      </c>
      <c r="B174" s="1609"/>
      <c r="C174" s="1609"/>
      <c r="D174" s="1609"/>
      <c r="E174" s="1609"/>
      <c r="F174" s="1609"/>
      <c r="G174" s="140"/>
    </row>
    <row r="175" spans="1:8" ht="14.25" customHeight="1">
      <c r="A175" s="1609" t="s">
        <v>193</v>
      </c>
      <c r="B175" s="1609"/>
      <c r="C175" s="1609"/>
      <c r="D175" s="1609"/>
      <c r="E175" s="1609"/>
      <c r="F175" s="1609"/>
      <c r="G175" s="140"/>
    </row>
    <row r="176" spans="1:8" ht="15">
      <c r="A176" s="1606" t="s">
        <v>83</v>
      </c>
      <c r="B176" s="1606"/>
      <c r="C176" s="1606"/>
      <c r="D176" s="1606"/>
      <c r="E176" s="1606"/>
      <c r="F176" s="1606"/>
      <c r="G176" s="140"/>
    </row>
    <row r="177" spans="1:8" ht="15.75" thickBot="1">
      <c r="A177" s="136"/>
      <c r="B177" s="136"/>
      <c r="C177" s="136"/>
      <c r="D177" s="136"/>
      <c r="E177" s="136"/>
      <c r="F177" s="136"/>
      <c r="G177" s="140"/>
    </row>
    <row r="178" spans="1:8" ht="15">
      <c r="A178" s="149" t="s">
        <v>124</v>
      </c>
      <c r="B178" s="150" t="s">
        <v>148</v>
      </c>
      <c r="C178" s="150" t="s">
        <v>149</v>
      </c>
      <c r="D178" s="151" t="s">
        <v>150</v>
      </c>
      <c r="E178" s="140"/>
      <c r="F178" s="290"/>
      <c r="H178"/>
    </row>
    <row r="179" spans="1:8" ht="15.75" thickBot="1">
      <c r="A179" s="152"/>
      <c r="B179" s="153"/>
      <c r="C179" s="153"/>
      <c r="D179" s="154"/>
      <c r="E179" s="140"/>
      <c r="F179" s="290"/>
      <c r="H179"/>
    </row>
    <row r="180" spans="1:8" ht="15.75" thickBot="1">
      <c r="A180" s="314"/>
      <c r="B180" s="315" t="s">
        <v>151</v>
      </c>
      <c r="C180" s="289"/>
      <c r="D180" s="316"/>
      <c r="E180" s="140"/>
      <c r="F180" s="290"/>
      <c r="H180"/>
    </row>
    <row r="181" spans="1:8" ht="36">
      <c r="A181" s="139" t="s">
        <v>50</v>
      </c>
      <c r="B181" s="161" t="s">
        <v>151</v>
      </c>
      <c r="C181" s="312"/>
      <c r="D181" s="135"/>
      <c r="E181" s="140"/>
      <c r="F181" s="290"/>
      <c r="H181"/>
    </row>
    <row r="182" spans="1:8" ht="15">
      <c r="A182" s="162"/>
      <c r="B182" s="163" t="s">
        <v>96</v>
      </c>
      <c r="C182" s="159"/>
      <c r="D182" s="159"/>
      <c r="E182" s="140"/>
      <c r="F182" s="290"/>
      <c r="H182"/>
    </row>
    <row r="183" spans="1:8" ht="15">
      <c r="A183" s="160" t="s">
        <v>74</v>
      </c>
      <c r="B183" s="158" t="s">
        <v>151</v>
      </c>
      <c r="C183" s="311"/>
      <c r="D183" s="159"/>
      <c r="E183" s="140"/>
      <c r="F183" s="290"/>
      <c r="H183"/>
    </row>
    <row r="184" spans="1:8" ht="15">
      <c r="A184" s="139"/>
      <c r="B184" s="164">
        <v>1100</v>
      </c>
      <c r="C184" s="22"/>
      <c r="D184" s="237"/>
      <c r="E184" s="140"/>
      <c r="F184" s="290"/>
      <c r="H184"/>
    </row>
    <row r="185" spans="1:8" ht="15">
      <c r="A185" s="139"/>
      <c r="B185" s="165" t="s">
        <v>96</v>
      </c>
      <c r="C185" s="22"/>
      <c r="D185" s="22"/>
      <c r="E185" s="140"/>
      <c r="F185" s="290"/>
      <c r="H185"/>
    </row>
    <row r="186" spans="1:8" ht="15">
      <c r="A186" s="139"/>
      <c r="B186" s="164">
        <v>7300</v>
      </c>
      <c r="C186" s="22"/>
      <c r="D186" s="317"/>
      <c r="E186" s="140"/>
      <c r="F186" s="290"/>
      <c r="H186"/>
    </row>
    <row r="187" spans="1:8" ht="15">
      <c r="A187" s="139"/>
      <c r="B187" s="165" t="s">
        <v>96</v>
      </c>
      <c r="C187" s="22"/>
      <c r="D187" s="22"/>
      <c r="E187" s="140"/>
      <c r="F187" s="290"/>
      <c r="H187"/>
    </row>
    <row r="188" spans="1:8" ht="15">
      <c r="A188" s="166"/>
      <c r="B188" s="167" t="s">
        <v>152</v>
      </c>
      <c r="C188" s="310"/>
      <c r="D188" s="310">
        <f>D186+D184</f>
        <v>0</v>
      </c>
      <c r="E188" s="140"/>
      <c r="F188" s="290"/>
      <c r="H188"/>
    </row>
    <row r="189" spans="1:8" ht="15">
      <c r="A189" s="160"/>
      <c r="B189" s="158" t="s">
        <v>153</v>
      </c>
      <c r="C189" s="311">
        <f>C183-D188</f>
        <v>0</v>
      </c>
      <c r="D189" s="159"/>
      <c r="E189" s="140"/>
      <c r="F189" s="290"/>
      <c r="H189"/>
    </row>
    <row r="190" spans="1:8" ht="15">
      <c r="A190" s="168"/>
      <c r="B190" s="169" t="s">
        <v>152</v>
      </c>
      <c r="C190" s="310"/>
      <c r="D190" s="310">
        <f>D188</f>
        <v>0</v>
      </c>
      <c r="E190" s="140"/>
      <c r="F190" s="290"/>
      <c r="H190"/>
    </row>
    <row r="191" spans="1:8" ht="15">
      <c r="A191" s="139"/>
      <c r="B191" s="170" t="s">
        <v>96</v>
      </c>
      <c r="C191" s="135"/>
      <c r="D191" s="135"/>
      <c r="E191" s="140"/>
      <c r="F191" s="290"/>
      <c r="H191"/>
    </row>
    <row r="192" spans="1:8" ht="15">
      <c r="A192" s="139"/>
      <c r="B192" s="161" t="s">
        <v>153</v>
      </c>
      <c r="C192" s="312">
        <f>C189</f>
        <v>0</v>
      </c>
      <c r="D192" s="135"/>
      <c r="E192" s="140"/>
      <c r="F192" s="290"/>
      <c r="H192"/>
    </row>
    <row r="193" spans="1:8" ht="15">
      <c r="A193" s="162"/>
      <c r="B193" s="163" t="s">
        <v>96</v>
      </c>
      <c r="C193" s="159"/>
      <c r="D193" s="159"/>
      <c r="E193" s="140"/>
      <c r="F193" s="290"/>
      <c r="H193"/>
    </row>
    <row r="194" spans="1:8" ht="48">
      <c r="A194" s="581" t="s">
        <v>567</v>
      </c>
      <c r="B194" s="161" t="s">
        <v>151</v>
      </c>
      <c r="C194" s="312">
        <v>0</v>
      </c>
      <c r="D194" s="135"/>
    </row>
    <row r="195" spans="1:8">
      <c r="A195" s="162"/>
      <c r="B195" s="163" t="s">
        <v>96</v>
      </c>
      <c r="C195" s="159"/>
      <c r="D195" s="159"/>
    </row>
    <row r="196" spans="1:8" ht="13.5" thickBot="1">
      <c r="A196" s="160" t="s">
        <v>74</v>
      </c>
      <c r="B196" s="158" t="s">
        <v>151</v>
      </c>
      <c r="C196" s="462"/>
      <c r="D196" s="159"/>
    </row>
    <row r="197" spans="1:8">
      <c r="A197" s="139"/>
      <c r="B197" s="164">
        <v>1100</v>
      </c>
      <c r="C197" s="442"/>
      <c r="D197" s="237"/>
      <c r="H197" s="390"/>
    </row>
    <row r="198" spans="1:8">
      <c r="A198" s="139"/>
      <c r="B198" s="165" t="s">
        <v>96</v>
      </c>
      <c r="C198" s="22"/>
      <c r="D198" s="22"/>
      <c r="H198" s="390"/>
    </row>
    <row r="199" spans="1:8">
      <c r="A199" s="139"/>
      <c r="B199" s="164">
        <v>7300</v>
      </c>
      <c r="C199" s="22"/>
      <c r="D199" s="443"/>
      <c r="H199" s="390"/>
    </row>
    <row r="200" spans="1:8">
      <c r="A200" s="139"/>
      <c r="B200" s="165" t="s">
        <v>96</v>
      </c>
      <c r="C200" s="22"/>
      <c r="D200" s="22"/>
      <c r="H200" s="390"/>
    </row>
    <row r="201" spans="1:8">
      <c r="A201" s="166"/>
      <c r="B201" s="167" t="s">
        <v>152</v>
      </c>
      <c r="C201" s="310"/>
      <c r="D201" s="310"/>
      <c r="H201" s="390"/>
    </row>
    <row r="202" spans="1:8">
      <c r="A202" s="160"/>
      <c r="B202" s="158" t="s">
        <v>153</v>
      </c>
      <c r="C202" s="311">
        <f>C196+C197-D201</f>
        <v>0</v>
      </c>
      <c r="D202" s="159"/>
      <c r="H202" s="390"/>
    </row>
    <row r="203" spans="1:8">
      <c r="A203" s="168"/>
      <c r="B203" s="169" t="s">
        <v>152</v>
      </c>
      <c r="C203" s="310"/>
      <c r="D203" s="310">
        <f>D201</f>
        <v>0</v>
      </c>
      <c r="H203" s="390"/>
    </row>
    <row r="204" spans="1:8">
      <c r="A204" s="139"/>
      <c r="B204" s="170" t="s">
        <v>96</v>
      </c>
      <c r="C204" s="135"/>
      <c r="D204" s="135"/>
      <c r="H204" s="390"/>
    </row>
    <row r="205" spans="1:8">
      <c r="A205" s="139"/>
      <c r="B205" s="161" t="s">
        <v>153</v>
      </c>
      <c r="C205" s="312">
        <f>C202+C189</f>
        <v>0</v>
      </c>
      <c r="D205" s="135"/>
      <c r="H205" s="390"/>
    </row>
    <row r="206" spans="1:8">
      <c r="A206" s="162"/>
      <c r="B206" s="163" t="s">
        <v>96</v>
      </c>
      <c r="C206" s="159"/>
      <c r="D206" s="159"/>
      <c r="H206" s="390"/>
    </row>
    <row r="213" spans="2:2">
      <c r="B213" s="832">
        <v>13315</v>
      </c>
    </row>
    <row r="236" spans="9:10">
      <c r="I236">
        <v>14410895.08</v>
      </c>
      <c r="J236">
        <v>6280.09</v>
      </c>
    </row>
  </sheetData>
  <mergeCells count="27">
    <mergeCell ref="C3:F3"/>
    <mergeCell ref="A64:B64"/>
    <mergeCell ref="A65:B65"/>
    <mergeCell ref="A67:B67"/>
    <mergeCell ref="A68:B68"/>
    <mergeCell ref="A87:C87"/>
    <mergeCell ref="A69:B69"/>
    <mergeCell ref="A4:G4"/>
    <mergeCell ref="A5:G5"/>
    <mergeCell ref="A6:G6"/>
    <mergeCell ref="B8:C8"/>
    <mergeCell ref="D8:E8"/>
    <mergeCell ref="F8:G8"/>
    <mergeCell ref="A70:B70"/>
    <mergeCell ref="A71:B71"/>
    <mergeCell ref="A86:C86"/>
    <mergeCell ref="A88:D88"/>
    <mergeCell ref="A89:D89"/>
    <mergeCell ref="A174:F174"/>
    <mergeCell ref="A175:F175"/>
    <mergeCell ref="A133:F133"/>
    <mergeCell ref="A176:F176"/>
    <mergeCell ref="A90:D90"/>
    <mergeCell ref="B130:D130"/>
    <mergeCell ref="A131:F131"/>
    <mergeCell ref="A132:F132"/>
    <mergeCell ref="B173:D173"/>
  </mergeCells>
  <phoneticPr fontId="13" type="noConversion"/>
  <pageMargins left="0.74803149606299213" right="0.74803149606299213" top="0.98425196850393704" bottom="0.98425196850393704" header="0.51181102362204722" footer="0.51181102362204722"/>
  <pageSetup paperSize="9" scale="66" fitToHeight="3" orientation="portrait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K158"/>
  <sheetViews>
    <sheetView topLeftCell="A178" workbookViewId="0">
      <selection activeCell="C150" sqref="C150"/>
    </sheetView>
  </sheetViews>
  <sheetFormatPr defaultColWidth="9.140625" defaultRowHeight="12.75"/>
  <cols>
    <col min="1" max="1" width="23.7109375" style="13" customWidth="1"/>
    <col min="2" max="4" width="14.7109375" style="13" customWidth="1"/>
    <col min="5" max="5" width="14" style="13" customWidth="1"/>
    <col min="6" max="6" width="14.42578125" style="13" bestFit="1" customWidth="1"/>
    <col min="7" max="16384" width="9.140625" style="13"/>
  </cols>
  <sheetData>
    <row r="1" spans="1:6" ht="24.4" customHeight="1">
      <c r="A1" s="1582" t="s">
        <v>173</v>
      </c>
      <c r="B1" s="1582"/>
      <c r="C1" s="1582"/>
      <c r="D1" s="13" t="s">
        <v>72</v>
      </c>
    </row>
    <row r="2" spans="1:6" ht="18.75" customHeight="1">
      <c r="A2" s="1620" t="s">
        <v>570</v>
      </c>
      <c r="B2" s="1620"/>
      <c r="C2" s="1620"/>
      <c r="D2" s="1620"/>
    </row>
    <row r="3" spans="1:6">
      <c r="A3" s="1608" t="s">
        <v>708</v>
      </c>
      <c r="B3" s="1608"/>
      <c r="C3" s="1608"/>
      <c r="D3" s="1608"/>
    </row>
    <row r="4" spans="1:6">
      <c r="A4" s="1603" t="s">
        <v>123</v>
      </c>
      <c r="B4" s="1603"/>
      <c r="C4" s="1603"/>
      <c r="D4" s="1603"/>
    </row>
    <row r="5" spans="1:6" ht="10.5" customHeight="1" thickBot="1"/>
    <row r="6" spans="1:6" s="116" customFormat="1" ht="12.6" customHeight="1">
      <c r="A6" s="115" t="s">
        <v>188</v>
      </c>
      <c r="B6" s="1622" t="s">
        <v>154</v>
      </c>
      <c r="C6" s="1618" t="s">
        <v>156</v>
      </c>
    </row>
    <row r="7" spans="1:6" ht="13.5" thickBot="1">
      <c r="A7" s="190"/>
      <c r="B7" s="1624"/>
      <c r="C7" s="1621"/>
      <c r="E7" s="13">
        <v>4</v>
      </c>
      <c r="F7" s="266">
        <f>C9-D32-D41-D42</f>
        <v>0</v>
      </c>
    </row>
    <row r="8" spans="1:6" ht="23.85" customHeight="1">
      <c r="A8" s="191"/>
      <c r="B8" s="331"/>
      <c r="C8" s="413"/>
      <c r="D8" s="189"/>
      <c r="E8" s="13">
        <v>5</v>
      </c>
      <c r="F8" s="251">
        <f>C8+C20</f>
        <v>0</v>
      </c>
    </row>
    <row r="9" spans="1:6" ht="23.85" customHeight="1">
      <c r="A9" s="192"/>
      <c r="B9" s="332"/>
      <c r="C9" s="413"/>
      <c r="D9" s="189"/>
      <c r="E9" s="13">
        <v>7</v>
      </c>
      <c r="F9" s="251">
        <f>C10+C22</f>
        <v>0</v>
      </c>
    </row>
    <row r="10" spans="1:6" ht="23.85" customHeight="1">
      <c r="A10" s="582" t="s">
        <v>569</v>
      </c>
      <c r="B10" s="413"/>
      <c r="C10" s="413">
        <v>0</v>
      </c>
    </row>
    <row r="11" spans="1:6">
      <c r="C11" s="334">
        <f>SUM(C8:C10)</f>
        <v>0</v>
      </c>
    </row>
    <row r="14" spans="1:6" ht="18.75" customHeight="1">
      <c r="A14" s="1620" t="s">
        <v>270</v>
      </c>
      <c r="B14" s="1620"/>
      <c r="C14" s="1620"/>
      <c r="D14" s="1620"/>
      <c r="E14" s="266">
        <f>C11+C23-D33-D43</f>
        <v>0</v>
      </c>
    </row>
    <row r="15" spans="1:6">
      <c r="A15" s="1608" t="s">
        <v>708</v>
      </c>
      <c r="B15" s="1608"/>
      <c r="C15" s="1608"/>
      <c r="D15" s="1608"/>
    </row>
    <row r="16" spans="1:6">
      <c r="A16" s="1603" t="s">
        <v>123</v>
      </c>
      <c r="B16" s="1603"/>
      <c r="C16" s="1603"/>
      <c r="D16" s="1603"/>
    </row>
    <row r="17" spans="1:4" ht="10.5" customHeight="1" thickBot="1"/>
    <row r="18" spans="1:4" s="116" customFormat="1" ht="12.6" customHeight="1">
      <c r="A18" s="115" t="s">
        <v>188</v>
      </c>
      <c r="B18" s="1622" t="s">
        <v>154</v>
      </c>
      <c r="C18" s="1618" t="s">
        <v>156</v>
      </c>
    </row>
    <row r="19" spans="1:4" ht="13.5" thickBot="1">
      <c r="A19" s="190"/>
      <c r="B19" s="1623"/>
      <c r="C19" s="1619"/>
    </row>
    <row r="20" spans="1:4" ht="23.85" customHeight="1">
      <c r="A20" s="191"/>
      <c r="B20" s="335"/>
      <c r="C20" s="336"/>
      <c r="D20" s="189"/>
    </row>
    <row r="21" spans="1:4" ht="23.85" customHeight="1">
      <c r="A21" s="192"/>
      <c r="B21" s="337"/>
      <c r="C21" s="338"/>
      <c r="D21" s="189"/>
    </row>
    <row r="22" spans="1:4" ht="23.85" customHeight="1" thickBot="1">
      <c r="A22" s="582" t="s">
        <v>569</v>
      </c>
      <c r="B22" s="333">
        <v>0</v>
      </c>
      <c r="C22" s="413">
        <v>0</v>
      </c>
    </row>
    <row r="23" spans="1:4">
      <c r="C23" s="334">
        <f>SUM(C20:C22)</f>
        <v>0</v>
      </c>
    </row>
    <row r="26" spans="1:4" ht="15">
      <c r="A26" s="1620" t="s">
        <v>226</v>
      </c>
      <c r="B26" s="1620"/>
      <c r="C26" s="1620"/>
      <c r="D26" s="1620"/>
    </row>
    <row r="27" spans="1:4">
      <c r="A27" s="1608" t="s">
        <v>708</v>
      </c>
      <c r="B27" s="1608"/>
      <c r="C27" s="1608"/>
      <c r="D27" s="1608"/>
    </row>
    <row r="28" spans="1:4">
      <c r="A28" s="1603" t="s">
        <v>123</v>
      </c>
      <c r="B28" s="1603"/>
      <c r="C28" s="1603"/>
      <c r="D28" s="1603"/>
    </row>
    <row r="29" spans="1:4" ht="20.25" customHeight="1" thickBot="1"/>
    <row r="30" spans="1:4" s="116" customFormat="1" ht="12.6" customHeight="1">
      <c r="A30" s="115" t="s">
        <v>188</v>
      </c>
      <c r="B30" s="198" t="s">
        <v>154</v>
      </c>
      <c r="C30" s="199"/>
      <c r="D30" s="1618" t="s">
        <v>156</v>
      </c>
    </row>
    <row r="31" spans="1:4" ht="13.5" thickBot="1">
      <c r="A31" s="117"/>
      <c r="B31" s="118" t="s">
        <v>189</v>
      </c>
      <c r="C31" s="119"/>
      <c r="D31" s="1619"/>
    </row>
    <row r="32" spans="1:4" ht="12.6" customHeight="1" collapsed="1" thickBot="1">
      <c r="A32" s="582" t="s">
        <v>569</v>
      </c>
      <c r="B32" s="582"/>
      <c r="C32" s="120"/>
      <c r="D32" s="339"/>
    </row>
    <row r="33" spans="1:4" ht="13.5" thickBot="1">
      <c r="D33" s="340">
        <f>D32</f>
        <v>0</v>
      </c>
    </row>
    <row r="35" spans="1:4" ht="15">
      <c r="A35" s="1620" t="s">
        <v>174</v>
      </c>
      <c r="B35" s="1620"/>
      <c r="C35" s="1620"/>
      <c r="D35" s="1620"/>
    </row>
    <row r="36" spans="1:4">
      <c r="A36" s="1608" t="s">
        <v>709</v>
      </c>
      <c r="B36" s="1608"/>
      <c r="C36" s="1608"/>
      <c r="D36" s="1608"/>
    </row>
    <row r="37" spans="1:4">
      <c r="A37" s="1607" t="s">
        <v>123</v>
      </c>
      <c r="B37" s="1603"/>
      <c r="C37" s="1603"/>
      <c r="D37" s="1603"/>
    </row>
    <row r="38" spans="1:4" ht="14.25" customHeight="1" thickBot="1"/>
    <row r="39" spans="1:4" s="116" customFormat="1" ht="12.6" customHeight="1">
      <c r="A39" s="115" t="s">
        <v>188</v>
      </c>
      <c r="B39" s="198" t="s">
        <v>154</v>
      </c>
      <c r="C39" s="199"/>
      <c r="D39" s="1618" t="s">
        <v>156</v>
      </c>
    </row>
    <row r="40" spans="1:4" ht="13.5" thickBot="1">
      <c r="A40" s="117"/>
      <c r="B40" s="118" t="s">
        <v>189</v>
      </c>
      <c r="C40" s="119"/>
      <c r="D40" s="1619"/>
    </row>
    <row r="41" spans="1:4" ht="12.6" customHeight="1">
      <c r="A41" s="582" t="s">
        <v>569</v>
      </c>
      <c r="B41" s="341"/>
      <c r="C41" s="125"/>
      <c r="D41" s="342"/>
    </row>
    <row r="42" spans="1:4" ht="12.6" customHeight="1" thickBot="1">
      <c r="A42" s="129"/>
      <c r="B42" s="343"/>
      <c r="C42" s="126"/>
      <c r="D42" s="344"/>
    </row>
    <row r="43" spans="1:4" ht="12.6" customHeight="1">
      <c r="A43" s="127" t="s">
        <v>71</v>
      </c>
      <c r="B43" s="128"/>
      <c r="C43" s="128"/>
      <c r="D43" s="334">
        <f>SUM(D41:D42)</f>
        <v>0</v>
      </c>
    </row>
    <row r="49" spans="1:11">
      <c r="A49" s="780" t="s">
        <v>716</v>
      </c>
      <c r="B49" s="781"/>
      <c r="C49" s="781"/>
      <c r="D49" s="782" t="s">
        <v>72</v>
      </c>
      <c r="E49" s="781"/>
      <c r="F49" s="781"/>
      <c r="G49" s="781"/>
      <c r="H49" s="781"/>
      <c r="I49" s="781"/>
      <c r="J49" s="781"/>
    </row>
    <row r="50" spans="1:11" ht="15">
      <c r="A50" s="783" t="s">
        <v>717</v>
      </c>
      <c r="B50" s="781"/>
      <c r="C50" s="781"/>
      <c r="D50" s="781"/>
      <c r="E50" s="781"/>
      <c r="F50" s="781"/>
      <c r="G50" s="781"/>
      <c r="H50" s="781"/>
      <c r="I50" s="781"/>
      <c r="J50" s="781"/>
    </row>
    <row r="51" spans="1:11">
      <c r="A51" s="784" t="s">
        <v>701</v>
      </c>
      <c r="B51" s="781"/>
      <c r="C51" s="781"/>
      <c r="D51" s="781"/>
      <c r="E51" s="781"/>
      <c r="F51" s="781"/>
      <c r="G51" s="781"/>
      <c r="H51" s="781"/>
      <c r="I51" s="781"/>
      <c r="J51" s="781"/>
    </row>
    <row r="52" spans="1:11">
      <c r="A52" s="1614" t="s">
        <v>718</v>
      </c>
      <c r="B52" s="1614"/>
      <c r="C52" s="1614"/>
      <c r="D52" s="1614"/>
      <c r="E52" s="1614"/>
      <c r="F52" s="1614"/>
      <c r="G52" s="781"/>
      <c r="H52" s="781"/>
      <c r="I52" s="781"/>
      <c r="J52" s="781"/>
    </row>
    <row r="53" spans="1:11">
      <c r="A53" s="1614" t="s">
        <v>627</v>
      </c>
      <c r="B53" s="1614"/>
      <c r="C53" s="1614"/>
      <c r="D53" s="1614"/>
      <c r="E53" s="1614"/>
      <c r="F53" s="1614"/>
      <c r="G53" s="781"/>
      <c r="H53" s="781"/>
      <c r="I53" s="781"/>
      <c r="J53" s="781"/>
    </row>
    <row r="54" spans="1:11">
      <c r="A54" s="1615" t="s">
        <v>719</v>
      </c>
      <c r="B54" s="1615"/>
      <c r="C54" s="1615"/>
      <c r="D54" s="1615"/>
      <c r="E54" s="1615"/>
      <c r="F54" s="1615"/>
      <c r="G54" s="781"/>
      <c r="H54" s="781"/>
      <c r="I54" s="781"/>
      <c r="J54" s="781"/>
    </row>
    <row r="55" spans="1:11" ht="13.5" thickBot="1">
      <c r="A55" s="781"/>
      <c r="B55" s="781"/>
      <c r="C55" s="781"/>
      <c r="D55" s="781"/>
      <c r="E55" s="781"/>
      <c r="F55" s="781"/>
      <c r="G55" s="781"/>
      <c r="H55" s="781"/>
      <c r="I55" s="781"/>
      <c r="J55" s="781"/>
      <c r="K55" s="13" t="s">
        <v>66</v>
      </c>
    </row>
    <row r="56" spans="1:11">
      <c r="A56" s="785" t="s">
        <v>124</v>
      </c>
      <c r="B56" s="786" t="s">
        <v>148</v>
      </c>
      <c r="C56" s="786" t="s">
        <v>149</v>
      </c>
      <c r="D56" s="787" t="s">
        <v>150</v>
      </c>
      <c r="E56" s="786" t="s">
        <v>149</v>
      </c>
      <c r="F56" s="788" t="s">
        <v>150</v>
      </c>
      <c r="G56" s="781"/>
      <c r="H56" s="781"/>
      <c r="I56" s="781"/>
      <c r="J56" s="781"/>
    </row>
    <row r="57" spans="1:11" ht="13.5" thickBot="1">
      <c r="A57" s="789"/>
      <c r="B57" s="790"/>
      <c r="C57" s="790"/>
      <c r="D57" s="791"/>
      <c r="E57" s="792" t="s">
        <v>628</v>
      </c>
      <c r="F57" s="793" t="s">
        <v>628</v>
      </c>
      <c r="G57" s="781"/>
      <c r="H57" s="781"/>
      <c r="I57" s="781"/>
      <c r="J57" s="781"/>
    </row>
    <row r="58" spans="1:11" ht="13.5" thickBot="1">
      <c r="A58" s="794"/>
      <c r="B58" s="795" t="s">
        <v>151</v>
      </c>
      <c r="C58" s="796"/>
      <c r="D58" s="796"/>
      <c r="E58" s="797"/>
      <c r="F58" s="798"/>
      <c r="G58" s="781"/>
      <c r="H58" s="781"/>
      <c r="I58" s="781"/>
      <c r="J58" s="781"/>
    </row>
    <row r="59" spans="1:11">
      <c r="A59" s="799" t="s">
        <v>569</v>
      </c>
      <c r="B59" s="800" t="s">
        <v>151</v>
      </c>
      <c r="C59" s="801"/>
      <c r="D59" s="801"/>
      <c r="E59" s="802"/>
      <c r="F59" s="803"/>
      <c r="G59" s="781"/>
      <c r="H59" s="781"/>
      <c r="I59" s="781"/>
      <c r="J59" s="781"/>
    </row>
    <row r="60" spans="1:11">
      <c r="A60" s="804" t="s">
        <v>74</v>
      </c>
      <c r="B60" s="805" t="s">
        <v>151</v>
      </c>
      <c r="C60" s="801"/>
      <c r="D60" s="801"/>
      <c r="E60" s="801"/>
      <c r="F60" s="806"/>
      <c r="G60" s="781"/>
      <c r="H60" s="781"/>
      <c r="I60" s="781"/>
      <c r="J60" s="781"/>
    </row>
    <row r="61" spans="1:11">
      <c r="A61" s="807"/>
      <c r="B61" s="808">
        <v>2900</v>
      </c>
      <c r="C61" s="809"/>
      <c r="D61" s="810">
        <v>-7419984</v>
      </c>
      <c r="E61" s="809"/>
      <c r="F61" s="811">
        <v>-7419984</v>
      </c>
      <c r="G61" s="781"/>
      <c r="H61" s="781"/>
      <c r="I61" s="781"/>
      <c r="J61" s="781"/>
    </row>
    <row r="62" spans="1:11">
      <c r="A62" s="807"/>
      <c r="B62" s="808">
        <v>2920</v>
      </c>
      <c r="C62" s="809"/>
      <c r="D62" s="810">
        <v>-7419984</v>
      </c>
      <c r="E62" s="809"/>
      <c r="F62" s="811">
        <v>-7419984</v>
      </c>
      <c r="G62" s="781"/>
      <c r="H62" s="781"/>
      <c r="I62" s="781"/>
      <c r="J62" s="781"/>
    </row>
    <row r="63" spans="1:11">
      <c r="A63" s="807"/>
      <c r="B63" s="808">
        <v>3300</v>
      </c>
      <c r="C63" s="809"/>
      <c r="D63" s="810">
        <v>6072</v>
      </c>
      <c r="E63" s="809"/>
      <c r="F63" s="811">
        <v>6072</v>
      </c>
      <c r="G63" s="781"/>
      <c r="H63" s="781"/>
      <c r="I63" s="781"/>
      <c r="J63" s="781"/>
    </row>
    <row r="64" spans="1:11">
      <c r="A64" s="807"/>
      <c r="B64" s="808">
        <v>3320</v>
      </c>
      <c r="C64" s="809"/>
      <c r="D64" s="810">
        <v>6072</v>
      </c>
      <c r="E64" s="809"/>
      <c r="F64" s="811">
        <v>6072</v>
      </c>
      <c r="G64" s="781"/>
      <c r="H64" s="781"/>
      <c r="I64" s="781"/>
      <c r="J64" s="781"/>
    </row>
    <row r="65" spans="1:10">
      <c r="A65" s="807"/>
      <c r="B65" s="808">
        <v>7300</v>
      </c>
      <c r="C65" s="809"/>
      <c r="D65" s="810">
        <v>319811.03999999998</v>
      </c>
      <c r="E65" s="809"/>
      <c r="F65" s="812">
        <v>319811.03999999998</v>
      </c>
      <c r="G65" s="781"/>
      <c r="H65" s="781"/>
      <c r="I65" s="781"/>
      <c r="J65" s="781"/>
    </row>
    <row r="66" spans="1:10">
      <c r="A66" s="807"/>
      <c r="B66" s="808">
        <v>7310</v>
      </c>
      <c r="C66" s="809"/>
      <c r="D66" s="810">
        <v>319811.03999999998</v>
      </c>
      <c r="E66" s="809"/>
      <c r="F66" s="812">
        <v>319811.03999999998</v>
      </c>
      <c r="G66" s="781"/>
      <c r="H66" s="781"/>
      <c r="I66" s="781"/>
      <c r="J66" s="781"/>
    </row>
    <row r="67" spans="1:10">
      <c r="A67" s="807"/>
      <c r="B67" s="813" t="s">
        <v>689</v>
      </c>
      <c r="C67" s="809"/>
      <c r="D67" s="810">
        <v>319811.03999999998</v>
      </c>
      <c r="E67" s="809"/>
      <c r="F67" s="812">
        <v>319811.03999999998</v>
      </c>
      <c r="G67" s="781"/>
      <c r="H67" s="781"/>
      <c r="I67" s="781"/>
      <c r="J67" s="781"/>
    </row>
    <row r="68" spans="1:10">
      <c r="A68" s="807"/>
      <c r="B68" s="808">
        <v>7400</v>
      </c>
      <c r="C68" s="809"/>
      <c r="D68" s="810">
        <v>7094100.96</v>
      </c>
      <c r="E68" s="809"/>
      <c r="F68" s="812">
        <v>7094100.96</v>
      </c>
      <c r="G68" s="781"/>
      <c r="H68" s="781"/>
      <c r="I68" s="781"/>
      <c r="J68" s="781"/>
    </row>
    <row r="69" spans="1:10">
      <c r="A69" s="807"/>
      <c r="B69" s="808">
        <v>7470</v>
      </c>
      <c r="C69" s="809"/>
      <c r="D69" s="810">
        <v>7094100.96</v>
      </c>
      <c r="E69" s="809"/>
      <c r="F69" s="812">
        <v>7094100.96</v>
      </c>
      <c r="G69" s="781"/>
      <c r="H69" s="781"/>
      <c r="I69" s="781"/>
      <c r="J69" s="781"/>
    </row>
    <row r="70" spans="1:10">
      <c r="A70" s="807"/>
      <c r="B70" s="813" t="s">
        <v>249</v>
      </c>
      <c r="C70" s="809"/>
      <c r="D70" s="810">
        <v>7094100.96</v>
      </c>
      <c r="E70" s="809"/>
      <c r="F70" s="812">
        <v>7094100.96</v>
      </c>
      <c r="G70" s="781"/>
      <c r="H70" s="781"/>
      <c r="I70" s="781"/>
      <c r="J70" s="781"/>
    </row>
    <row r="71" spans="1:10">
      <c r="A71" s="814"/>
      <c r="B71" s="815" t="s">
        <v>152</v>
      </c>
      <c r="C71" s="816"/>
      <c r="D71" s="816"/>
      <c r="E71" s="816"/>
      <c r="F71" s="817"/>
      <c r="G71" s="781"/>
      <c r="H71" s="781"/>
      <c r="I71" s="781"/>
      <c r="J71" s="781"/>
    </row>
    <row r="72" spans="1:10">
      <c r="A72" s="804"/>
      <c r="B72" s="805" t="s">
        <v>153</v>
      </c>
      <c r="C72" s="801"/>
      <c r="D72" s="801"/>
      <c r="E72" s="801"/>
      <c r="F72" s="806"/>
      <c r="G72" s="781"/>
      <c r="H72" s="781"/>
      <c r="I72" s="781"/>
      <c r="J72" s="781"/>
    </row>
    <row r="73" spans="1:10">
      <c r="A73" s="582"/>
      <c r="B73" s="818" t="s">
        <v>152</v>
      </c>
      <c r="C73" s="816"/>
      <c r="D73" s="816"/>
      <c r="E73" s="819"/>
      <c r="F73" s="820"/>
      <c r="G73" s="781"/>
      <c r="H73" s="781"/>
      <c r="I73" s="781"/>
      <c r="J73" s="781"/>
    </row>
    <row r="74" spans="1:10" ht="13.5" thickBot="1">
      <c r="A74" s="799"/>
      <c r="B74" s="800" t="s">
        <v>153</v>
      </c>
      <c r="C74" s="801"/>
      <c r="D74" s="801"/>
      <c r="E74" s="802"/>
      <c r="F74" s="803"/>
      <c r="G74" s="781"/>
      <c r="H74" s="781"/>
      <c r="I74" s="781"/>
      <c r="J74" s="781"/>
    </row>
    <row r="75" spans="1:10">
      <c r="A75" s="821" t="s">
        <v>171</v>
      </c>
      <c r="B75" s="822" t="s">
        <v>152</v>
      </c>
      <c r="C75" s="823"/>
      <c r="D75" s="823"/>
      <c r="E75" s="824"/>
      <c r="F75" s="825"/>
      <c r="G75" s="781"/>
      <c r="H75" s="781"/>
      <c r="I75" s="781"/>
      <c r="J75" s="781"/>
    </row>
    <row r="76" spans="1:10" ht="13.5" thickBot="1">
      <c r="A76" s="826"/>
      <c r="B76" s="827" t="s">
        <v>153</v>
      </c>
      <c r="C76" s="828"/>
      <c r="D76" s="828"/>
      <c r="E76" s="829"/>
      <c r="F76" s="830"/>
      <c r="G76" s="781"/>
      <c r="H76" s="781"/>
      <c r="I76" s="781"/>
      <c r="J76" s="781"/>
    </row>
    <row r="77" spans="1:10">
      <c r="A77" s="781"/>
      <c r="B77" s="781"/>
      <c r="C77" s="781"/>
      <c r="D77" s="781"/>
      <c r="E77" s="781"/>
      <c r="F77" s="781"/>
      <c r="G77" s="781"/>
      <c r="H77" s="781"/>
      <c r="I77" s="781"/>
      <c r="J77" s="781"/>
    </row>
    <row r="78" spans="1:10">
      <c r="A78" s="781"/>
      <c r="B78" s="781"/>
      <c r="C78" s="851">
        <f>D80+D70+D66</f>
        <v>14838912</v>
      </c>
      <c r="D78" s="781"/>
      <c r="E78" s="781"/>
      <c r="F78" s="781"/>
      <c r="G78" s="781"/>
      <c r="H78" s="781"/>
      <c r="I78" s="781"/>
      <c r="J78" s="781"/>
    </row>
    <row r="79" spans="1:10">
      <c r="A79" s="781"/>
      <c r="B79" s="781"/>
      <c r="C79" s="781"/>
      <c r="D79" s="781"/>
      <c r="E79" s="781"/>
      <c r="F79" s="781"/>
      <c r="G79" s="781"/>
      <c r="H79" s="781"/>
      <c r="I79" s="781"/>
      <c r="J79" s="781"/>
    </row>
    <row r="80" spans="1:10">
      <c r="A80" s="781"/>
      <c r="B80" s="781"/>
      <c r="C80" s="781"/>
      <c r="D80" s="781">
        <v>7425000</v>
      </c>
      <c r="E80" s="781" t="s">
        <v>309</v>
      </c>
      <c r="F80" s="831">
        <f>облигации!C111</f>
        <v>0</v>
      </c>
      <c r="G80" s="781"/>
      <c r="H80" s="781"/>
      <c r="I80" s="781"/>
      <c r="J80" s="781"/>
    </row>
    <row r="81" spans="1:10">
      <c r="A81" s="781"/>
      <c r="B81" s="781"/>
      <c r="C81" s="781"/>
      <c r="D81" s="781"/>
      <c r="E81" s="781"/>
      <c r="F81" s="831">
        <f>D80-F80</f>
        <v>7425000</v>
      </c>
      <c r="G81" s="781"/>
      <c r="H81" s="781"/>
      <c r="I81" s="781"/>
      <c r="J81" s="781"/>
    </row>
    <row r="82" spans="1:10">
      <c r="A82" s="781"/>
      <c r="B82" s="781"/>
      <c r="C82" s="781"/>
      <c r="D82" s="781"/>
      <c r="E82" s="781"/>
      <c r="F82" s="781"/>
      <c r="G82" s="781"/>
      <c r="H82" s="781"/>
      <c r="I82" s="781"/>
      <c r="J82" s="781"/>
    </row>
    <row r="83" spans="1:10">
      <c r="A83" s="781"/>
      <c r="B83" s="781"/>
      <c r="C83" s="781"/>
      <c r="D83" s="781"/>
      <c r="E83" s="781"/>
      <c r="F83" s="781"/>
      <c r="G83" s="781"/>
      <c r="H83" s="781"/>
      <c r="I83" s="781"/>
      <c r="J83" s="781"/>
    </row>
    <row r="84" spans="1:10">
      <c r="A84" s="781"/>
      <c r="B84" s="781"/>
      <c r="C84" s="781"/>
      <c r="D84" s="781"/>
      <c r="E84" s="781"/>
      <c r="F84" s="781"/>
      <c r="G84" s="781"/>
      <c r="H84" s="781"/>
      <c r="I84" s="781"/>
      <c r="J84" s="781"/>
    </row>
    <row r="85" spans="1:10">
      <c r="A85" s="780" t="s">
        <v>739</v>
      </c>
      <c r="B85" s="781"/>
      <c r="C85" s="781"/>
      <c r="D85" s="781"/>
      <c r="E85" s="781"/>
      <c r="F85" s="781"/>
      <c r="G85" s="782" t="s">
        <v>72</v>
      </c>
    </row>
    <row r="86" spans="1:10" ht="15">
      <c r="A86" s="853" t="s">
        <v>92</v>
      </c>
      <c r="B86" s="781"/>
      <c r="C86" s="781"/>
      <c r="D86" s="781"/>
      <c r="E86" s="781"/>
      <c r="F86" s="781"/>
      <c r="G86" s="781"/>
    </row>
    <row r="87" spans="1:10">
      <c r="A87" s="854" t="s">
        <v>701</v>
      </c>
      <c r="B87" s="781"/>
      <c r="C87" s="781"/>
      <c r="D87" s="781"/>
      <c r="E87" s="781"/>
      <c r="F87" s="781"/>
      <c r="G87" s="781"/>
    </row>
    <row r="88" spans="1:10">
      <c r="A88" s="1615" t="s">
        <v>48</v>
      </c>
      <c r="B88" s="1615"/>
      <c r="C88" s="1615"/>
      <c r="D88" s="1615"/>
      <c r="E88" s="1615"/>
      <c r="F88" s="1615"/>
      <c r="G88" s="1615"/>
    </row>
    <row r="89" spans="1:10">
      <c r="A89" s="1615" t="s">
        <v>49</v>
      </c>
      <c r="B89" s="1615"/>
      <c r="C89" s="1615"/>
      <c r="D89" s="1615"/>
      <c r="E89" s="1615"/>
      <c r="F89" s="1615"/>
      <c r="G89" s="1615"/>
    </row>
    <row r="90" spans="1:10">
      <c r="A90" s="1615" t="s">
        <v>740</v>
      </c>
      <c r="B90" s="1615"/>
      <c r="C90" s="1615"/>
      <c r="D90" s="1615"/>
      <c r="E90" s="1615"/>
      <c r="F90" s="1615"/>
      <c r="G90" s="1615"/>
    </row>
    <row r="91" spans="1:10" ht="13.5" thickBot="1">
      <c r="A91" s="781"/>
      <c r="B91" s="781"/>
      <c r="C91" s="781"/>
      <c r="D91" s="781"/>
      <c r="E91" s="781"/>
      <c r="F91" s="781"/>
      <c r="G91" s="781"/>
    </row>
    <row r="92" spans="1:10">
      <c r="A92" s="785" t="s">
        <v>188</v>
      </c>
      <c r="B92" s="1616" t="s">
        <v>154</v>
      </c>
      <c r="C92" s="1616"/>
      <c r="D92" s="1616" t="s">
        <v>155</v>
      </c>
      <c r="E92" s="1616"/>
      <c r="F92" s="1617" t="s">
        <v>156</v>
      </c>
      <c r="G92" s="1617"/>
    </row>
    <row r="93" spans="1:10" ht="13.5" thickBot="1">
      <c r="A93" s="789"/>
      <c r="B93" s="855" t="s">
        <v>189</v>
      </c>
      <c r="C93" s="855" t="s">
        <v>190</v>
      </c>
      <c r="D93" s="855" t="s">
        <v>189</v>
      </c>
      <c r="E93" s="856" t="s">
        <v>190</v>
      </c>
      <c r="F93" s="855" t="s">
        <v>189</v>
      </c>
      <c r="G93" s="857" t="s">
        <v>190</v>
      </c>
    </row>
    <row r="94" spans="1:10" ht="60">
      <c r="A94" s="858" t="s">
        <v>560</v>
      </c>
      <c r="B94" s="859"/>
      <c r="C94" s="859"/>
      <c r="D94" s="859"/>
      <c r="E94" s="859"/>
      <c r="F94" s="859"/>
      <c r="G94" s="860"/>
    </row>
    <row r="95" spans="1:10">
      <c r="A95" s="861">
        <v>1100</v>
      </c>
      <c r="B95" s="809"/>
      <c r="C95" s="809"/>
      <c r="D95" s="810">
        <v>220737521.13999999</v>
      </c>
      <c r="E95" s="810">
        <v>220737521.13999999</v>
      </c>
      <c r="F95" s="809"/>
      <c r="G95" s="862"/>
    </row>
    <row r="96" spans="1:10">
      <c r="A96" s="863" t="s">
        <v>96</v>
      </c>
      <c r="B96" s="809"/>
      <c r="C96" s="809"/>
      <c r="D96" s="864">
        <v>184000000</v>
      </c>
      <c r="E96" s="864">
        <v>184000000</v>
      </c>
      <c r="F96" s="809"/>
      <c r="G96" s="862"/>
    </row>
    <row r="97" spans="1:7">
      <c r="A97" s="861">
        <v>1120</v>
      </c>
      <c r="B97" s="809"/>
      <c r="C97" s="809"/>
      <c r="D97" s="810">
        <v>220737521.13999999</v>
      </c>
      <c r="E97" s="810">
        <v>220737521.13999999</v>
      </c>
      <c r="F97" s="809"/>
      <c r="G97" s="862"/>
    </row>
    <row r="98" spans="1:7">
      <c r="A98" s="863" t="s">
        <v>96</v>
      </c>
      <c r="B98" s="809"/>
      <c r="C98" s="809"/>
      <c r="D98" s="864">
        <v>184000000</v>
      </c>
      <c r="E98" s="864">
        <v>184000000</v>
      </c>
      <c r="F98" s="809"/>
      <c r="G98" s="862"/>
    </row>
    <row r="99" spans="1:7">
      <c r="A99" s="861">
        <v>1122</v>
      </c>
      <c r="B99" s="809"/>
      <c r="C99" s="809"/>
      <c r="D99" s="810">
        <v>220737521.13999999</v>
      </c>
      <c r="E99" s="810">
        <v>220737521.13999999</v>
      </c>
      <c r="F99" s="809"/>
      <c r="G99" s="862"/>
    </row>
    <row r="100" spans="1:7">
      <c r="A100" s="863" t="s">
        <v>96</v>
      </c>
      <c r="B100" s="809"/>
      <c r="C100" s="809"/>
      <c r="D100" s="864">
        <v>184000000</v>
      </c>
      <c r="E100" s="864">
        <v>184000000</v>
      </c>
      <c r="F100" s="809"/>
      <c r="G100" s="862"/>
    </row>
    <row r="101" spans="1:7">
      <c r="A101" s="807" t="s">
        <v>73</v>
      </c>
      <c r="B101" s="809"/>
      <c r="C101" s="809"/>
      <c r="D101" s="810">
        <v>191343024.84999999</v>
      </c>
      <c r="E101" s="810">
        <v>191343024.84999999</v>
      </c>
      <c r="F101" s="809"/>
      <c r="G101" s="862"/>
    </row>
    <row r="102" spans="1:7">
      <c r="A102" s="863" t="s">
        <v>96</v>
      </c>
      <c r="B102" s="809"/>
      <c r="C102" s="809"/>
      <c r="D102" s="864">
        <v>184000000</v>
      </c>
      <c r="E102" s="864">
        <v>184000000</v>
      </c>
      <c r="F102" s="809"/>
      <c r="G102" s="862"/>
    </row>
    <row r="103" spans="1:7">
      <c r="A103" s="807" t="s">
        <v>84</v>
      </c>
      <c r="B103" s="809"/>
      <c r="C103" s="809"/>
      <c r="D103" s="810">
        <v>11174688</v>
      </c>
      <c r="E103" s="810">
        <v>11174688</v>
      </c>
      <c r="F103" s="809"/>
      <c r="G103" s="862"/>
    </row>
    <row r="104" spans="1:7">
      <c r="A104" s="863" t="s">
        <v>96</v>
      </c>
      <c r="B104" s="809"/>
      <c r="C104" s="809"/>
      <c r="D104" s="809"/>
      <c r="E104" s="809"/>
      <c r="F104" s="809"/>
      <c r="G104" s="862"/>
    </row>
    <row r="105" spans="1:7">
      <c r="A105" s="807" t="s">
        <v>85</v>
      </c>
      <c r="B105" s="809"/>
      <c r="C105" s="809"/>
      <c r="D105" s="810">
        <v>7343024.8499999996</v>
      </c>
      <c r="E105" s="810">
        <v>7343024.8499999996</v>
      </c>
      <c r="F105" s="809"/>
      <c r="G105" s="862"/>
    </row>
    <row r="106" spans="1:7">
      <c r="A106" s="863" t="s">
        <v>96</v>
      </c>
      <c r="B106" s="809"/>
      <c r="C106" s="809"/>
      <c r="D106" s="809"/>
      <c r="E106" s="809"/>
      <c r="F106" s="809"/>
      <c r="G106" s="862"/>
    </row>
    <row r="107" spans="1:7">
      <c r="A107" s="807" t="s">
        <v>86</v>
      </c>
      <c r="B107" s="809"/>
      <c r="C107" s="809"/>
      <c r="D107" s="810">
        <v>10876783.439999999</v>
      </c>
      <c r="E107" s="810">
        <v>10876783.439999999</v>
      </c>
      <c r="F107" s="809"/>
      <c r="G107" s="862"/>
    </row>
    <row r="108" spans="1:7">
      <c r="A108" s="863" t="s">
        <v>96</v>
      </c>
      <c r="B108" s="809"/>
      <c r="C108" s="809"/>
      <c r="D108" s="809"/>
      <c r="E108" s="809"/>
      <c r="F108" s="809"/>
      <c r="G108" s="862"/>
    </row>
    <row r="109" spans="1:7">
      <c r="A109" s="861">
        <v>1200</v>
      </c>
      <c r="B109" s="809"/>
      <c r="C109" s="809"/>
      <c r="D109" s="810">
        <v>12343333.33</v>
      </c>
      <c r="E109" s="810">
        <v>12343333.33</v>
      </c>
      <c r="F109" s="809"/>
      <c r="G109" s="862"/>
    </row>
    <row r="110" spans="1:7">
      <c r="A110" s="863" t="s">
        <v>96</v>
      </c>
      <c r="B110" s="809"/>
      <c r="C110" s="809"/>
      <c r="D110" s="809"/>
      <c r="E110" s="809"/>
      <c r="F110" s="809"/>
      <c r="G110" s="862"/>
    </row>
    <row r="111" spans="1:7">
      <c r="A111" s="861">
        <v>1270</v>
      </c>
      <c r="B111" s="809"/>
      <c r="C111" s="809"/>
      <c r="D111" s="810">
        <v>12343333.33</v>
      </c>
      <c r="E111" s="810">
        <v>12343333.33</v>
      </c>
      <c r="F111" s="809"/>
      <c r="G111" s="862"/>
    </row>
    <row r="112" spans="1:7">
      <c r="A112" s="863" t="s">
        <v>96</v>
      </c>
      <c r="B112" s="809"/>
      <c r="C112" s="809"/>
      <c r="D112" s="809"/>
      <c r="E112" s="809"/>
      <c r="F112" s="809"/>
      <c r="G112" s="862"/>
    </row>
    <row r="113" spans="1:7">
      <c r="A113" s="807" t="s">
        <v>646</v>
      </c>
      <c r="B113" s="809"/>
      <c r="C113" s="809"/>
      <c r="D113" s="810">
        <v>7245000</v>
      </c>
      <c r="E113" s="810">
        <v>7245000</v>
      </c>
      <c r="F113" s="809"/>
      <c r="G113" s="862"/>
    </row>
    <row r="114" spans="1:7">
      <c r="A114" s="861">
        <v>1271</v>
      </c>
      <c r="B114" s="809"/>
      <c r="C114" s="809"/>
      <c r="D114" s="810">
        <v>5098333.33</v>
      </c>
      <c r="E114" s="810">
        <v>5098333.33</v>
      </c>
      <c r="F114" s="809"/>
      <c r="G114" s="862"/>
    </row>
    <row r="115" spans="1:7">
      <c r="A115" s="863" t="s">
        <v>96</v>
      </c>
      <c r="B115" s="809"/>
      <c r="C115" s="809"/>
      <c r="D115" s="809"/>
      <c r="E115" s="809"/>
      <c r="F115" s="809"/>
      <c r="G115" s="862"/>
    </row>
    <row r="116" spans="1:7">
      <c r="A116" s="807" t="s">
        <v>648</v>
      </c>
      <c r="B116" s="809"/>
      <c r="C116" s="809"/>
      <c r="D116" s="810">
        <v>5098333.33</v>
      </c>
      <c r="E116" s="810">
        <v>5098333.33</v>
      </c>
      <c r="F116" s="809"/>
      <c r="G116" s="862"/>
    </row>
    <row r="117" spans="1:7">
      <c r="A117" s="863" t="s">
        <v>96</v>
      </c>
      <c r="B117" s="809"/>
      <c r="C117" s="809"/>
      <c r="D117" s="809"/>
      <c r="E117" s="809"/>
      <c r="F117" s="809"/>
      <c r="G117" s="862"/>
    </row>
    <row r="118" spans="1:7">
      <c r="A118" s="861">
        <v>6100</v>
      </c>
      <c r="B118" s="809"/>
      <c r="C118" s="809"/>
      <c r="D118" s="810">
        <v>7343024.8499999996</v>
      </c>
      <c r="E118" s="810">
        <v>7343024.8499999996</v>
      </c>
      <c r="F118" s="809"/>
      <c r="G118" s="862"/>
    </row>
    <row r="119" spans="1:7">
      <c r="A119" s="861">
        <v>6150</v>
      </c>
      <c r="B119" s="809"/>
      <c r="C119" s="809"/>
      <c r="D119" s="810">
        <v>7343024.8499999996</v>
      </c>
      <c r="E119" s="810">
        <v>7343024.8499999996</v>
      </c>
      <c r="F119" s="809"/>
      <c r="G119" s="862"/>
    </row>
    <row r="120" spans="1:7">
      <c r="A120" s="807" t="s">
        <v>676</v>
      </c>
      <c r="B120" s="809"/>
      <c r="C120" s="809"/>
      <c r="D120" s="810">
        <v>7343024.8499999996</v>
      </c>
      <c r="E120" s="810">
        <v>7343024.8499999996</v>
      </c>
      <c r="F120" s="809"/>
      <c r="G120" s="862"/>
    </row>
    <row r="121" spans="1:7">
      <c r="A121" s="861">
        <v>7400</v>
      </c>
      <c r="B121" s="809"/>
      <c r="C121" s="809"/>
      <c r="D121" s="810">
        <v>10876783.439999999</v>
      </c>
      <c r="E121" s="810">
        <v>10876783.439999999</v>
      </c>
      <c r="F121" s="809"/>
      <c r="G121" s="862"/>
    </row>
    <row r="122" spans="1:7">
      <c r="A122" s="861">
        <v>7470</v>
      </c>
      <c r="B122" s="809"/>
      <c r="C122" s="874"/>
      <c r="D122" s="810">
        <v>10876783.439999999</v>
      </c>
      <c r="E122" s="810">
        <v>10876783.439999999</v>
      </c>
      <c r="F122" s="809"/>
      <c r="G122" s="862"/>
    </row>
    <row r="123" spans="1:7">
      <c r="A123" s="807" t="s">
        <v>695</v>
      </c>
      <c r="B123" s="809"/>
      <c r="C123" s="809"/>
      <c r="D123" s="810">
        <v>10876783.439999999</v>
      </c>
      <c r="E123" s="810">
        <v>10876783.439999999</v>
      </c>
      <c r="F123" s="809"/>
      <c r="G123" s="862"/>
    </row>
    <row r="124" spans="1:7">
      <c r="A124" s="865" t="s">
        <v>171</v>
      </c>
      <c r="B124" s="816"/>
      <c r="C124" s="816"/>
      <c r="D124" s="866">
        <v>251300662.75999999</v>
      </c>
      <c r="E124" s="866">
        <v>251300662.75999999</v>
      </c>
      <c r="F124" s="816"/>
      <c r="G124" s="817"/>
    </row>
    <row r="125" spans="1:7" ht="13.5" thickBot="1">
      <c r="A125" s="867" t="s">
        <v>97</v>
      </c>
      <c r="B125" s="801"/>
      <c r="C125" s="801"/>
      <c r="D125" s="868">
        <v>184000000</v>
      </c>
      <c r="E125" s="868">
        <v>184000000</v>
      </c>
      <c r="F125" s="801"/>
      <c r="G125" s="806"/>
    </row>
    <row r="126" spans="1:7" ht="13.5" thickBot="1">
      <c r="A126" s="869" t="s">
        <v>171</v>
      </c>
      <c r="B126" s="870"/>
      <c r="C126" s="871"/>
      <c r="D126" s="872">
        <v>251300662.75999999</v>
      </c>
      <c r="E126" s="872">
        <v>251300662.75999999</v>
      </c>
      <c r="F126" s="871"/>
      <c r="G126" s="873"/>
    </row>
    <row r="127" spans="1:7">
      <c r="A127" s="781"/>
      <c r="B127" s="781"/>
      <c r="C127" s="781"/>
      <c r="D127" s="781"/>
      <c r="E127" s="781"/>
      <c r="F127" s="781"/>
      <c r="G127" s="781"/>
    </row>
    <row r="128" spans="1:7">
      <c r="A128" s="781"/>
      <c r="B128" s="781"/>
      <c r="C128" s="781"/>
      <c r="D128" s="781"/>
      <c r="E128" s="781"/>
      <c r="F128" s="781"/>
      <c r="G128" s="781"/>
    </row>
    <row r="129" spans="1:7">
      <c r="A129" s="784" t="s">
        <v>701</v>
      </c>
      <c r="B129" s="781"/>
      <c r="C129" s="781"/>
      <c r="D129" s="781"/>
      <c r="E129" s="781"/>
      <c r="F129" s="781"/>
      <c r="G129" s="781"/>
    </row>
    <row r="130" spans="1:7">
      <c r="A130" s="1614" t="s">
        <v>562</v>
      </c>
      <c r="B130" s="1614"/>
      <c r="C130" s="1614"/>
      <c r="D130" s="1614"/>
      <c r="E130" s="1614"/>
      <c r="F130" s="1614"/>
      <c r="G130" s="781"/>
    </row>
    <row r="131" spans="1:7">
      <c r="A131" s="1614" t="s">
        <v>627</v>
      </c>
      <c r="B131" s="1614"/>
      <c r="C131" s="1614"/>
      <c r="D131" s="1614"/>
      <c r="E131" s="1614"/>
      <c r="F131" s="1614"/>
      <c r="G131" s="781"/>
    </row>
    <row r="132" spans="1:7">
      <c r="A132" s="1615" t="s">
        <v>740</v>
      </c>
      <c r="B132" s="1615"/>
      <c r="C132" s="1615"/>
      <c r="D132" s="1615"/>
      <c r="E132" s="1615"/>
      <c r="F132" s="1615"/>
      <c r="G132" s="781"/>
    </row>
    <row r="133" spans="1:7" ht="13.5" thickBot="1">
      <c r="A133" s="781"/>
      <c r="B133" s="781"/>
      <c r="C133" s="781"/>
      <c r="D133" s="781"/>
      <c r="E133" s="781"/>
      <c r="F133" s="781"/>
      <c r="G133" s="781"/>
    </row>
    <row r="134" spans="1:7">
      <c r="A134" s="785" t="s">
        <v>124</v>
      </c>
      <c r="B134" s="786" t="s">
        <v>148</v>
      </c>
      <c r="C134" s="786" t="s">
        <v>149</v>
      </c>
      <c r="D134" s="787" t="s">
        <v>150</v>
      </c>
      <c r="E134" s="786" t="s">
        <v>149</v>
      </c>
      <c r="F134" s="788" t="s">
        <v>150</v>
      </c>
      <c r="G134" s="781"/>
    </row>
    <row r="135" spans="1:7" ht="13.5" thickBot="1">
      <c r="A135" s="789"/>
      <c r="B135" s="790"/>
      <c r="C135" s="790"/>
      <c r="D135" s="791"/>
      <c r="E135" s="792" t="s">
        <v>628</v>
      </c>
      <c r="F135" s="793" t="s">
        <v>628</v>
      </c>
      <c r="G135" s="781"/>
    </row>
    <row r="136" spans="1:7" ht="13.5" thickBot="1">
      <c r="A136" s="794"/>
      <c r="B136" s="795" t="s">
        <v>151</v>
      </c>
      <c r="C136" s="796"/>
      <c r="D136" s="796"/>
      <c r="E136" s="797"/>
      <c r="F136" s="798"/>
      <c r="G136" s="781"/>
    </row>
    <row r="137" spans="1:7" ht="60">
      <c r="A137" s="799" t="s">
        <v>560</v>
      </c>
      <c r="B137" s="800" t="s">
        <v>151</v>
      </c>
      <c r="C137" s="801"/>
      <c r="D137" s="801"/>
      <c r="E137" s="802"/>
      <c r="F137" s="803"/>
      <c r="G137" s="781"/>
    </row>
    <row r="138" spans="1:7">
      <c r="A138" s="804" t="s">
        <v>74</v>
      </c>
      <c r="B138" s="805" t="s">
        <v>151</v>
      </c>
      <c r="C138" s="801"/>
      <c r="D138" s="801"/>
      <c r="E138" s="801"/>
      <c r="F138" s="806"/>
      <c r="G138" s="781"/>
    </row>
    <row r="139" spans="1:7">
      <c r="A139" s="807"/>
      <c r="B139" s="808">
        <v>1200</v>
      </c>
      <c r="C139" s="810">
        <v>5098333.33</v>
      </c>
      <c r="D139" s="809"/>
      <c r="E139" s="875">
        <v>5098333.33</v>
      </c>
      <c r="F139" s="862"/>
      <c r="G139" s="781"/>
    </row>
    <row r="140" spans="1:7">
      <c r="A140" s="807"/>
      <c r="B140" s="808">
        <v>1270</v>
      </c>
      <c r="C140" s="810">
        <v>5098333.33</v>
      </c>
      <c r="D140" s="809"/>
      <c r="E140" s="875">
        <v>5098333.33</v>
      </c>
      <c r="F140" s="862"/>
      <c r="G140" s="781"/>
    </row>
    <row r="141" spans="1:7">
      <c r="A141" s="807"/>
      <c r="B141" s="808">
        <v>1271</v>
      </c>
      <c r="C141" s="810">
        <v>5098333.33</v>
      </c>
      <c r="D141" s="809"/>
      <c r="E141" s="875">
        <v>5098333.33</v>
      </c>
      <c r="F141" s="862"/>
      <c r="G141" s="781"/>
    </row>
    <row r="142" spans="1:7">
      <c r="A142" s="807"/>
      <c r="B142" s="813" t="s">
        <v>648</v>
      </c>
      <c r="C142" s="810">
        <v>5098333.33</v>
      </c>
      <c r="D142" s="809"/>
      <c r="E142" s="875">
        <v>5098333.33</v>
      </c>
      <c r="F142" s="862"/>
      <c r="G142" s="781"/>
    </row>
    <row r="143" spans="1:7">
      <c r="A143" s="807"/>
      <c r="B143" s="808">
        <v>1600</v>
      </c>
      <c r="C143" s="809"/>
      <c r="D143" s="810">
        <v>345000</v>
      </c>
      <c r="E143" s="809"/>
      <c r="F143" s="811">
        <v>345000</v>
      </c>
      <c r="G143" s="781"/>
    </row>
    <row r="144" spans="1:7">
      <c r="A144" s="807"/>
      <c r="B144" s="808">
        <v>1610</v>
      </c>
      <c r="C144" s="809"/>
      <c r="D144" s="810">
        <v>345000</v>
      </c>
      <c r="E144" s="809"/>
      <c r="F144" s="811">
        <v>345000</v>
      </c>
      <c r="G144" s="781"/>
    </row>
    <row r="145" spans="1:7">
      <c r="A145" s="807"/>
      <c r="B145" s="813" t="s">
        <v>658</v>
      </c>
      <c r="C145" s="809"/>
      <c r="D145" s="810">
        <v>345000</v>
      </c>
      <c r="E145" s="809"/>
      <c r="F145" s="811">
        <v>345000</v>
      </c>
      <c r="G145" s="781"/>
    </row>
    <row r="146" spans="1:7">
      <c r="A146" s="807"/>
      <c r="B146" s="808">
        <v>3300</v>
      </c>
      <c r="C146" s="809"/>
      <c r="D146" s="810">
        <v>6900000</v>
      </c>
      <c r="E146" s="809"/>
      <c r="F146" s="811">
        <v>6900000</v>
      </c>
      <c r="G146" s="781"/>
    </row>
    <row r="147" spans="1:7">
      <c r="A147" s="807"/>
      <c r="B147" s="808">
        <v>3390</v>
      </c>
      <c r="C147" s="809"/>
      <c r="D147" s="810">
        <v>6900000</v>
      </c>
      <c r="E147" s="809"/>
      <c r="F147" s="811">
        <v>6900000</v>
      </c>
      <c r="G147" s="781"/>
    </row>
    <row r="148" spans="1:7">
      <c r="A148" s="807"/>
      <c r="B148" s="813" t="s">
        <v>262</v>
      </c>
      <c r="C148" s="809"/>
      <c r="D148" s="810">
        <v>6900000</v>
      </c>
      <c r="E148" s="809"/>
      <c r="F148" s="811">
        <v>6900000</v>
      </c>
      <c r="G148" s="781"/>
    </row>
    <row r="149" spans="1:7">
      <c r="A149" s="807"/>
      <c r="B149" s="808">
        <v>6100</v>
      </c>
      <c r="C149" s="810">
        <v>2146666.67</v>
      </c>
      <c r="D149" s="809"/>
      <c r="E149" s="875">
        <v>2146666.67</v>
      </c>
      <c r="F149" s="862"/>
    </row>
    <row r="150" spans="1:7">
      <c r="A150" s="807"/>
      <c r="B150" s="808">
        <v>6110</v>
      </c>
      <c r="C150" s="810">
        <v>2146666.67</v>
      </c>
      <c r="D150" s="809"/>
      <c r="E150" s="875">
        <v>2146666.67</v>
      </c>
      <c r="F150" s="862"/>
    </row>
    <row r="151" spans="1:7">
      <c r="A151" s="807"/>
      <c r="B151" s="813" t="s">
        <v>672</v>
      </c>
      <c r="C151" s="810">
        <v>2146666.67</v>
      </c>
      <c r="D151" s="809"/>
      <c r="E151" s="875">
        <v>2146666.67</v>
      </c>
      <c r="F151" s="862"/>
    </row>
    <row r="152" spans="1:7">
      <c r="A152" s="814"/>
      <c r="B152" s="815" t="s">
        <v>152</v>
      </c>
      <c r="C152" s="866">
        <v>7245000</v>
      </c>
      <c r="D152" s="866">
        <v>7245000</v>
      </c>
      <c r="E152" s="876">
        <v>7245000</v>
      </c>
      <c r="F152" s="877">
        <v>7245000</v>
      </c>
    </row>
    <row r="153" spans="1:7">
      <c r="A153" s="804"/>
      <c r="B153" s="805" t="s">
        <v>153</v>
      </c>
      <c r="C153" s="801"/>
      <c r="D153" s="801"/>
      <c r="E153" s="801"/>
      <c r="F153" s="806"/>
    </row>
    <row r="154" spans="1:7">
      <c r="A154" s="582"/>
      <c r="B154" s="818" t="s">
        <v>152</v>
      </c>
      <c r="C154" s="866">
        <v>7245000</v>
      </c>
      <c r="D154" s="866">
        <v>7245000</v>
      </c>
      <c r="E154" s="819"/>
      <c r="F154" s="820"/>
    </row>
    <row r="155" spans="1:7" ht="13.5" thickBot="1">
      <c r="A155" s="799"/>
      <c r="B155" s="800" t="s">
        <v>153</v>
      </c>
      <c r="C155" s="801"/>
      <c r="D155" s="801"/>
      <c r="E155" s="802"/>
      <c r="F155" s="803"/>
    </row>
    <row r="156" spans="1:7">
      <c r="A156" s="821" t="s">
        <v>171</v>
      </c>
      <c r="B156" s="822" t="s">
        <v>152</v>
      </c>
      <c r="C156" s="878">
        <v>7245000</v>
      </c>
      <c r="D156" s="878">
        <v>7245000</v>
      </c>
      <c r="E156" s="824"/>
      <c r="F156" s="825"/>
    </row>
    <row r="157" spans="1:7" ht="13.5" thickBot="1">
      <c r="A157" s="826"/>
      <c r="B157" s="827" t="s">
        <v>153</v>
      </c>
      <c r="C157" s="828"/>
      <c r="D157" s="828"/>
      <c r="E157" s="829"/>
      <c r="F157" s="830"/>
    </row>
    <row r="158" spans="1:7">
      <c r="A158" s="781"/>
      <c r="B158" s="781"/>
      <c r="C158" s="781"/>
      <c r="D158" s="781"/>
      <c r="E158" s="781"/>
      <c r="F158" s="781"/>
    </row>
  </sheetData>
  <mergeCells count="31">
    <mergeCell ref="A1:C1"/>
    <mergeCell ref="A26:D26"/>
    <mergeCell ref="A27:D27"/>
    <mergeCell ref="A2:D2"/>
    <mergeCell ref="A3:D3"/>
    <mergeCell ref="A4:D4"/>
    <mergeCell ref="A14:D14"/>
    <mergeCell ref="A15:D15"/>
    <mergeCell ref="B6:B7"/>
    <mergeCell ref="D39:D40"/>
    <mergeCell ref="A36:D36"/>
    <mergeCell ref="A35:D35"/>
    <mergeCell ref="C6:C7"/>
    <mergeCell ref="B18:B19"/>
    <mergeCell ref="C18:C19"/>
    <mergeCell ref="A28:D28"/>
    <mergeCell ref="D30:D31"/>
    <mergeCell ref="A37:D37"/>
    <mergeCell ref="A16:D16"/>
    <mergeCell ref="A52:F52"/>
    <mergeCell ref="A53:F53"/>
    <mergeCell ref="A54:F54"/>
    <mergeCell ref="A88:G88"/>
    <mergeCell ref="A89:G89"/>
    <mergeCell ref="A131:F131"/>
    <mergeCell ref="A132:F132"/>
    <mergeCell ref="A90:G90"/>
    <mergeCell ref="B92:C92"/>
    <mergeCell ref="D92:E92"/>
    <mergeCell ref="F92:G92"/>
    <mergeCell ref="A130:F130"/>
  </mergeCells>
  <phoneticPr fontId="13" type="noConversion"/>
  <pageMargins left="0.75" right="0.75" top="1" bottom="1" header="0.5" footer="0.5"/>
  <pageSetup paperSize="9" scale="7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H72"/>
  <sheetViews>
    <sheetView topLeftCell="A73" workbookViewId="0">
      <selection activeCell="E12" sqref="E12"/>
    </sheetView>
  </sheetViews>
  <sheetFormatPr defaultColWidth="9.140625" defaultRowHeight="12.75" outlineLevelRow="4"/>
  <cols>
    <col min="1" max="1" width="3.140625" style="13" customWidth="1"/>
    <col min="2" max="2" width="23.85546875" style="13" customWidth="1"/>
    <col min="3" max="5" width="14.7109375" style="13" customWidth="1"/>
    <col min="6" max="6" width="9.140625" style="13"/>
    <col min="7" max="7" width="15.42578125" style="13" customWidth="1"/>
    <col min="8" max="16384" width="9.140625" style="13"/>
  </cols>
  <sheetData>
    <row r="1" spans="1:5" ht="24.4" customHeight="1">
      <c r="A1" s="195"/>
      <c r="B1" s="1582" t="s">
        <v>5</v>
      </c>
      <c r="C1" s="1582"/>
      <c r="D1" s="1582"/>
      <c r="E1" s="13" t="s">
        <v>72</v>
      </c>
    </row>
    <row r="2" spans="1:5" ht="15.6" customHeight="1">
      <c r="A2" s="195"/>
      <c r="B2" s="553" t="s">
        <v>561</v>
      </c>
    </row>
    <row r="3" spans="1:5" ht="12.6" customHeight="1">
      <c r="A3" s="196"/>
      <c r="B3" s="1590" t="s">
        <v>710</v>
      </c>
      <c r="C3" s="1584"/>
    </row>
    <row r="4" spans="1:5" ht="12.6" customHeight="1">
      <c r="A4" s="197"/>
      <c r="B4" s="1585" t="s">
        <v>562</v>
      </c>
      <c r="C4" s="1585"/>
      <c r="D4" s="1585"/>
      <c r="E4" s="1585"/>
    </row>
    <row r="5" spans="1:5" ht="12.6" customHeight="1">
      <c r="A5" s="197"/>
      <c r="B5" s="1585" t="s">
        <v>123</v>
      </c>
      <c r="C5" s="1585"/>
      <c r="D5" s="1585"/>
      <c r="E5" s="1585"/>
    </row>
    <row r="6" spans="1:5">
      <c r="A6" s="197"/>
      <c r="B6" s="1603" t="s">
        <v>563</v>
      </c>
      <c r="C6" s="1603"/>
      <c r="D6" s="1603"/>
      <c r="E6" s="1603"/>
    </row>
    <row r="7" spans="1:5" ht="5.25" customHeight="1" thickBot="1"/>
    <row r="8" spans="1:5">
      <c r="B8" s="17" t="s">
        <v>124</v>
      </c>
      <c r="C8" s="18" t="s">
        <v>148</v>
      </c>
      <c r="D8" s="18" t="s">
        <v>149</v>
      </c>
      <c r="E8" s="19" t="s">
        <v>150</v>
      </c>
    </row>
    <row r="9" spans="1:5" ht="13.5" thickBot="1">
      <c r="B9" s="20"/>
      <c r="C9" s="21"/>
      <c r="D9" s="21"/>
      <c r="E9" s="108"/>
    </row>
    <row r="10" spans="1:5" ht="12.6" customHeight="1" thickBot="1">
      <c r="B10" s="109"/>
      <c r="C10" s="110" t="s">
        <v>151</v>
      </c>
      <c r="D10" s="554"/>
      <c r="E10" s="259"/>
    </row>
    <row r="11" spans="1:5" ht="46.35" customHeight="1">
      <c r="B11" s="609" t="s">
        <v>560</v>
      </c>
      <c r="C11" s="261" t="s">
        <v>151</v>
      </c>
      <c r="D11" s="178"/>
      <c r="E11" s="54"/>
    </row>
    <row r="12" spans="1:5" ht="12.6" customHeight="1" outlineLevel="4">
      <c r="B12" s="188"/>
      <c r="C12" s="555" t="s">
        <v>85</v>
      </c>
      <c r="D12" s="22"/>
      <c r="E12" s="556"/>
    </row>
    <row r="13" spans="1:5" ht="12.6" customHeight="1" outlineLevel="3">
      <c r="B13" s="188"/>
      <c r="C13" s="555" t="s">
        <v>246</v>
      </c>
      <c r="D13" s="557"/>
      <c r="E13" s="48"/>
    </row>
    <row r="14" spans="1:5" ht="12.6" customHeight="1">
      <c r="B14" s="262"/>
      <c r="C14" s="263" t="s">
        <v>152</v>
      </c>
      <c r="D14" s="239">
        <f>D13</f>
        <v>0</v>
      </c>
      <c r="E14" s="240">
        <f>E12</f>
        <v>0</v>
      </c>
    </row>
    <row r="15" spans="1:5" ht="12.6" customHeight="1">
      <c r="B15" s="260"/>
      <c r="C15" s="261" t="s">
        <v>153</v>
      </c>
      <c r="D15" s="178"/>
      <c r="E15" s="558"/>
    </row>
    <row r="16" spans="1:5" ht="57.6" customHeight="1">
      <c r="B16" s="260" t="s">
        <v>68</v>
      </c>
      <c r="C16" s="261" t="s">
        <v>151</v>
      </c>
      <c r="D16" s="178"/>
      <c r="E16" s="54"/>
    </row>
    <row r="17" spans="1:7" ht="12.6" customHeight="1" outlineLevel="4">
      <c r="B17" s="188"/>
      <c r="C17" s="555" t="s">
        <v>85</v>
      </c>
      <c r="D17" s="22"/>
      <c r="E17" s="559">
        <v>0</v>
      </c>
    </row>
    <row r="18" spans="1:7" ht="12.6" customHeight="1" outlineLevel="4">
      <c r="B18" s="188"/>
      <c r="C18" s="555">
        <v>3300</v>
      </c>
      <c r="D18" s="22"/>
      <c r="E18" s="559"/>
    </row>
    <row r="19" spans="1:7" ht="12.6" customHeight="1" outlineLevel="4">
      <c r="B19" s="188"/>
      <c r="C19" s="555" t="s">
        <v>246</v>
      </c>
      <c r="D19" s="557">
        <v>0</v>
      </c>
      <c r="E19" s="238"/>
    </row>
    <row r="20" spans="1:7" ht="12.6" customHeight="1">
      <c r="B20" s="262"/>
      <c r="C20" s="263" t="s">
        <v>152</v>
      </c>
      <c r="D20" s="239">
        <f>D19</f>
        <v>0</v>
      </c>
      <c r="E20" s="240">
        <f>E17+E18</f>
        <v>0</v>
      </c>
    </row>
    <row r="21" spans="1:7" ht="12.6" customHeight="1">
      <c r="B21" s="260"/>
      <c r="C21" s="261" t="s">
        <v>153</v>
      </c>
      <c r="D21" s="178"/>
      <c r="E21" s="54"/>
    </row>
    <row r="22" spans="1:7" ht="57.6" customHeight="1">
      <c r="B22" s="260" t="s">
        <v>50</v>
      </c>
      <c r="C22" s="261" t="s">
        <v>151</v>
      </c>
      <c r="D22" s="178"/>
      <c r="E22" s="54"/>
    </row>
    <row r="23" spans="1:7" ht="12.6" customHeight="1" outlineLevel="4">
      <c r="B23" s="188"/>
      <c r="C23" s="555" t="s">
        <v>85</v>
      </c>
      <c r="D23" s="22"/>
      <c r="E23" s="559"/>
    </row>
    <row r="24" spans="1:7" ht="12.6" customHeight="1" outlineLevel="3">
      <c r="B24" s="188"/>
      <c r="C24" s="555" t="s">
        <v>246</v>
      </c>
      <c r="D24" s="557"/>
      <c r="E24" s="48"/>
    </row>
    <row r="25" spans="1:7" ht="12.6" customHeight="1">
      <c r="B25" s="262"/>
      <c r="C25" s="263" t="s">
        <v>152</v>
      </c>
      <c r="D25" s="239">
        <f>SUM(D24)</f>
        <v>0</v>
      </c>
      <c r="E25" s="240">
        <f>E23</f>
        <v>0</v>
      </c>
    </row>
    <row r="26" spans="1:7" ht="12.6" customHeight="1" thickBot="1">
      <c r="B26" s="260"/>
      <c r="C26" s="261" t="s">
        <v>153</v>
      </c>
      <c r="D26" s="178"/>
      <c r="E26" s="558"/>
    </row>
    <row r="27" spans="1:7" ht="12.6" customHeight="1">
      <c r="B27" s="23" t="s">
        <v>171</v>
      </c>
      <c r="C27" s="24" t="s">
        <v>152</v>
      </c>
      <c r="D27" s="264">
        <f>D14+D20+D25</f>
        <v>0</v>
      </c>
      <c r="E27" s="264">
        <f>E14+E20+E25</f>
        <v>0</v>
      </c>
    </row>
    <row r="28" spans="1:7" ht="12.6" customHeight="1" thickBot="1">
      <c r="B28" s="25"/>
      <c r="C28" s="26" t="s">
        <v>153</v>
      </c>
      <c r="D28" s="265"/>
      <c r="E28" s="560">
        <f>E27-D27</f>
        <v>0</v>
      </c>
      <c r="G28" s="189"/>
    </row>
    <row r="29" spans="1:7" ht="13.5" thickBot="1">
      <c r="E29" s="561">
        <f>E14</f>
        <v>0</v>
      </c>
      <c r="F29" s="13">
        <v>7</v>
      </c>
      <c r="G29" s="251"/>
    </row>
    <row r="30" spans="1:7" ht="13.5" thickBot="1">
      <c r="E30" s="561">
        <f>E23</f>
        <v>0</v>
      </c>
      <c r="G30" s="251"/>
    </row>
    <row r="31" spans="1:7" ht="13.5" thickBot="1">
      <c r="E31" s="561">
        <f>E17</f>
        <v>0</v>
      </c>
    </row>
    <row r="32" spans="1:7" ht="24.4" customHeight="1">
      <c r="A32" s="195"/>
      <c r="B32" s="1582" t="s">
        <v>564</v>
      </c>
      <c r="C32" s="1582"/>
      <c r="D32" s="1582"/>
      <c r="E32" s="13" t="s">
        <v>72</v>
      </c>
      <c r="G32" s="266"/>
    </row>
    <row r="33" spans="1:8" ht="15.6" customHeight="1">
      <c r="A33" s="195"/>
      <c r="B33" s="553" t="s">
        <v>565</v>
      </c>
    </row>
    <row r="34" spans="1:8" ht="12.6" customHeight="1">
      <c r="A34" s="196"/>
      <c r="B34" s="1590" t="s">
        <v>708</v>
      </c>
      <c r="C34" s="1584"/>
    </row>
    <row r="35" spans="1:8" ht="12.6" customHeight="1">
      <c r="A35" s="197"/>
      <c r="B35" s="1585" t="s">
        <v>562</v>
      </c>
      <c r="C35" s="1585"/>
      <c r="D35" s="1585"/>
      <c r="E35" s="1585"/>
    </row>
    <row r="36" spans="1:8" ht="12.6" customHeight="1">
      <c r="A36" s="197"/>
      <c r="B36" s="1585" t="s">
        <v>123</v>
      </c>
      <c r="C36" s="1585"/>
      <c r="D36" s="1585"/>
      <c r="E36" s="1585"/>
    </row>
    <row r="37" spans="1:8">
      <c r="A37" s="197"/>
      <c r="B37" s="1603" t="s">
        <v>563</v>
      </c>
      <c r="C37" s="1603"/>
      <c r="D37" s="1603"/>
      <c r="E37" s="1603"/>
    </row>
    <row r="38" spans="1:8" ht="5.25" customHeight="1" thickBot="1"/>
    <row r="39" spans="1:8">
      <c r="B39" s="17" t="s">
        <v>124</v>
      </c>
      <c r="C39" s="18" t="s">
        <v>148</v>
      </c>
      <c r="D39" s="18" t="s">
        <v>149</v>
      </c>
      <c r="E39" s="19" t="s">
        <v>150</v>
      </c>
    </row>
    <row r="40" spans="1:8" ht="13.5" thickBot="1">
      <c r="B40" s="20"/>
      <c r="C40" s="21"/>
      <c r="D40" s="21"/>
      <c r="E40" s="108"/>
    </row>
    <row r="41" spans="1:8" ht="12.6" customHeight="1" thickBot="1">
      <c r="B41" s="109"/>
      <c r="C41" s="110" t="s">
        <v>151</v>
      </c>
      <c r="D41" s="554"/>
      <c r="E41" s="259"/>
    </row>
    <row r="42" spans="1:8" ht="46.35" customHeight="1">
      <c r="B42" s="581" t="s">
        <v>560</v>
      </c>
      <c r="C42" s="562" t="s">
        <v>151</v>
      </c>
      <c r="D42" s="563"/>
      <c r="E42" s="564"/>
      <c r="H42" s="13" t="s">
        <v>66</v>
      </c>
    </row>
    <row r="43" spans="1:8" ht="12.6" customHeight="1" outlineLevel="4">
      <c r="B43" s="188"/>
      <c r="C43" s="555" t="s">
        <v>86</v>
      </c>
      <c r="D43" s="565"/>
      <c r="E43" s="48"/>
    </row>
    <row r="44" spans="1:8" ht="12.6" customHeight="1" outlineLevel="3">
      <c r="B44" s="188"/>
      <c r="C44" s="555">
        <v>7470.03</v>
      </c>
      <c r="D44" s="22"/>
      <c r="E44" s="556"/>
    </row>
    <row r="45" spans="1:8" ht="12.6" customHeight="1">
      <c r="B45" s="566"/>
      <c r="C45" s="567" t="s">
        <v>152</v>
      </c>
      <c r="D45" s="568">
        <f>D43</f>
        <v>0</v>
      </c>
      <c r="E45" s="569">
        <f>E44</f>
        <v>0</v>
      </c>
    </row>
    <row r="46" spans="1:8" ht="12.6" customHeight="1">
      <c r="B46" s="566"/>
      <c r="C46" s="567" t="s">
        <v>153</v>
      </c>
      <c r="D46" s="570"/>
      <c r="E46" s="571"/>
    </row>
    <row r="47" spans="1:8" ht="57.6" customHeight="1">
      <c r="B47" s="260" t="s">
        <v>68</v>
      </c>
      <c r="C47" s="261" t="s">
        <v>151</v>
      </c>
      <c r="D47" s="178"/>
      <c r="E47" s="54"/>
    </row>
    <row r="48" spans="1:8" ht="12.6" customHeight="1" outlineLevel="4">
      <c r="B48" s="188"/>
      <c r="C48" s="555" t="s">
        <v>86</v>
      </c>
      <c r="D48" s="557"/>
      <c r="E48" s="48"/>
    </row>
    <row r="49" spans="2:7" ht="12.6" customHeight="1" outlineLevel="4">
      <c r="B49" s="188"/>
      <c r="C49" s="555" t="s">
        <v>566</v>
      </c>
      <c r="D49" s="237"/>
      <c r="E49" s="559"/>
    </row>
    <row r="50" spans="2:7" ht="12.6" customHeight="1">
      <c r="B50" s="262"/>
      <c r="C50" s="263" t="s">
        <v>152</v>
      </c>
      <c r="D50" s="239">
        <f>SUM(D48)</f>
        <v>0</v>
      </c>
      <c r="E50" s="240">
        <f>SUM(E49)</f>
        <v>0</v>
      </c>
    </row>
    <row r="51" spans="2:7" ht="12.6" customHeight="1">
      <c r="B51" s="260"/>
      <c r="C51" s="261" t="s">
        <v>153</v>
      </c>
      <c r="D51" s="572"/>
      <c r="E51" s="54"/>
    </row>
    <row r="52" spans="2:7" ht="57.6" customHeight="1">
      <c r="B52" s="260" t="s">
        <v>50</v>
      </c>
      <c r="C52" s="261" t="s">
        <v>151</v>
      </c>
      <c r="D52" s="178"/>
      <c r="E52" s="54"/>
    </row>
    <row r="53" spans="2:7" ht="12.6" customHeight="1" outlineLevel="4">
      <c r="B53" s="188"/>
      <c r="C53" s="555" t="s">
        <v>86</v>
      </c>
      <c r="D53" s="557"/>
      <c r="E53" s="48"/>
    </row>
    <row r="54" spans="2:7" ht="12.6" customHeight="1" outlineLevel="3">
      <c r="B54" s="188"/>
      <c r="C54" s="555" t="s">
        <v>566</v>
      </c>
      <c r="D54" s="22"/>
      <c r="E54" s="559"/>
    </row>
    <row r="55" spans="2:7" ht="12.6" customHeight="1">
      <c r="B55" s="262"/>
      <c r="C55" s="263" t="s">
        <v>152</v>
      </c>
      <c r="D55" s="239">
        <f>D53</f>
        <v>0</v>
      </c>
      <c r="E55" s="240"/>
    </row>
    <row r="56" spans="2:7" ht="12.6" customHeight="1" thickBot="1">
      <c r="B56" s="573"/>
      <c r="C56" s="574" t="s">
        <v>153</v>
      </c>
      <c r="D56" s="560"/>
      <c r="E56" s="575"/>
    </row>
    <row r="57" spans="2:7" ht="12.6" customHeight="1">
      <c r="B57" s="23" t="s">
        <v>171</v>
      </c>
      <c r="C57" s="24" t="s">
        <v>152</v>
      </c>
      <c r="D57" s="264">
        <f>D55+D50+D45</f>
        <v>0</v>
      </c>
      <c r="E57" s="576">
        <f>E55+E50+E45</f>
        <v>0</v>
      </c>
    </row>
    <row r="58" spans="2:7" ht="12.6" customHeight="1" thickBot="1">
      <c r="B58" s="25"/>
      <c r="C58" s="26" t="s">
        <v>153</v>
      </c>
      <c r="D58" s="577">
        <f>D57-E57</f>
        <v>0</v>
      </c>
      <c r="E58" s="575"/>
      <c r="G58" s="251"/>
    </row>
    <row r="59" spans="2:7" ht="13.5" thickBot="1">
      <c r="D59" s="561">
        <f>D45</f>
        <v>0</v>
      </c>
      <c r="E59" s="13">
        <v>7</v>
      </c>
    </row>
    <row r="60" spans="2:7" ht="13.5" thickBot="1">
      <c r="D60" s="561">
        <f>D55</f>
        <v>0</v>
      </c>
    </row>
    <row r="61" spans="2:7" ht="13.5" thickBot="1">
      <c r="D61" s="561">
        <f>D48</f>
        <v>0</v>
      </c>
    </row>
    <row r="72" spans="7:7">
      <c r="G72" s="73"/>
    </row>
  </sheetData>
  <mergeCells count="10">
    <mergeCell ref="B34:C34"/>
    <mergeCell ref="B35:E35"/>
    <mergeCell ref="B36:E36"/>
    <mergeCell ref="B37:E37"/>
    <mergeCell ref="B1:D1"/>
    <mergeCell ref="B3:C3"/>
    <mergeCell ref="B4:E4"/>
    <mergeCell ref="B5:E5"/>
    <mergeCell ref="B6:E6"/>
    <mergeCell ref="B32:D3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H251"/>
  <sheetViews>
    <sheetView topLeftCell="A133" workbookViewId="0">
      <selection activeCell="I240" sqref="I240"/>
    </sheetView>
  </sheetViews>
  <sheetFormatPr defaultRowHeight="12.75"/>
  <cols>
    <col min="1" max="1" width="2.5703125" style="13" customWidth="1"/>
    <col min="2" max="2" width="47.42578125" style="13" bestFit="1" customWidth="1"/>
    <col min="3" max="3" width="14" style="417" bestFit="1" customWidth="1"/>
    <col min="4" max="4" width="11.28515625" style="418" bestFit="1" customWidth="1"/>
    <col min="5" max="5" width="14.42578125" style="418" customWidth="1"/>
    <col min="6" max="6" width="12.42578125" style="418" bestFit="1" customWidth="1"/>
    <col min="7" max="7" width="14" style="416" bestFit="1" customWidth="1"/>
    <col min="8" max="8" width="13" style="416" bestFit="1" customWidth="1"/>
    <col min="9" max="9" width="11.7109375" customWidth="1"/>
    <col min="10" max="10" width="9.140625" customWidth="1"/>
  </cols>
  <sheetData>
    <row r="1" spans="1:8" s="13" customFormat="1" ht="15">
      <c r="A1" s="195"/>
      <c r="B1" s="1582" t="s">
        <v>432</v>
      </c>
      <c r="C1" s="1630"/>
      <c r="D1" s="1582"/>
      <c r="E1" s="1582"/>
      <c r="F1" s="1582"/>
      <c r="G1" s="1582"/>
      <c r="H1" s="416" t="s">
        <v>72</v>
      </c>
    </row>
    <row r="2" spans="1:8" s="13" customFormat="1" ht="15">
      <c r="A2" s="195"/>
      <c r="B2" s="1620" t="s">
        <v>357</v>
      </c>
      <c r="C2" s="1631"/>
      <c r="D2" s="1620"/>
      <c r="E2" s="1620"/>
      <c r="F2" s="1620"/>
      <c r="G2" s="1620"/>
      <c r="H2" s="1620"/>
    </row>
    <row r="3" spans="1:8" s="13" customFormat="1">
      <c r="A3" s="196"/>
      <c r="B3" s="1608" t="s">
        <v>773</v>
      </c>
      <c r="C3" s="1632"/>
      <c r="D3" s="1608"/>
      <c r="E3" s="1608"/>
      <c r="F3" s="1608"/>
      <c r="G3" s="1608"/>
      <c r="H3" s="1608"/>
    </row>
    <row r="4" spans="1:8" s="13" customFormat="1">
      <c r="A4" s="197"/>
      <c r="B4" s="1585" t="s">
        <v>358</v>
      </c>
      <c r="C4" s="1633"/>
      <c r="D4" s="1585"/>
      <c r="E4" s="1585"/>
      <c r="F4" s="1585"/>
      <c r="G4" s="1585"/>
      <c r="H4" s="1585"/>
    </row>
    <row r="5" spans="1:8" s="13" customFormat="1">
      <c r="A5" s="197"/>
      <c r="B5" s="1603" t="s">
        <v>123</v>
      </c>
      <c r="C5" s="1634"/>
      <c r="D5" s="1603"/>
      <c r="E5" s="1603"/>
      <c r="F5" s="1603"/>
      <c r="G5" s="1603"/>
      <c r="H5" s="1603"/>
    </row>
    <row r="6" spans="1:8" s="13" customFormat="1" ht="13.5" thickBot="1">
      <c r="A6" s="207"/>
      <c r="C6" s="417"/>
      <c r="D6" s="418"/>
      <c r="E6" s="418"/>
      <c r="F6" s="418"/>
      <c r="G6" s="416"/>
      <c r="H6" s="416"/>
    </row>
    <row r="7" spans="1:8" s="116" customFormat="1" ht="12.6" customHeight="1">
      <c r="A7" s="399"/>
      <c r="B7" s="451" t="s">
        <v>188</v>
      </c>
      <c r="C7" s="1625" t="s">
        <v>154</v>
      </c>
      <c r="D7" s="1626"/>
      <c r="E7" s="1627" t="s">
        <v>359</v>
      </c>
      <c r="F7" s="1628"/>
      <c r="G7" s="1627" t="s">
        <v>156</v>
      </c>
      <c r="H7" s="1629"/>
    </row>
    <row r="8" spans="1:8">
      <c r="A8" s="400"/>
      <c r="B8" s="452"/>
      <c r="C8" s="453" t="s">
        <v>189</v>
      </c>
      <c r="D8" s="454" t="s">
        <v>190</v>
      </c>
      <c r="E8" s="454" t="s">
        <v>189</v>
      </c>
      <c r="F8" s="454" t="s">
        <v>190</v>
      </c>
      <c r="G8" s="734" t="s">
        <v>189</v>
      </c>
      <c r="H8" s="455" t="s">
        <v>190</v>
      </c>
    </row>
    <row r="9" spans="1:8">
      <c r="A9" s="407"/>
      <c r="B9" s="49" t="s">
        <v>402</v>
      </c>
      <c r="C9" s="429">
        <v>-232934609.71000001</v>
      </c>
      <c r="D9" s="430"/>
      <c r="E9" s="429">
        <v>209740</v>
      </c>
      <c r="F9" s="430"/>
      <c r="G9" s="735">
        <v>-227535608.66999999</v>
      </c>
      <c r="H9" s="475"/>
    </row>
    <row r="10" spans="1:8" ht="13.5" customHeight="1">
      <c r="A10" s="407"/>
      <c r="B10" s="262" t="s">
        <v>360</v>
      </c>
      <c r="C10" s="429">
        <v>-2132700</v>
      </c>
      <c r="D10" s="430"/>
      <c r="E10" s="429">
        <v>2132700</v>
      </c>
      <c r="F10" s="430"/>
      <c r="G10" s="735"/>
      <c r="H10" s="475">
        <v>1280.0999999999999</v>
      </c>
    </row>
    <row r="11" spans="1:8" ht="13.5" customHeight="1">
      <c r="A11" s="407"/>
      <c r="B11" s="262" t="s">
        <v>361</v>
      </c>
      <c r="C11" s="429">
        <v>-45476</v>
      </c>
      <c r="D11" s="430"/>
      <c r="E11" s="429">
        <v>45476</v>
      </c>
      <c r="F11" s="430"/>
      <c r="G11" s="736">
        <v>0</v>
      </c>
      <c r="H11" s="475">
        <v>1612.01</v>
      </c>
    </row>
    <row r="12" spans="1:8" ht="13.5" customHeight="1">
      <c r="A12" s="407"/>
      <c r="B12" s="486" t="s">
        <v>484</v>
      </c>
      <c r="C12" s="488">
        <v>-1057583.53</v>
      </c>
      <c r="D12" s="488"/>
      <c r="E12" s="429"/>
      <c r="F12" s="429">
        <v>1057583.53</v>
      </c>
      <c r="G12" s="735">
        <v>-1057583.53</v>
      </c>
      <c r="H12" s="729">
        <v>1611.03</v>
      </c>
    </row>
    <row r="13" spans="1:8" ht="13.5" customHeight="1">
      <c r="A13" s="407"/>
      <c r="B13" s="486" t="s">
        <v>630</v>
      </c>
      <c r="C13" s="429">
        <v>-1887754</v>
      </c>
      <c r="D13" s="430"/>
      <c r="E13" s="429">
        <v>1887754</v>
      </c>
      <c r="F13" s="429"/>
      <c r="G13" s="736"/>
      <c r="H13" s="475">
        <v>1280.0999999999999</v>
      </c>
    </row>
    <row r="14" spans="1:8" ht="13.5" customHeight="1">
      <c r="A14" s="407"/>
      <c r="B14" s="486" t="s">
        <v>485</v>
      </c>
      <c r="C14" s="488">
        <v>-1207245.57</v>
      </c>
      <c r="D14" s="488"/>
      <c r="E14" s="429"/>
      <c r="F14" s="429">
        <v>1207245.57</v>
      </c>
      <c r="G14" s="735">
        <v>-1207245.57</v>
      </c>
      <c r="H14" s="475">
        <v>1611.03</v>
      </c>
    </row>
    <row r="15" spans="1:8" ht="13.5" customHeight="1">
      <c r="A15" s="407"/>
      <c r="B15" s="262" t="s">
        <v>413</v>
      </c>
      <c r="C15" s="429">
        <v>0</v>
      </c>
      <c r="D15" s="430"/>
      <c r="E15" s="429">
        <v>17254.8</v>
      </c>
      <c r="F15" s="429"/>
      <c r="G15" s="736">
        <v>0</v>
      </c>
      <c r="H15" s="475"/>
    </row>
    <row r="16" spans="1:8" ht="13.5" customHeight="1">
      <c r="A16" s="407"/>
      <c r="B16" s="262" t="s">
        <v>445</v>
      </c>
      <c r="C16" s="429">
        <v>-2209607.46</v>
      </c>
      <c r="D16" s="430"/>
      <c r="E16" s="429"/>
      <c r="F16" s="429"/>
      <c r="G16" s="736">
        <v>-2209607.46</v>
      </c>
      <c r="H16" s="475">
        <v>1611.03</v>
      </c>
    </row>
    <row r="17" spans="1:8" ht="13.5" customHeight="1">
      <c r="A17" s="407"/>
      <c r="B17" s="486" t="s">
        <v>486</v>
      </c>
      <c r="C17" s="488">
        <v>-5852.4</v>
      </c>
      <c r="D17" s="488"/>
      <c r="E17" s="429"/>
      <c r="F17" s="429">
        <v>5852.4</v>
      </c>
      <c r="G17" s="735">
        <v>-5852.4</v>
      </c>
      <c r="H17" s="475">
        <v>1611.03</v>
      </c>
    </row>
    <row r="18" spans="1:8" ht="13.5" customHeight="1">
      <c r="A18" s="407"/>
      <c r="B18" s="262" t="s">
        <v>414</v>
      </c>
      <c r="C18" s="429">
        <v>-50000</v>
      </c>
      <c r="D18" s="430"/>
      <c r="E18" s="429">
        <v>50000</v>
      </c>
      <c r="F18" s="429"/>
      <c r="G18" s="736">
        <v>0</v>
      </c>
      <c r="H18" s="475">
        <v>1612.01</v>
      </c>
    </row>
    <row r="19" spans="1:8" ht="13.5" customHeight="1">
      <c r="A19" s="407"/>
      <c r="B19" s="486" t="s">
        <v>641</v>
      </c>
      <c r="C19" s="429">
        <v>0</v>
      </c>
      <c r="D19" s="430"/>
      <c r="E19" s="429"/>
      <c r="F19" s="429">
        <v>804280</v>
      </c>
      <c r="G19" s="735">
        <v>-804280</v>
      </c>
      <c r="H19" s="475">
        <v>1612.03</v>
      </c>
    </row>
    <row r="20" spans="1:8" ht="13.5" customHeight="1">
      <c r="A20" s="407"/>
      <c r="B20" s="262" t="s">
        <v>362</v>
      </c>
      <c r="C20" s="429"/>
      <c r="D20" s="430"/>
      <c r="E20" s="429">
        <v>24000</v>
      </c>
      <c r="F20" s="429"/>
      <c r="G20" s="736"/>
      <c r="H20" s="475"/>
    </row>
    <row r="21" spans="1:8" ht="13.5" customHeight="1">
      <c r="A21" s="407"/>
      <c r="B21" s="262" t="s">
        <v>464</v>
      </c>
      <c r="C21" s="429">
        <v>-31268</v>
      </c>
      <c r="D21" s="430"/>
      <c r="E21" s="429"/>
      <c r="F21" s="429"/>
      <c r="G21" s="736">
        <v>-31268</v>
      </c>
      <c r="H21" s="475">
        <v>1612.01</v>
      </c>
    </row>
    <row r="22" spans="1:8" ht="13.5" customHeight="1">
      <c r="A22" s="407"/>
      <c r="B22" s="262" t="s">
        <v>454</v>
      </c>
      <c r="C22" s="429">
        <v>-390302.38</v>
      </c>
      <c r="D22" s="430"/>
      <c r="E22" s="429"/>
      <c r="F22" s="429"/>
      <c r="G22" s="736">
        <v>-390302.38</v>
      </c>
      <c r="H22" s="475">
        <v>1611.03</v>
      </c>
    </row>
    <row r="23" spans="1:8" ht="13.5" customHeight="1">
      <c r="A23" s="407"/>
      <c r="B23" s="262" t="s">
        <v>408</v>
      </c>
      <c r="C23" s="429">
        <v>-1068120.21</v>
      </c>
      <c r="D23" s="430"/>
      <c r="E23" s="429">
        <v>1068120.21</v>
      </c>
      <c r="F23" s="429"/>
      <c r="G23" s="736">
        <v>0</v>
      </c>
      <c r="H23" s="475">
        <v>1280.0999999999999</v>
      </c>
    </row>
    <row r="24" spans="1:8" ht="13.5" customHeight="1">
      <c r="A24" s="407"/>
      <c r="B24" s="262" t="s">
        <v>446</v>
      </c>
      <c r="C24" s="429"/>
      <c r="D24" s="430"/>
      <c r="E24" s="429">
        <v>209740</v>
      </c>
      <c r="F24" s="429"/>
      <c r="G24" s="737"/>
      <c r="H24" s="475"/>
    </row>
    <row r="25" spans="1:8" ht="13.5" customHeight="1">
      <c r="A25" s="407"/>
      <c r="B25" s="262" t="s">
        <v>415</v>
      </c>
      <c r="C25" s="429">
        <v>-18371</v>
      </c>
      <c r="D25" s="430"/>
      <c r="E25" s="429">
        <v>18371</v>
      </c>
      <c r="F25" s="429"/>
      <c r="G25" s="736"/>
      <c r="H25" s="475">
        <v>1611.03</v>
      </c>
    </row>
    <row r="26" spans="1:8" ht="13.5" customHeight="1">
      <c r="A26" s="407"/>
      <c r="B26" s="486" t="s">
        <v>466</v>
      </c>
      <c r="C26" s="429">
        <v>-10800</v>
      </c>
      <c r="D26" s="430"/>
      <c r="E26" s="429">
        <v>10800</v>
      </c>
      <c r="F26" s="429">
        <v>10800</v>
      </c>
      <c r="G26" s="735">
        <v>0</v>
      </c>
      <c r="H26" s="475">
        <v>1611.01</v>
      </c>
    </row>
    <row r="27" spans="1:8" ht="13.5" customHeight="1">
      <c r="A27" s="407"/>
      <c r="B27" s="262" t="s">
        <v>455</v>
      </c>
      <c r="C27" s="429">
        <v>-3000</v>
      </c>
      <c r="D27" s="430"/>
      <c r="E27" s="429"/>
      <c r="F27" s="429"/>
      <c r="G27" s="736">
        <v>-3000</v>
      </c>
      <c r="H27" s="475">
        <v>1611.01</v>
      </c>
    </row>
    <row r="28" spans="1:8" ht="13.5" customHeight="1">
      <c r="A28" s="407"/>
      <c r="B28" s="262" t="s">
        <v>423</v>
      </c>
      <c r="C28" s="429">
        <v>-123297666.11</v>
      </c>
      <c r="D28" s="430"/>
      <c r="E28" s="429"/>
      <c r="F28" s="429"/>
      <c r="G28" s="736">
        <v>-123297666.11</v>
      </c>
      <c r="H28" s="475">
        <v>1280.0999999999999</v>
      </c>
    </row>
    <row r="29" spans="1:8" ht="13.5" customHeight="1">
      <c r="A29" s="407"/>
      <c r="B29" s="262" t="s">
        <v>396</v>
      </c>
      <c r="C29" s="429">
        <v>-3664672</v>
      </c>
      <c r="D29" s="430"/>
      <c r="E29" s="429">
        <v>3664672</v>
      </c>
      <c r="F29" s="429"/>
      <c r="G29" s="736">
        <v>0</v>
      </c>
      <c r="H29" s="475">
        <v>1280.0999999999999</v>
      </c>
    </row>
    <row r="30" spans="1:8" ht="13.5" customHeight="1">
      <c r="A30" s="407"/>
      <c r="B30" s="486" t="s">
        <v>487</v>
      </c>
      <c r="C30" s="488">
        <v>-11196</v>
      </c>
      <c r="D30" s="488"/>
      <c r="E30" s="429"/>
      <c r="F30" s="429">
        <v>11196</v>
      </c>
      <c r="G30" s="735">
        <v>-11196</v>
      </c>
      <c r="H30" s="729">
        <v>1612.01</v>
      </c>
    </row>
    <row r="31" spans="1:8" ht="13.5" customHeight="1">
      <c r="A31" s="407"/>
      <c r="B31" s="486" t="s">
        <v>488</v>
      </c>
      <c r="C31" s="488">
        <v>-21264</v>
      </c>
      <c r="D31" s="488"/>
      <c r="E31" s="429"/>
      <c r="F31" s="429">
        <v>21264</v>
      </c>
      <c r="G31" s="735">
        <v>-21264</v>
      </c>
      <c r="H31" s="729">
        <v>1612.01</v>
      </c>
    </row>
    <row r="32" spans="1:8" ht="13.5" customHeight="1">
      <c r="A32" s="407"/>
      <c r="B32" s="486" t="s">
        <v>756</v>
      </c>
      <c r="C32" s="488"/>
      <c r="D32" s="488"/>
      <c r="E32" s="429"/>
      <c r="F32" s="429"/>
      <c r="G32" s="487">
        <v>-1164035</v>
      </c>
      <c r="H32" s="729">
        <v>1612.01</v>
      </c>
    </row>
    <row r="33" spans="1:8" ht="13.5" customHeight="1">
      <c r="A33" s="407"/>
      <c r="B33" s="262" t="s">
        <v>456</v>
      </c>
      <c r="C33" s="429">
        <v>-44852000</v>
      </c>
      <c r="D33" s="430"/>
      <c r="E33" s="429">
        <v>44801807</v>
      </c>
      <c r="F33" s="429"/>
      <c r="G33" s="735">
        <v>0</v>
      </c>
      <c r="H33" s="475">
        <v>1210.01</v>
      </c>
    </row>
    <row r="34" spans="1:8" ht="13.5" customHeight="1">
      <c r="A34" s="197"/>
      <c r="B34" s="262" t="s">
        <v>363</v>
      </c>
      <c r="C34" s="429"/>
      <c r="D34" s="430"/>
      <c r="E34" s="429">
        <v>38576</v>
      </c>
      <c r="F34" s="429"/>
      <c r="G34" s="736"/>
      <c r="H34" s="475"/>
    </row>
    <row r="35" spans="1:8" ht="13.5" customHeight="1">
      <c r="A35" s="197"/>
      <c r="B35" s="262" t="s">
        <v>364</v>
      </c>
      <c r="C35" s="429">
        <v>-43000</v>
      </c>
      <c r="D35" s="430"/>
      <c r="E35" s="429">
        <v>43000</v>
      </c>
      <c r="F35" s="429"/>
      <c r="G35" s="736"/>
      <c r="H35" s="475">
        <v>1612.01</v>
      </c>
    </row>
    <row r="36" spans="1:8" ht="13.5" customHeight="1">
      <c r="A36" s="197"/>
      <c r="B36" s="486" t="s">
        <v>489</v>
      </c>
      <c r="C36" s="488">
        <v>-21863</v>
      </c>
      <c r="D36" s="488"/>
      <c r="E36" s="429"/>
      <c r="F36" s="429">
        <v>21863</v>
      </c>
      <c r="G36" s="735">
        <v>-21863</v>
      </c>
      <c r="H36" s="475">
        <v>1612.01</v>
      </c>
    </row>
    <row r="37" spans="1:8" ht="13.5" customHeight="1">
      <c r="A37" s="197"/>
      <c r="B37" s="486" t="s">
        <v>490</v>
      </c>
      <c r="C37" s="488">
        <v>-23663</v>
      </c>
      <c r="D37" s="488"/>
      <c r="E37" s="429"/>
      <c r="F37" s="429">
        <v>23663</v>
      </c>
      <c r="G37" s="735">
        <v>-23663</v>
      </c>
      <c r="H37" s="475">
        <v>1612.01</v>
      </c>
    </row>
    <row r="38" spans="1:8" ht="13.5" customHeight="1">
      <c r="A38" s="197"/>
      <c r="B38" s="486" t="s">
        <v>467</v>
      </c>
      <c r="C38" s="429">
        <v>-1000000</v>
      </c>
      <c r="D38" s="430"/>
      <c r="E38" s="429">
        <v>1000000</v>
      </c>
      <c r="F38" s="429">
        <v>1000000</v>
      </c>
      <c r="G38" s="735">
        <v>0</v>
      </c>
      <c r="H38" s="475">
        <v>1612.01</v>
      </c>
    </row>
    <row r="39" spans="1:8" ht="13.5" customHeight="1">
      <c r="A39" s="197"/>
      <c r="B39" s="262" t="s">
        <v>409</v>
      </c>
      <c r="C39" s="429">
        <v>-297865</v>
      </c>
      <c r="D39" s="430"/>
      <c r="E39" s="429">
        <v>297865</v>
      </c>
      <c r="F39" s="429"/>
      <c r="G39" s="736">
        <v>0</v>
      </c>
      <c r="H39" s="475">
        <v>1280.0999999999999</v>
      </c>
    </row>
    <row r="40" spans="1:8" ht="13.5" customHeight="1">
      <c r="A40" s="197"/>
      <c r="B40" s="486" t="s">
        <v>468</v>
      </c>
      <c r="C40" s="429">
        <v>-361588</v>
      </c>
      <c r="D40" s="430"/>
      <c r="E40" s="429">
        <v>361588</v>
      </c>
      <c r="F40" s="429">
        <v>361588</v>
      </c>
      <c r="G40" s="735">
        <v>0</v>
      </c>
      <c r="H40" s="475">
        <v>1280.0999999999999</v>
      </c>
    </row>
    <row r="41" spans="1:8" ht="13.5" customHeight="1">
      <c r="A41" s="197"/>
      <c r="B41" s="486" t="s">
        <v>491</v>
      </c>
      <c r="C41" s="488">
        <v>-14976</v>
      </c>
      <c r="D41" s="488"/>
      <c r="E41" s="429"/>
      <c r="F41" s="429">
        <v>14976</v>
      </c>
      <c r="G41" s="735">
        <v>-14976</v>
      </c>
      <c r="H41" s="475">
        <v>1612.01</v>
      </c>
    </row>
    <row r="42" spans="1:8" ht="13.5" customHeight="1">
      <c r="A42" s="197"/>
      <c r="B42" s="262" t="s">
        <v>703</v>
      </c>
      <c r="C42" s="429"/>
      <c r="D42" s="430"/>
      <c r="E42" s="429">
        <v>3739.3</v>
      </c>
      <c r="F42" s="429"/>
      <c r="G42" s="736"/>
      <c r="H42" s="475">
        <v>1280.1199999999999</v>
      </c>
    </row>
    <row r="43" spans="1:8" ht="13.5" customHeight="1">
      <c r="A43" s="197"/>
      <c r="B43" s="486" t="s">
        <v>492</v>
      </c>
      <c r="C43" s="488">
        <v>-21864</v>
      </c>
      <c r="D43" s="488"/>
      <c r="E43" s="429"/>
      <c r="F43" s="429">
        <v>21864</v>
      </c>
      <c r="G43" s="735">
        <v>-21864</v>
      </c>
      <c r="H43" s="475">
        <v>1612.01</v>
      </c>
    </row>
    <row r="44" spans="1:8" ht="13.5" customHeight="1">
      <c r="A44" s="909"/>
      <c r="B44" s="486" t="s">
        <v>777</v>
      </c>
      <c r="C44" s="735">
        <v>-1674159.02</v>
      </c>
      <c r="D44" s="488"/>
      <c r="E44" s="429"/>
      <c r="F44" s="429"/>
      <c r="G44" s="735">
        <v>-1674159.02</v>
      </c>
      <c r="H44" s="937">
        <v>1612.01</v>
      </c>
    </row>
    <row r="45" spans="1:8" ht="13.5" customHeight="1">
      <c r="A45" s="909"/>
      <c r="B45" s="486" t="s">
        <v>778</v>
      </c>
      <c r="C45" s="735"/>
      <c r="D45" s="488"/>
      <c r="E45" s="429"/>
      <c r="F45" s="429">
        <v>909397.93</v>
      </c>
      <c r="G45" s="735">
        <v>-909397.93</v>
      </c>
      <c r="H45" s="937">
        <v>1280.1300000000001</v>
      </c>
    </row>
    <row r="46" spans="1:8" ht="13.5" customHeight="1">
      <c r="A46" s="197"/>
      <c r="B46" s="262" t="s">
        <v>447</v>
      </c>
      <c r="C46" s="429">
        <v>-333333</v>
      </c>
      <c r="D46" s="430"/>
      <c r="E46" s="429">
        <v>333333</v>
      </c>
      <c r="F46" s="429"/>
      <c r="G46" s="736">
        <v>0</v>
      </c>
      <c r="H46" s="475">
        <v>1612.01</v>
      </c>
    </row>
    <row r="47" spans="1:8" ht="13.5" customHeight="1">
      <c r="A47" s="197"/>
      <c r="B47" s="486" t="s">
        <v>639</v>
      </c>
      <c r="C47" s="429">
        <v>0</v>
      </c>
      <c r="D47" s="430"/>
      <c r="E47" s="429"/>
      <c r="F47" s="429">
        <v>24000</v>
      </c>
      <c r="G47" s="735">
        <v>-24000</v>
      </c>
      <c r="H47" s="475">
        <v>1612.01</v>
      </c>
    </row>
    <row r="48" spans="1:8" ht="13.5" customHeight="1">
      <c r="A48" s="197"/>
      <c r="B48" s="262" t="s">
        <v>397</v>
      </c>
      <c r="C48" s="429">
        <v>-1237362.32</v>
      </c>
      <c r="D48" s="430"/>
      <c r="E48" s="429"/>
      <c r="F48" s="429"/>
      <c r="G48" s="736">
        <v>-1237362.32</v>
      </c>
      <c r="H48" s="475">
        <v>1280.1199999999999</v>
      </c>
    </row>
    <row r="49" spans="1:8" ht="13.5" customHeight="1">
      <c r="A49" s="197"/>
      <c r="B49" s="486" t="s">
        <v>493</v>
      </c>
      <c r="C49" s="488">
        <v>-13832</v>
      </c>
      <c r="D49" s="488"/>
      <c r="E49" s="429"/>
      <c r="F49" s="429">
        <v>13832</v>
      </c>
      <c r="G49" s="735">
        <v>-13832</v>
      </c>
      <c r="H49" s="475">
        <v>1612.01</v>
      </c>
    </row>
    <row r="50" spans="1:8" ht="13.5" customHeight="1">
      <c r="A50" s="197"/>
      <c r="B50" s="486" t="s">
        <v>494</v>
      </c>
      <c r="C50" s="488">
        <v>-25596</v>
      </c>
      <c r="D50" s="488"/>
      <c r="E50" s="429"/>
      <c r="F50" s="429">
        <v>25596</v>
      </c>
      <c r="G50" s="735">
        <v>-25596</v>
      </c>
      <c r="H50" s="475">
        <v>1612.01</v>
      </c>
    </row>
    <row r="51" spans="1:8" ht="13.5" customHeight="1">
      <c r="A51" s="197"/>
      <c r="B51" s="486" t="s">
        <v>706</v>
      </c>
      <c r="C51" s="488"/>
      <c r="D51" s="488"/>
      <c r="E51" s="429">
        <v>2314.46</v>
      </c>
      <c r="F51" s="429"/>
      <c r="G51" s="736">
        <v>0</v>
      </c>
      <c r="H51" s="475">
        <v>1280.1199999999999</v>
      </c>
    </row>
    <row r="52" spans="1:8" ht="13.5" customHeight="1">
      <c r="A52" s="197"/>
      <c r="B52" s="262" t="s">
        <v>704</v>
      </c>
      <c r="C52" s="429"/>
      <c r="D52" s="430"/>
      <c r="E52" s="429">
        <v>2314.4499999999998</v>
      </c>
      <c r="F52" s="429"/>
      <c r="G52" s="736">
        <v>0</v>
      </c>
      <c r="H52" s="475">
        <v>1280.1199999999999</v>
      </c>
    </row>
    <row r="53" spans="1:8" ht="13.5" customHeight="1">
      <c r="A53" s="197"/>
      <c r="B53" s="262" t="s">
        <v>705</v>
      </c>
      <c r="C53" s="429"/>
      <c r="D53" s="430"/>
      <c r="E53" s="429"/>
      <c r="F53" s="429"/>
      <c r="G53" s="736"/>
      <c r="H53" s="475"/>
    </row>
    <row r="54" spans="1:8" ht="13.5" customHeight="1">
      <c r="A54" s="197"/>
      <c r="B54" s="262" t="s">
        <v>448</v>
      </c>
      <c r="C54" s="429"/>
      <c r="D54" s="430"/>
      <c r="E54" s="429">
        <v>23801</v>
      </c>
      <c r="F54" s="429"/>
      <c r="G54" s="736"/>
      <c r="H54" s="475"/>
    </row>
    <row r="55" spans="1:8" ht="13.5" customHeight="1">
      <c r="A55" s="197"/>
      <c r="B55" s="486" t="s">
        <v>495</v>
      </c>
      <c r="C55" s="488">
        <v>-22596</v>
      </c>
      <c r="D55" s="488"/>
      <c r="E55" s="429"/>
      <c r="F55" s="429">
        <v>22596</v>
      </c>
      <c r="G55" s="735">
        <v>-22596</v>
      </c>
      <c r="H55" s="475">
        <v>1612.01</v>
      </c>
    </row>
    <row r="56" spans="1:8" ht="13.5" customHeight="1">
      <c r="A56" s="197"/>
      <c r="B56" s="486" t="s">
        <v>457</v>
      </c>
      <c r="C56" s="487">
        <v>-14570.19</v>
      </c>
      <c r="D56" s="488"/>
      <c r="E56" s="429">
        <v>30007.119999999999</v>
      </c>
      <c r="F56" s="429"/>
      <c r="G56" s="735">
        <v>-14570.19</v>
      </c>
      <c r="H56" s="475">
        <v>1280.1199999999999</v>
      </c>
    </row>
    <row r="57" spans="1:8" ht="13.5" customHeight="1">
      <c r="A57" s="197"/>
      <c r="B57" s="486" t="s">
        <v>365</v>
      </c>
      <c r="C57" s="487"/>
      <c r="D57" s="488"/>
      <c r="E57" s="429">
        <v>145191</v>
      </c>
      <c r="F57" s="429"/>
      <c r="G57" s="738"/>
      <c r="H57" s="729"/>
    </row>
    <row r="58" spans="1:8" ht="13.5" customHeight="1">
      <c r="A58" s="197"/>
      <c r="B58" s="486" t="s">
        <v>638</v>
      </c>
      <c r="C58" s="487"/>
      <c r="D58" s="488"/>
      <c r="E58" s="429">
        <v>1879.61</v>
      </c>
      <c r="F58" s="429">
        <v>1879.61</v>
      </c>
      <c r="G58" s="735">
        <v>0</v>
      </c>
      <c r="H58" s="729">
        <v>1280.1199999999999</v>
      </c>
    </row>
    <row r="59" spans="1:8" ht="13.5" customHeight="1">
      <c r="A59" s="197"/>
      <c r="B59" s="486" t="s">
        <v>469</v>
      </c>
      <c r="C59" s="429">
        <v>-29486.27</v>
      </c>
      <c r="D59" s="430"/>
      <c r="E59" s="429">
        <v>29486.27</v>
      </c>
      <c r="F59" s="429">
        <v>119655.6</v>
      </c>
      <c r="G59" s="735">
        <v>-119655.6</v>
      </c>
      <c r="H59" s="475">
        <v>1612.01</v>
      </c>
    </row>
    <row r="60" spans="1:8" ht="13.5" customHeight="1">
      <c r="A60" s="197"/>
      <c r="B60" s="262" t="s">
        <v>441</v>
      </c>
      <c r="C60" s="429">
        <v>-231043</v>
      </c>
      <c r="D60" s="430"/>
      <c r="E60" s="429">
        <v>231043</v>
      </c>
      <c r="F60" s="429"/>
      <c r="G60" s="736">
        <v>0</v>
      </c>
      <c r="H60" s="475">
        <v>1280.0999999999999</v>
      </c>
    </row>
    <row r="61" spans="1:8" ht="13.5" customHeight="1">
      <c r="A61" s="197"/>
      <c r="B61" s="262" t="s">
        <v>366</v>
      </c>
      <c r="C61" s="429">
        <v>-96000</v>
      </c>
      <c r="D61" s="430"/>
      <c r="E61" s="429">
        <v>96000</v>
      </c>
      <c r="F61" s="429"/>
      <c r="G61" s="736"/>
      <c r="H61" s="475">
        <v>1611.01</v>
      </c>
    </row>
    <row r="62" spans="1:8" ht="13.5" customHeight="1">
      <c r="A62" s="197"/>
      <c r="B62" s="486" t="s">
        <v>367</v>
      </c>
      <c r="C62" s="487"/>
      <c r="D62" s="488"/>
      <c r="E62" s="429">
        <v>72850.679999999993</v>
      </c>
      <c r="F62" s="429"/>
      <c r="G62" s="738"/>
      <c r="H62" s="475"/>
    </row>
    <row r="63" spans="1:8" ht="13.5" customHeight="1">
      <c r="A63" s="197"/>
      <c r="B63" s="262" t="s">
        <v>368</v>
      </c>
      <c r="C63" s="429">
        <v>-250229</v>
      </c>
      <c r="D63" s="430"/>
      <c r="E63" s="429">
        <v>250229</v>
      </c>
      <c r="F63" s="429"/>
      <c r="G63" s="736">
        <v>0</v>
      </c>
      <c r="H63" s="475">
        <v>1612.01</v>
      </c>
    </row>
    <row r="64" spans="1:8" ht="13.5" customHeight="1">
      <c r="A64" s="197"/>
      <c r="B64" s="262" t="s">
        <v>463</v>
      </c>
      <c r="C64" s="429">
        <v>-400000</v>
      </c>
      <c r="D64" s="430"/>
      <c r="E64" s="429">
        <v>400000</v>
      </c>
      <c r="F64" s="429"/>
      <c r="G64" s="736">
        <v>0</v>
      </c>
      <c r="H64" s="475">
        <v>1612.01</v>
      </c>
    </row>
    <row r="65" spans="1:8" ht="13.5" customHeight="1">
      <c r="A65" s="197"/>
      <c r="B65" s="262" t="s">
        <v>458</v>
      </c>
      <c r="C65" s="429">
        <v>-892468.88</v>
      </c>
      <c r="D65" s="430"/>
      <c r="E65" s="429"/>
      <c r="F65" s="429"/>
      <c r="G65" s="736">
        <v>-892468.88</v>
      </c>
      <c r="H65" s="475">
        <v>1612.01</v>
      </c>
    </row>
    <row r="66" spans="1:8" ht="13.5" customHeight="1">
      <c r="A66" s="197"/>
      <c r="B66" s="262" t="s">
        <v>369</v>
      </c>
      <c r="C66" s="429">
        <v>-1773903.28</v>
      </c>
      <c r="D66" s="430"/>
      <c r="E66" s="429">
        <v>1773903.28</v>
      </c>
      <c r="F66" s="429"/>
      <c r="G66" s="735"/>
      <c r="H66" s="475">
        <v>1280.0999999999999</v>
      </c>
    </row>
    <row r="67" spans="1:8" ht="13.5" customHeight="1">
      <c r="A67" s="197"/>
      <c r="B67" s="262" t="s">
        <v>370</v>
      </c>
      <c r="C67" s="429">
        <v>-210200.87</v>
      </c>
      <c r="D67" s="430"/>
      <c r="E67" s="429">
        <v>210200.87</v>
      </c>
      <c r="F67" s="429"/>
      <c r="G67" s="736">
        <v>0</v>
      </c>
      <c r="H67" s="475">
        <v>1280.0999999999999</v>
      </c>
    </row>
    <row r="68" spans="1:8" ht="13.5" customHeight="1">
      <c r="A68" s="197"/>
      <c r="B68" s="262" t="s">
        <v>453</v>
      </c>
      <c r="C68" s="429">
        <v>-503698.43</v>
      </c>
      <c r="D68" s="430"/>
      <c r="E68" s="429"/>
      <c r="F68" s="429"/>
      <c r="G68" s="736">
        <v>-503698.43</v>
      </c>
      <c r="H68" s="475">
        <v>1280.0999999999999</v>
      </c>
    </row>
    <row r="69" spans="1:8" ht="13.5" customHeight="1">
      <c r="A69" s="197"/>
      <c r="B69" s="262" t="s">
        <v>459</v>
      </c>
      <c r="C69" s="429">
        <v>-70000</v>
      </c>
      <c r="D69" s="430"/>
      <c r="E69" s="429"/>
      <c r="F69" s="429"/>
      <c r="G69" s="736">
        <v>-70000</v>
      </c>
      <c r="H69" s="475">
        <v>1612.01</v>
      </c>
    </row>
    <row r="70" spans="1:8" ht="13.5" customHeight="1">
      <c r="A70" s="197"/>
      <c r="B70" s="486" t="s">
        <v>460</v>
      </c>
      <c r="C70" s="487">
        <v>-1786993.38</v>
      </c>
      <c r="D70" s="488"/>
      <c r="E70" s="429"/>
      <c r="F70" s="429">
        <v>1742415.81</v>
      </c>
      <c r="G70" s="735">
        <v>-1786993.38</v>
      </c>
      <c r="H70" s="475">
        <v>1280.0999999999999</v>
      </c>
    </row>
    <row r="71" spans="1:8" ht="13.5" customHeight="1">
      <c r="A71" s="197"/>
      <c r="B71" s="262" t="s">
        <v>398</v>
      </c>
      <c r="C71" s="429">
        <v>-47542.8</v>
      </c>
      <c r="D71" s="430"/>
      <c r="E71" s="429">
        <v>47542.8</v>
      </c>
      <c r="F71" s="429"/>
      <c r="G71" s="736">
        <v>0</v>
      </c>
      <c r="H71" s="475">
        <v>1611.01</v>
      </c>
    </row>
    <row r="72" spans="1:8" ht="13.5" customHeight="1">
      <c r="A72" s="197"/>
      <c r="B72" s="262" t="s">
        <v>449</v>
      </c>
      <c r="C72" s="429">
        <v>-601920</v>
      </c>
      <c r="D72" s="430"/>
      <c r="E72" s="429"/>
      <c r="F72" s="429"/>
      <c r="G72" s="736">
        <v>-601920</v>
      </c>
      <c r="H72" s="475">
        <v>1612.01</v>
      </c>
    </row>
    <row r="73" spans="1:8" ht="13.5" customHeight="1">
      <c r="A73" s="197"/>
      <c r="B73" s="486" t="s">
        <v>496</v>
      </c>
      <c r="C73" s="488">
        <v>-29980</v>
      </c>
      <c r="D73" s="488"/>
      <c r="E73" s="429"/>
      <c r="F73" s="429">
        <v>29980</v>
      </c>
      <c r="G73" s="735">
        <v>-29980</v>
      </c>
      <c r="H73" s="475">
        <v>1612.01</v>
      </c>
    </row>
    <row r="74" spans="1:8" ht="13.5" customHeight="1">
      <c r="A74" s="197"/>
      <c r="B74" s="262" t="s">
        <v>371</v>
      </c>
      <c r="C74" s="429">
        <v>-110000</v>
      </c>
      <c r="D74" s="430"/>
      <c r="E74" s="429">
        <v>110000</v>
      </c>
      <c r="F74" s="429">
        <v>110000</v>
      </c>
      <c r="G74" s="736">
        <v>0</v>
      </c>
      <c r="H74" s="475">
        <v>1611.01</v>
      </c>
    </row>
    <row r="75" spans="1:8" ht="13.5" customHeight="1">
      <c r="A75" s="197"/>
      <c r="B75" s="486" t="s">
        <v>497</v>
      </c>
      <c r="C75" s="488">
        <v>-128968</v>
      </c>
      <c r="D75" s="488"/>
      <c r="E75" s="429">
        <v>128968</v>
      </c>
      <c r="F75" s="429">
        <v>128968</v>
      </c>
      <c r="G75" s="735">
        <v>0</v>
      </c>
      <c r="H75" s="475">
        <v>1612.01</v>
      </c>
    </row>
    <row r="76" spans="1:8" ht="13.5" customHeight="1">
      <c r="A76" s="197"/>
      <c r="B76" s="262" t="s">
        <v>372</v>
      </c>
      <c r="C76" s="429">
        <v>-35000</v>
      </c>
      <c r="D76" s="430"/>
      <c r="E76" s="429">
        <v>35000</v>
      </c>
      <c r="F76" s="429"/>
      <c r="G76" s="736">
        <v>0</v>
      </c>
      <c r="H76" s="475">
        <v>1611.01</v>
      </c>
    </row>
    <row r="77" spans="1:8" ht="13.5" customHeight="1">
      <c r="A77" s="197"/>
      <c r="B77" s="262" t="s">
        <v>373</v>
      </c>
      <c r="C77" s="429">
        <v>-901000</v>
      </c>
      <c r="D77" s="430"/>
      <c r="E77" s="429">
        <v>901000</v>
      </c>
      <c r="F77" s="429"/>
      <c r="G77" s="736">
        <v>0</v>
      </c>
      <c r="H77" s="475">
        <v>1612.01</v>
      </c>
    </row>
    <row r="78" spans="1:8" ht="13.5" customHeight="1">
      <c r="A78" s="197"/>
      <c r="B78" s="262" t="s">
        <v>450</v>
      </c>
      <c r="C78" s="429">
        <v>-304350</v>
      </c>
      <c r="D78" s="430"/>
      <c r="E78" s="429"/>
      <c r="F78" s="429"/>
      <c r="G78" s="736">
        <v>-304350</v>
      </c>
      <c r="H78" s="475">
        <v>1612.01</v>
      </c>
    </row>
    <row r="79" spans="1:8" ht="13.5" customHeight="1">
      <c r="A79" s="197"/>
      <c r="B79" s="486" t="s">
        <v>374</v>
      </c>
      <c r="C79" s="487"/>
      <c r="D79" s="488"/>
      <c r="E79" s="429">
        <v>162170.22</v>
      </c>
      <c r="F79" s="429"/>
      <c r="G79" s="738"/>
      <c r="H79" s="475"/>
    </row>
    <row r="80" spans="1:8" ht="13.5" customHeight="1">
      <c r="A80" s="197"/>
      <c r="B80" s="262" t="s">
        <v>442</v>
      </c>
      <c r="C80" s="429">
        <v>-53726.22</v>
      </c>
      <c r="D80" s="430"/>
      <c r="E80" s="429"/>
      <c r="F80" s="429"/>
      <c r="G80" s="736">
        <v>-53726.22</v>
      </c>
      <c r="H80" s="475">
        <v>1612.01</v>
      </c>
    </row>
    <row r="81" spans="1:8" ht="13.5" customHeight="1">
      <c r="A81" s="197"/>
      <c r="B81" s="262" t="s">
        <v>375</v>
      </c>
      <c r="C81" s="429"/>
      <c r="D81" s="430"/>
      <c r="E81" s="429">
        <v>17333.060000000001</v>
      </c>
      <c r="F81" s="429"/>
      <c r="G81" s="736"/>
      <c r="H81" s="475"/>
    </row>
    <row r="82" spans="1:8" ht="13.5" customHeight="1">
      <c r="A82" s="197"/>
      <c r="B82" s="486" t="s">
        <v>470</v>
      </c>
      <c r="C82" s="429">
        <v>-34736.03</v>
      </c>
      <c r="D82" s="430"/>
      <c r="E82" s="429">
        <v>34736.03</v>
      </c>
      <c r="F82" s="429">
        <v>34736.03</v>
      </c>
      <c r="G82" s="735">
        <v>0</v>
      </c>
      <c r="H82" s="475">
        <v>1612.01</v>
      </c>
    </row>
    <row r="83" spans="1:8" ht="13.5" customHeight="1">
      <c r="A83" s="197"/>
      <c r="B83" s="262" t="s">
        <v>376</v>
      </c>
      <c r="C83" s="429">
        <v>-2249633.21</v>
      </c>
      <c r="D83" s="430"/>
      <c r="E83" s="429">
        <v>2249633.21</v>
      </c>
      <c r="F83" s="429"/>
      <c r="G83" s="736">
        <v>0</v>
      </c>
      <c r="H83" s="475">
        <v>1280.0999999999999</v>
      </c>
    </row>
    <row r="84" spans="1:8" ht="13.5" customHeight="1">
      <c r="A84" s="197"/>
      <c r="B84" s="262" t="s">
        <v>433</v>
      </c>
      <c r="C84" s="431">
        <v>-200</v>
      </c>
      <c r="D84" s="430"/>
      <c r="E84" s="429"/>
      <c r="F84" s="429"/>
      <c r="G84" s="739">
        <v>-200</v>
      </c>
      <c r="H84" s="475">
        <v>1612.01</v>
      </c>
    </row>
    <row r="85" spans="1:8" ht="13.5" customHeight="1">
      <c r="A85" s="197"/>
      <c r="B85" s="262" t="s">
        <v>377</v>
      </c>
      <c r="C85" s="429">
        <v>-835132.18</v>
      </c>
      <c r="D85" s="430"/>
      <c r="E85" s="429">
        <v>835132.18</v>
      </c>
      <c r="F85" s="429">
        <v>1189185.9099999999</v>
      </c>
      <c r="G85" s="735">
        <f>-2024318.09+E85</f>
        <v>-1189185.9100000001</v>
      </c>
      <c r="H85" s="475">
        <v>1612.01</v>
      </c>
    </row>
    <row r="86" spans="1:8" ht="13.5" customHeight="1">
      <c r="A86" s="197"/>
      <c r="B86" s="486" t="s">
        <v>498</v>
      </c>
      <c r="C86" s="488">
        <v>-18594</v>
      </c>
      <c r="D86" s="488"/>
      <c r="E86" s="429"/>
      <c r="F86" s="429">
        <v>18594</v>
      </c>
      <c r="G86" s="735">
        <v>-18594</v>
      </c>
      <c r="H86" s="475">
        <v>1612.01</v>
      </c>
    </row>
    <row r="87" spans="1:8" ht="13.5" customHeight="1">
      <c r="A87" s="197"/>
      <c r="B87" s="262" t="s">
        <v>378</v>
      </c>
      <c r="C87" s="429">
        <v>-420670</v>
      </c>
      <c r="D87" s="430"/>
      <c r="E87" s="429">
        <v>420670</v>
      </c>
      <c r="F87" s="429"/>
      <c r="G87" s="736">
        <v>0</v>
      </c>
      <c r="H87" s="475">
        <v>1280.1199999999999</v>
      </c>
    </row>
    <row r="88" spans="1:8" ht="13.5" customHeight="1">
      <c r="A88" s="197"/>
      <c r="B88" s="262" t="s">
        <v>379</v>
      </c>
      <c r="C88" s="431">
        <v>93.75</v>
      </c>
      <c r="D88" s="430"/>
      <c r="E88" s="429"/>
      <c r="F88" s="429"/>
      <c r="G88" s="739">
        <v>93.75</v>
      </c>
      <c r="H88" s="894">
        <v>1280.0999999999999</v>
      </c>
    </row>
    <row r="89" spans="1:8" ht="13.5" customHeight="1">
      <c r="A89" s="197"/>
      <c r="B89" s="486" t="s">
        <v>499</v>
      </c>
      <c r="C89" s="488">
        <v>-11232</v>
      </c>
      <c r="D89" s="488"/>
      <c r="E89" s="429"/>
      <c r="F89" s="429">
        <v>11232</v>
      </c>
      <c r="G89" s="735">
        <v>-11232</v>
      </c>
      <c r="H89" s="475">
        <v>1612.01</v>
      </c>
    </row>
    <row r="90" spans="1:8" ht="13.5" customHeight="1">
      <c r="A90" s="197"/>
      <c r="B90" s="262" t="s">
        <v>424</v>
      </c>
      <c r="C90" s="429">
        <v>-21725</v>
      </c>
      <c r="D90" s="430"/>
      <c r="E90" s="429">
        <v>21725</v>
      </c>
      <c r="F90" s="429"/>
      <c r="G90" s="736">
        <v>0</v>
      </c>
      <c r="H90" s="475">
        <v>1612.01</v>
      </c>
    </row>
    <row r="91" spans="1:8" ht="13.5" customHeight="1">
      <c r="A91" s="197"/>
      <c r="B91" s="486" t="s">
        <v>380</v>
      </c>
      <c r="C91" s="487">
        <v>-723702.69</v>
      </c>
      <c r="D91" s="488"/>
      <c r="E91" s="429">
        <v>80618.509999999995</v>
      </c>
      <c r="F91" s="429"/>
      <c r="G91" s="735">
        <v>-563963.88</v>
      </c>
      <c r="H91" s="475">
        <v>1280.1199999999999</v>
      </c>
    </row>
    <row r="92" spans="1:8" ht="13.5" customHeight="1">
      <c r="A92" s="197"/>
      <c r="B92" s="262" t="s">
        <v>461</v>
      </c>
      <c r="C92" s="429">
        <v>-250000</v>
      </c>
      <c r="D92" s="430"/>
      <c r="E92" s="429"/>
      <c r="F92" s="429"/>
      <c r="G92" s="736">
        <v>-250000</v>
      </c>
      <c r="H92" s="475">
        <v>1612.01</v>
      </c>
    </row>
    <row r="93" spans="1:8" ht="13.5" customHeight="1">
      <c r="A93" s="197"/>
      <c r="B93" s="486" t="s">
        <v>500</v>
      </c>
      <c r="C93" s="488">
        <v>-23196</v>
      </c>
      <c r="D93" s="488"/>
      <c r="E93" s="429"/>
      <c r="F93" s="429">
        <v>23196</v>
      </c>
      <c r="G93" s="735">
        <v>-23196</v>
      </c>
      <c r="H93" s="475">
        <v>1612.01</v>
      </c>
    </row>
    <row r="94" spans="1:8" ht="13.5" customHeight="1">
      <c r="A94" s="197"/>
      <c r="B94" s="486"/>
      <c r="C94" s="488"/>
      <c r="D94" s="488"/>
      <c r="E94" s="429"/>
      <c r="F94" s="429"/>
      <c r="G94" s="735">
        <v>0</v>
      </c>
      <c r="H94" s="894">
        <v>1280.1199999999999</v>
      </c>
    </row>
    <row r="95" spans="1:8" ht="13.5" customHeight="1">
      <c r="A95" s="197"/>
      <c r="B95" s="486" t="s">
        <v>471</v>
      </c>
      <c r="C95" s="429">
        <v>-5100.32</v>
      </c>
      <c r="D95" s="430"/>
      <c r="E95" s="429">
        <v>5100.32</v>
      </c>
      <c r="F95" s="429">
        <v>5100.32</v>
      </c>
      <c r="G95" s="735">
        <v>0</v>
      </c>
      <c r="H95" s="475">
        <v>1612.01</v>
      </c>
    </row>
    <row r="96" spans="1:8" ht="13.5" customHeight="1">
      <c r="A96" s="197"/>
      <c r="B96" s="262" t="s">
        <v>436</v>
      </c>
      <c r="C96" s="429">
        <v>-131934.9</v>
      </c>
      <c r="D96" s="430"/>
      <c r="E96" s="429">
        <v>131934.9</v>
      </c>
      <c r="F96" s="429"/>
      <c r="G96" s="736">
        <v>0</v>
      </c>
      <c r="H96" s="475">
        <v>1280.1199999999999</v>
      </c>
    </row>
    <row r="97" spans="1:8" ht="13.5" customHeight="1">
      <c r="A97" s="197"/>
      <c r="B97" s="486" t="s">
        <v>501</v>
      </c>
      <c r="C97" s="488">
        <v>-852</v>
      </c>
      <c r="D97" s="488"/>
      <c r="E97" s="429"/>
      <c r="F97" s="429">
        <v>852</v>
      </c>
      <c r="G97" s="740">
        <v>-852</v>
      </c>
      <c r="H97" s="475">
        <v>1612.01</v>
      </c>
    </row>
    <row r="98" spans="1:8" ht="13.5" customHeight="1">
      <c r="A98" s="197"/>
      <c r="B98" s="262" t="s">
        <v>405</v>
      </c>
      <c r="C98" s="429">
        <v>-347637.48</v>
      </c>
      <c r="D98" s="430"/>
      <c r="E98" s="429">
        <v>347637.48</v>
      </c>
      <c r="F98" s="429"/>
      <c r="G98" s="736">
        <v>0</v>
      </c>
      <c r="H98" s="475">
        <v>1280.1199999999999</v>
      </c>
    </row>
    <row r="99" spans="1:8" ht="13.5" customHeight="1">
      <c r="A99" s="197"/>
      <c r="B99" s="486" t="s">
        <v>637</v>
      </c>
      <c r="C99" s="429">
        <v>0</v>
      </c>
      <c r="D99" s="430"/>
      <c r="E99" s="429"/>
      <c r="F99" s="429">
        <v>11460</v>
      </c>
      <c r="G99" s="735">
        <v>-11460</v>
      </c>
      <c r="H99" s="475">
        <v>1611.01</v>
      </c>
    </row>
    <row r="100" spans="1:8" ht="13.5" customHeight="1">
      <c r="A100" s="197"/>
      <c r="B100" s="486" t="s">
        <v>381</v>
      </c>
      <c r="C100" s="487">
        <v>-17127.599999999999</v>
      </c>
      <c r="D100" s="488"/>
      <c r="E100" s="429">
        <v>17127.599999999999</v>
      </c>
      <c r="F100" s="429">
        <v>17127.599999999999</v>
      </c>
      <c r="G100" s="735">
        <v>-171</v>
      </c>
      <c r="H100" s="475">
        <v>1611.01</v>
      </c>
    </row>
    <row r="101" spans="1:8" ht="13.5" customHeight="1">
      <c r="A101" s="197"/>
      <c r="B101" s="486" t="s">
        <v>629</v>
      </c>
      <c r="C101" s="487">
        <v>0</v>
      </c>
      <c r="D101" s="488"/>
      <c r="E101" s="429"/>
      <c r="F101" s="429">
        <v>599000</v>
      </c>
      <c r="G101" s="735">
        <v>-599000</v>
      </c>
      <c r="H101" s="475">
        <v>1612.01</v>
      </c>
    </row>
    <row r="102" spans="1:8" ht="13.5" customHeight="1">
      <c r="A102" s="197"/>
      <c r="B102" s="486" t="s">
        <v>465</v>
      </c>
      <c r="C102" s="487">
        <v>-8480</v>
      </c>
      <c r="D102" s="488"/>
      <c r="E102" s="429"/>
      <c r="F102" s="429">
        <v>13800</v>
      </c>
      <c r="G102" s="735">
        <v>-22280</v>
      </c>
      <c r="H102" s="475">
        <v>1611.01</v>
      </c>
    </row>
    <row r="103" spans="1:8" ht="13.5" customHeight="1">
      <c r="A103" s="197"/>
      <c r="B103" s="486"/>
      <c r="C103" s="487"/>
      <c r="D103" s="488"/>
      <c r="E103" s="429"/>
      <c r="F103" s="429"/>
      <c r="G103" s="735">
        <v>0</v>
      </c>
      <c r="H103" s="894">
        <v>1280.1199999999999</v>
      </c>
    </row>
    <row r="104" spans="1:8" ht="13.5" customHeight="1">
      <c r="A104" s="197"/>
      <c r="B104" s="486" t="s">
        <v>640</v>
      </c>
      <c r="C104" s="487"/>
      <c r="D104" s="488"/>
      <c r="E104" s="429"/>
      <c r="F104" s="429">
        <v>225192.5</v>
      </c>
      <c r="G104" s="735">
        <v>-225192.5</v>
      </c>
      <c r="H104" s="475">
        <v>1612.03</v>
      </c>
    </row>
    <row r="105" spans="1:8" ht="13.5" customHeight="1">
      <c r="A105" s="197"/>
      <c r="B105" s="486" t="s">
        <v>502</v>
      </c>
      <c r="C105" s="488">
        <v>-1332.59</v>
      </c>
      <c r="D105" s="488"/>
      <c r="E105" s="429">
        <v>1332.59</v>
      </c>
      <c r="F105" s="429"/>
      <c r="G105" s="735"/>
      <c r="H105" s="475">
        <v>1612.01</v>
      </c>
    </row>
    <row r="106" spans="1:8" ht="13.5" customHeight="1">
      <c r="A106" s="197"/>
      <c r="B106" s="486" t="s">
        <v>503</v>
      </c>
      <c r="C106" s="488">
        <v>-23196</v>
      </c>
      <c r="D106" s="488"/>
      <c r="E106" s="429"/>
      <c r="F106" s="429">
        <v>23196</v>
      </c>
      <c r="G106" s="735">
        <v>-23196</v>
      </c>
      <c r="H106" s="475">
        <v>1612.01</v>
      </c>
    </row>
    <row r="107" spans="1:8" ht="13.5" customHeight="1">
      <c r="A107" s="197"/>
      <c r="B107" s="486" t="s">
        <v>472</v>
      </c>
      <c r="C107" s="487">
        <v>-22294</v>
      </c>
      <c r="D107" s="488"/>
      <c r="E107" s="429">
        <v>22294</v>
      </c>
      <c r="F107" s="429">
        <v>22294</v>
      </c>
      <c r="G107" s="735">
        <v>0</v>
      </c>
      <c r="H107" s="475">
        <v>1280.01</v>
      </c>
    </row>
    <row r="108" spans="1:8" ht="13.5" customHeight="1">
      <c r="A108" s="197"/>
      <c r="B108" s="486" t="s">
        <v>427</v>
      </c>
      <c r="C108" s="487">
        <v>-331375.77</v>
      </c>
      <c r="D108" s="488"/>
      <c r="E108" s="429">
        <v>256120</v>
      </c>
      <c r="F108" s="429"/>
      <c r="G108" s="735">
        <f>-331375.77+E108</f>
        <v>-75255.770000000019</v>
      </c>
      <c r="H108" s="475">
        <v>1612.01</v>
      </c>
    </row>
    <row r="109" spans="1:8" ht="13.5" customHeight="1">
      <c r="A109" s="197"/>
      <c r="B109" s="262" t="s">
        <v>382</v>
      </c>
      <c r="C109" s="429">
        <v>-10358000</v>
      </c>
      <c r="D109" s="430"/>
      <c r="E109" s="429">
        <v>196604</v>
      </c>
      <c r="F109" s="429"/>
      <c r="G109" s="735">
        <v>0</v>
      </c>
      <c r="H109" s="475">
        <v>1280.0999999999999</v>
      </c>
    </row>
    <row r="110" spans="1:8" ht="13.5" customHeight="1">
      <c r="A110" s="197"/>
      <c r="B110" s="486" t="s">
        <v>504</v>
      </c>
      <c r="C110" s="488">
        <v>-5000</v>
      </c>
      <c r="D110" s="488"/>
      <c r="E110" s="429"/>
      <c r="F110" s="429">
        <v>5000</v>
      </c>
      <c r="G110" s="735">
        <v>0</v>
      </c>
      <c r="H110" s="475">
        <v>1280.0999999999999</v>
      </c>
    </row>
    <row r="111" spans="1:8" ht="13.5" customHeight="1">
      <c r="A111" s="197"/>
      <c r="B111" s="486" t="s">
        <v>707</v>
      </c>
      <c r="C111" s="488"/>
      <c r="D111" s="488"/>
      <c r="E111" s="429"/>
      <c r="F111" s="429"/>
      <c r="G111" s="735">
        <v>0</v>
      </c>
      <c r="H111" s="475">
        <v>1280.01</v>
      </c>
    </row>
    <row r="112" spans="1:8" ht="13.5" customHeight="1">
      <c r="A112" s="197"/>
      <c r="B112" s="262" t="s">
        <v>399</v>
      </c>
      <c r="C112" s="429"/>
      <c r="D112" s="430"/>
      <c r="E112" s="429">
        <v>4755412</v>
      </c>
      <c r="F112" s="429"/>
      <c r="G112" s="736"/>
      <c r="H112" s="475"/>
    </row>
    <row r="113" spans="1:8" ht="13.5" customHeight="1">
      <c r="A113" s="197"/>
      <c r="B113" s="262" t="s">
        <v>425</v>
      </c>
      <c r="C113" s="429">
        <v>-4000</v>
      </c>
      <c r="D113" s="430"/>
      <c r="E113" s="429">
        <v>4000</v>
      </c>
      <c r="F113" s="429"/>
      <c r="G113" s="736">
        <v>0</v>
      </c>
      <c r="H113" s="475">
        <v>1611.01</v>
      </c>
    </row>
    <row r="114" spans="1:8" ht="13.5" customHeight="1">
      <c r="A114" s="197"/>
      <c r="B114" s="262" t="s">
        <v>631</v>
      </c>
      <c r="C114" s="429">
        <v>-1500</v>
      </c>
      <c r="D114" s="430"/>
      <c r="E114" s="429">
        <v>1500</v>
      </c>
      <c r="F114" s="429"/>
      <c r="G114" s="736">
        <v>0</v>
      </c>
      <c r="H114" s="475">
        <v>1612.01</v>
      </c>
    </row>
    <row r="115" spans="1:8" ht="13.5" customHeight="1">
      <c r="A115" s="197"/>
      <c r="B115" s="486" t="s">
        <v>473</v>
      </c>
      <c r="C115" s="429">
        <v>-30383</v>
      </c>
      <c r="D115" s="430"/>
      <c r="E115" s="429">
        <v>30383</v>
      </c>
      <c r="F115" s="429">
        <v>30383</v>
      </c>
      <c r="G115" s="735">
        <v>0</v>
      </c>
      <c r="H115" s="475">
        <v>1612.01</v>
      </c>
    </row>
    <row r="116" spans="1:8" ht="13.5" customHeight="1">
      <c r="A116" s="197"/>
      <c r="B116" s="262" t="s">
        <v>437</v>
      </c>
      <c r="C116" s="429">
        <v>-131934.79999999999</v>
      </c>
      <c r="D116" s="430"/>
      <c r="E116" s="429">
        <v>131934.79999999999</v>
      </c>
      <c r="F116" s="429"/>
      <c r="G116" s="736">
        <v>0</v>
      </c>
      <c r="H116" s="475">
        <v>1280.1199999999999</v>
      </c>
    </row>
    <row r="117" spans="1:8" ht="13.5" customHeight="1">
      <c r="A117" s="197"/>
      <c r="B117" s="262" t="s">
        <v>383</v>
      </c>
      <c r="C117" s="429">
        <v>-5229279</v>
      </c>
      <c r="D117" s="430"/>
      <c r="E117" s="429">
        <v>5229279</v>
      </c>
      <c r="F117" s="429"/>
      <c r="G117" s="736">
        <v>0</v>
      </c>
      <c r="H117" s="475">
        <v>1280.1199999999999</v>
      </c>
    </row>
    <row r="118" spans="1:8" ht="13.5" customHeight="1">
      <c r="A118" s="197"/>
      <c r="B118" s="486" t="s">
        <v>636</v>
      </c>
      <c r="C118" s="429">
        <v>0</v>
      </c>
      <c r="D118" s="430"/>
      <c r="E118" s="429">
        <v>1284.81</v>
      </c>
      <c r="F118" s="429">
        <v>1284.81</v>
      </c>
      <c r="G118" s="735">
        <v>0</v>
      </c>
      <c r="H118" s="475">
        <v>1280.1199999999999</v>
      </c>
    </row>
    <row r="119" spans="1:8" ht="13.5" customHeight="1">
      <c r="A119" s="197"/>
      <c r="B119" s="486" t="s">
        <v>474</v>
      </c>
      <c r="C119" s="488">
        <v>-10000</v>
      </c>
      <c r="D119" s="488"/>
      <c r="E119" s="429">
        <v>10000</v>
      </c>
      <c r="F119" s="429">
        <v>10000</v>
      </c>
      <c r="G119" s="735">
        <v>0</v>
      </c>
      <c r="H119" s="475">
        <v>1612.01</v>
      </c>
    </row>
    <row r="120" spans="1:8" ht="13.5" customHeight="1">
      <c r="A120" s="197"/>
      <c r="B120" s="262" t="s">
        <v>416</v>
      </c>
      <c r="C120" s="429">
        <v>-7247</v>
      </c>
      <c r="D120" s="430"/>
      <c r="E120" s="429">
        <v>7247</v>
      </c>
      <c r="F120" s="429"/>
      <c r="G120" s="736">
        <v>0</v>
      </c>
      <c r="H120" s="475">
        <v>1611.03</v>
      </c>
    </row>
    <row r="121" spans="1:8" ht="13.5" customHeight="1">
      <c r="A121" s="197"/>
      <c r="B121" s="486" t="s">
        <v>505</v>
      </c>
      <c r="C121" s="488">
        <v>-69360</v>
      </c>
      <c r="D121" s="488"/>
      <c r="E121" s="429"/>
      <c r="F121" s="429">
        <v>69360</v>
      </c>
      <c r="G121" s="735">
        <v>-138720</v>
      </c>
      <c r="H121" s="475">
        <v>1612.01</v>
      </c>
    </row>
    <row r="122" spans="1:8" ht="13.5" customHeight="1">
      <c r="A122" s="197"/>
      <c r="B122" s="486" t="s">
        <v>506</v>
      </c>
      <c r="C122" s="488">
        <v>-23196</v>
      </c>
      <c r="D122" s="488"/>
      <c r="E122" s="429"/>
      <c r="F122" s="429">
        <v>23196</v>
      </c>
      <c r="G122" s="735">
        <v>-23196</v>
      </c>
      <c r="H122" s="475">
        <v>1612.01</v>
      </c>
    </row>
    <row r="123" spans="1:8" ht="13.5" customHeight="1">
      <c r="A123" s="197"/>
      <c r="B123" s="262" t="s">
        <v>400</v>
      </c>
      <c r="C123" s="429">
        <v>-5073</v>
      </c>
      <c r="D123" s="430"/>
      <c r="E123" s="429">
        <v>5073</v>
      </c>
      <c r="F123" s="429"/>
      <c r="G123" s="736">
        <v>0</v>
      </c>
      <c r="H123" s="475">
        <v>1611.01</v>
      </c>
    </row>
    <row r="124" spans="1:8" ht="13.5" customHeight="1">
      <c r="A124" s="197"/>
      <c r="B124" s="262" t="s">
        <v>421</v>
      </c>
      <c r="C124" s="429">
        <v>-1066.04</v>
      </c>
      <c r="D124" s="430"/>
      <c r="E124" s="429">
        <v>5503.04</v>
      </c>
      <c r="F124" s="429">
        <v>4437</v>
      </c>
      <c r="G124" s="736">
        <v>0</v>
      </c>
      <c r="H124" s="475">
        <v>1612.01</v>
      </c>
    </row>
    <row r="125" spans="1:8" ht="13.5" customHeight="1">
      <c r="A125" s="197"/>
      <c r="B125" s="486" t="s">
        <v>526</v>
      </c>
      <c r="C125" s="488"/>
      <c r="D125" s="488"/>
      <c r="E125" s="429">
        <v>2673</v>
      </c>
      <c r="F125" s="429">
        <v>6238</v>
      </c>
      <c r="G125" s="735">
        <f>-6238+E125</f>
        <v>-3565</v>
      </c>
      <c r="H125" s="475">
        <v>1280.0999999999999</v>
      </c>
    </row>
    <row r="126" spans="1:8" ht="13.5" customHeight="1">
      <c r="A126" s="197"/>
      <c r="B126" s="486" t="s">
        <v>527</v>
      </c>
      <c r="C126" s="488"/>
      <c r="D126" s="488"/>
      <c r="E126" s="429">
        <v>18843.349999999999</v>
      </c>
      <c r="F126" s="429">
        <v>18843.349999999999</v>
      </c>
      <c r="G126" s="735">
        <v>0</v>
      </c>
      <c r="H126" s="475">
        <v>1280.0999999999999</v>
      </c>
    </row>
    <row r="127" spans="1:8" ht="13.5" customHeight="1">
      <c r="A127" s="197"/>
      <c r="B127" s="486" t="s">
        <v>507</v>
      </c>
      <c r="C127" s="488">
        <v>-13478.72</v>
      </c>
      <c r="D127" s="488"/>
      <c r="E127" s="429">
        <v>13478.72</v>
      </c>
      <c r="F127" s="429">
        <v>13478.72</v>
      </c>
      <c r="G127" s="735">
        <v>0</v>
      </c>
      <c r="H127" s="475">
        <v>1612.01</v>
      </c>
    </row>
    <row r="128" spans="1:8" ht="13.5" customHeight="1">
      <c r="A128" s="197"/>
      <c r="B128" s="262" t="s">
        <v>384</v>
      </c>
      <c r="C128" s="429">
        <v>-1715000</v>
      </c>
      <c r="D128" s="430"/>
      <c r="E128" s="429">
        <v>30000</v>
      </c>
      <c r="F128" s="429"/>
      <c r="G128" s="736">
        <f>C128+E128</f>
        <v>-1685000</v>
      </c>
      <c r="H128" s="475">
        <v>1612.01</v>
      </c>
    </row>
    <row r="129" spans="1:8" ht="13.5" customHeight="1">
      <c r="A129" s="197"/>
      <c r="B129" s="262" t="s">
        <v>451</v>
      </c>
      <c r="C129" s="429">
        <v>-4448080</v>
      </c>
      <c r="D129" s="430"/>
      <c r="E129" s="429"/>
      <c r="F129" s="429"/>
      <c r="G129" s="736">
        <v>-4448080</v>
      </c>
      <c r="H129" s="475">
        <v>1611.01</v>
      </c>
    </row>
    <row r="130" spans="1:8" ht="13.5" customHeight="1">
      <c r="A130" s="197"/>
      <c r="B130" s="486" t="s">
        <v>475</v>
      </c>
      <c r="C130" s="488">
        <v>-1150</v>
      </c>
      <c r="D130" s="488"/>
      <c r="E130" s="429">
        <v>1150</v>
      </c>
      <c r="F130" s="429">
        <v>1150</v>
      </c>
      <c r="G130" s="735">
        <v>0</v>
      </c>
      <c r="H130" s="475">
        <v>1612.01</v>
      </c>
    </row>
    <row r="131" spans="1:8" ht="13.5" customHeight="1">
      <c r="A131" s="197"/>
      <c r="B131" s="262" t="s">
        <v>438</v>
      </c>
      <c r="C131" s="429">
        <v>-131934.79999999999</v>
      </c>
      <c r="D131" s="430"/>
      <c r="E131" s="429">
        <v>131934.79999999999</v>
      </c>
      <c r="F131" s="429"/>
      <c r="G131" s="736">
        <v>0</v>
      </c>
      <c r="H131" s="475">
        <v>1280.1199999999999</v>
      </c>
    </row>
    <row r="132" spans="1:8" ht="13.5" customHeight="1">
      <c r="A132" s="197"/>
      <c r="B132" s="262" t="s">
        <v>434</v>
      </c>
      <c r="C132" s="431">
        <v>-85</v>
      </c>
      <c r="D132" s="430"/>
      <c r="E132" s="429"/>
      <c r="F132" s="429"/>
      <c r="G132" s="739">
        <v>-85</v>
      </c>
      <c r="H132" s="475">
        <v>1612.01</v>
      </c>
    </row>
    <row r="133" spans="1:8" ht="13.5" customHeight="1">
      <c r="A133" s="197"/>
      <c r="B133" s="486" t="s">
        <v>589</v>
      </c>
      <c r="C133" s="431">
        <v>-29980</v>
      </c>
      <c r="D133" s="430"/>
      <c r="E133" s="429"/>
      <c r="F133" s="429">
        <v>29980</v>
      </c>
      <c r="G133" s="739">
        <v>-29980</v>
      </c>
      <c r="H133" s="475">
        <v>1612.01</v>
      </c>
    </row>
    <row r="134" spans="1:8" ht="13.5" customHeight="1">
      <c r="A134" s="197"/>
      <c r="B134" s="262" t="s">
        <v>401</v>
      </c>
      <c r="C134" s="429">
        <v>-1032370</v>
      </c>
      <c r="D134" s="430"/>
      <c r="E134" s="429"/>
      <c r="F134" s="429"/>
      <c r="G134" s="736">
        <v>-1032370</v>
      </c>
      <c r="H134" s="475">
        <v>1210.01</v>
      </c>
    </row>
    <row r="135" spans="1:8" ht="13.5" customHeight="1">
      <c r="A135" s="197"/>
      <c r="B135" s="486" t="s">
        <v>513</v>
      </c>
      <c r="C135" s="488">
        <v>-3999.4</v>
      </c>
      <c r="D135" s="488"/>
      <c r="E135" s="429"/>
      <c r="F135" s="429">
        <v>3999.4</v>
      </c>
      <c r="G135" s="735">
        <v>-3999.4</v>
      </c>
      <c r="H135" s="475">
        <v>1612.01</v>
      </c>
    </row>
    <row r="136" spans="1:8" ht="13.5" customHeight="1">
      <c r="A136" s="197"/>
      <c r="B136" s="486" t="s">
        <v>508</v>
      </c>
      <c r="C136" s="488">
        <v>-25025.65</v>
      </c>
      <c r="D136" s="488"/>
      <c r="E136" s="429"/>
      <c r="F136" s="429">
        <v>25025.65</v>
      </c>
      <c r="G136" s="735">
        <v>-25025.65</v>
      </c>
      <c r="H136" s="475">
        <v>1210.01</v>
      </c>
    </row>
    <row r="137" spans="1:8" ht="13.5" customHeight="1">
      <c r="A137" s="197"/>
      <c r="B137" s="262" t="s">
        <v>426</v>
      </c>
      <c r="C137" s="429">
        <v>-155770</v>
      </c>
      <c r="D137" s="430"/>
      <c r="E137" s="429">
        <v>155770</v>
      </c>
      <c r="F137" s="429"/>
      <c r="G137" s="736">
        <v>0</v>
      </c>
      <c r="H137" s="475">
        <v>1612.01</v>
      </c>
    </row>
    <row r="138" spans="1:8" ht="13.5" customHeight="1">
      <c r="A138" s="197"/>
      <c r="B138" s="262" t="s">
        <v>439</v>
      </c>
      <c r="C138" s="429">
        <v>-61110.39</v>
      </c>
      <c r="D138" s="430"/>
      <c r="E138" s="429"/>
      <c r="F138" s="429"/>
      <c r="G138" s="736">
        <v>-61110.39</v>
      </c>
      <c r="H138" s="475">
        <v>1280.1199999999999</v>
      </c>
    </row>
    <row r="139" spans="1:8" ht="13.5" customHeight="1">
      <c r="A139" s="197"/>
      <c r="B139" s="262" t="s">
        <v>417</v>
      </c>
      <c r="C139" s="487">
        <v>-5074.25</v>
      </c>
      <c r="D139" s="430"/>
      <c r="E139" s="429"/>
      <c r="F139" s="429"/>
      <c r="G139" s="735">
        <v>-5074.25</v>
      </c>
      <c r="H139" s="475">
        <v>1611.03</v>
      </c>
    </row>
    <row r="140" spans="1:8" ht="13.5" customHeight="1">
      <c r="A140" s="197"/>
      <c r="B140" s="486" t="s">
        <v>509</v>
      </c>
      <c r="C140" s="488">
        <v>-34720</v>
      </c>
      <c r="D140" s="488"/>
      <c r="E140" s="429">
        <v>34720</v>
      </c>
      <c r="F140" s="429"/>
      <c r="G140" s="735">
        <v>0</v>
      </c>
      <c r="H140" s="475">
        <v>1612.01</v>
      </c>
    </row>
    <row r="141" spans="1:8" ht="13.5" customHeight="1">
      <c r="A141" s="197"/>
      <c r="B141" s="486" t="s">
        <v>510</v>
      </c>
      <c r="C141" s="488">
        <v>-40250</v>
      </c>
      <c r="D141" s="488"/>
      <c r="E141" s="429"/>
      <c r="F141" s="429">
        <v>40250</v>
      </c>
      <c r="G141" s="735">
        <v>-40250</v>
      </c>
      <c r="H141" s="475">
        <v>1612.01</v>
      </c>
    </row>
    <row r="142" spans="1:8" ht="13.5" customHeight="1">
      <c r="A142" s="197"/>
      <c r="B142" s="486" t="s">
        <v>511</v>
      </c>
      <c r="C142" s="488">
        <v>-7761</v>
      </c>
      <c r="D142" s="488"/>
      <c r="E142" s="429"/>
      <c r="F142" s="429">
        <v>7761</v>
      </c>
      <c r="G142" s="735">
        <v>-7761</v>
      </c>
      <c r="H142" s="475">
        <v>1612.01</v>
      </c>
    </row>
    <row r="143" spans="1:8" ht="13.5" customHeight="1">
      <c r="A143" s="197"/>
      <c r="B143" s="262" t="s">
        <v>385</v>
      </c>
      <c r="C143" s="429">
        <v>-369048.91</v>
      </c>
      <c r="D143" s="430"/>
      <c r="E143" s="429">
        <v>369048.91</v>
      </c>
      <c r="F143" s="429"/>
      <c r="G143" s="736">
        <v>0</v>
      </c>
      <c r="H143" s="475">
        <v>1280.1199999999999</v>
      </c>
    </row>
    <row r="144" spans="1:8" ht="13.5" customHeight="1">
      <c r="A144" s="197"/>
      <c r="B144" s="486" t="s">
        <v>476</v>
      </c>
      <c r="C144" s="488">
        <v>-63540</v>
      </c>
      <c r="D144" s="488"/>
      <c r="E144" s="429">
        <v>63540</v>
      </c>
      <c r="F144" s="429">
        <v>63540</v>
      </c>
      <c r="G144" s="735">
        <v>0</v>
      </c>
      <c r="H144" s="475">
        <v>1612.01</v>
      </c>
    </row>
    <row r="145" spans="1:8" ht="13.5" customHeight="1">
      <c r="A145" s="197"/>
      <c r="B145" s="262" t="s">
        <v>386</v>
      </c>
      <c r="C145" s="429">
        <v>-9322002.9700000007</v>
      </c>
      <c r="D145" s="430"/>
      <c r="E145" s="429">
        <v>9322002.9700000007</v>
      </c>
      <c r="F145" s="429"/>
      <c r="G145" s="736">
        <v>0</v>
      </c>
      <c r="H145" s="475">
        <v>1210.02</v>
      </c>
    </row>
    <row r="146" spans="1:8" ht="13.5" customHeight="1">
      <c r="A146" s="197"/>
      <c r="B146" s="486" t="s">
        <v>512</v>
      </c>
      <c r="C146" s="488">
        <v>-6282</v>
      </c>
      <c r="D146" s="488"/>
      <c r="E146" s="429"/>
      <c r="F146" s="429">
        <v>6282</v>
      </c>
      <c r="G146" s="735">
        <v>-6282</v>
      </c>
      <c r="H146" s="475">
        <v>1612.01</v>
      </c>
    </row>
    <row r="147" spans="1:8" ht="13.5" customHeight="1">
      <c r="A147" s="197"/>
      <c r="B147" s="262" t="s">
        <v>452</v>
      </c>
      <c r="C147" s="429">
        <v>-259232.46</v>
      </c>
      <c r="D147" s="430"/>
      <c r="E147" s="429"/>
      <c r="F147" s="429"/>
      <c r="G147" s="736">
        <v>-259232.46</v>
      </c>
      <c r="H147" s="475">
        <v>1611.01</v>
      </c>
    </row>
    <row r="148" spans="1:8" ht="13.5" customHeight="1">
      <c r="A148" s="197"/>
      <c r="B148" s="541" t="s">
        <v>528</v>
      </c>
      <c r="C148" s="488"/>
      <c r="D148" s="488"/>
      <c r="E148" s="429"/>
      <c r="F148" s="429"/>
      <c r="G148" s="735"/>
      <c r="H148" s="729"/>
    </row>
    <row r="149" spans="1:8" ht="13.5" customHeight="1" thickBot="1">
      <c r="A149" s="197"/>
      <c r="B149" s="486"/>
      <c r="C149" s="488"/>
      <c r="D149" s="488"/>
      <c r="E149" s="429"/>
      <c r="F149" s="487"/>
      <c r="G149" s="735"/>
      <c r="H149" s="729"/>
    </row>
    <row r="150" spans="1:8" ht="13.5" customHeight="1" thickBot="1">
      <c r="A150" s="197"/>
      <c r="B150" s="489">
        <v>-145084831.93000001</v>
      </c>
      <c r="C150" s="539"/>
      <c r="D150" s="540"/>
      <c r="E150" s="540"/>
      <c r="F150" s="540"/>
      <c r="G150" s="741"/>
      <c r="H150" s="731"/>
    </row>
    <row r="151" spans="1:8" ht="13.5" customHeight="1" thickBot="1">
      <c r="A151" s="197"/>
      <c r="B151" s="893"/>
      <c r="C151" s="489">
        <v>-232934609.71000001</v>
      </c>
      <c r="D151" s="489">
        <f>SUM(D10:D147)</f>
        <v>0</v>
      </c>
      <c r="E151" s="489">
        <f>SUM(E10:E150)</f>
        <v>85625475.349999979</v>
      </c>
      <c r="F151" s="489">
        <f>SUM(F10:F148)</f>
        <v>10245671.74</v>
      </c>
      <c r="G151" s="732">
        <v>-230152282.66999999</v>
      </c>
      <c r="H151" s="732"/>
    </row>
    <row r="152" spans="1:8" ht="12.75" customHeight="1" thickBot="1">
      <c r="A152" s="197"/>
      <c r="B152" s="127"/>
      <c r="C152" s="440"/>
      <c r="D152" s="128"/>
      <c r="E152" s="128"/>
      <c r="F152" s="440"/>
      <c r="G152" s="732">
        <f>SUM(G10:G150)</f>
        <v>-149353388.88</v>
      </c>
      <c r="H152" s="733"/>
    </row>
    <row r="153" spans="1:8" ht="12.75" customHeight="1">
      <c r="A153" s="197"/>
      <c r="B153" s="456"/>
      <c r="C153" s="440"/>
      <c r="D153" s="128"/>
      <c r="E153" s="128"/>
      <c r="F153" s="128"/>
      <c r="G153" s="489">
        <v>-149353388.88</v>
      </c>
      <c r="H153" s="731"/>
    </row>
    <row r="154" spans="1:8" ht="12.75" hidden="1" customHeight="1">
      <c r="A154" s="197"/>
      <c r="B154" s="127"/>
      <c r="C154" s="440"/>
      <c r="D154" s="128"/>
      <c r="E154" s="128"/>
      <c r="F154" s="440"/>
      <c r="G154" s="742"/>
      <c r="H154" s="731"/>
    </row>
    <row r="155" spans="1:8" ht="12.75" hidden="1" customHeight="1">
      <c r="A155" s="197"/>
      <c r="B155" s="408">
        <v>1210.01</v>
      </c>
      <c r="C155" s="419">
        <f t="shared" ref="C155:C164" si="0">SUMIF($H$9:$H$151,B155,$G$9:$G$151)</f>
        <v>-1057395.6499999999</v>
      </c>
      <c r="D155" s="420">
        <f>C155/1000</f>
        <v>-1057.3956499999999</v>
      </c>
      <c r="F155" s="416"/>
    </row>
    <row r="156" spans="1:8" hidden="1">
      <c r="B156" s="408">
        <v>1210.02</v>
      </c>
      <c r="C156" s="419">
        <f t="shared" si="0"/>
        <v>0</v>
      </c>
      <c r="D156" s="420">
        <f>C156/1000</f>
        <v>0</v>
      </c>
      <c r="F156" s="416"/>
    </row>
    <row r="157" spans="1:8" hidden="1">
      <c r="B157" s="408">
        <v>1250.01</v>
      </c>
      <c r="C157" s="419">
        <f t="shared" si="0"/>
        <v>0</v>
      </c>
      <c r="D157" s="420">
        <f>(C157+C158+C159+C160)/1000</f>
        <v>0</v>
      </c>
      <c r="F157" s="416"/>
    </row>
    <row r="158" spans="1:8" hidden="1">
      <c r="B158" s="409">
        <v>1250.03</v>
      </c>
      <c r="C158" s="421">
        <f t="shared" si="0"/>
        <v>0</v>
      </c>
      <c r="D158" s="422"/>
      <c r="F158" s="416"/>
    </row>
    <row r="159" spans="1:8" hidden="1">
      <c r="B159" s="409">
        <v>1250.04</v>
      </c>
      <c r="C159" s="421">
        <f t="shared" si="0"/>
        <v>0</v>
      </c>
      <c r="D159" s="422"/>
      <c r="F159" s="416"/>
    </row>
    <row r="160" spans="1:8" hidden="1">
      <c r="B160" s="409">
        <v>1250.06</v>
      </c>
      <c r="C160" s="421">
        <f t="shared" si="0"/>
        <v>0</v>
      </c>
      <c r="D160" s="422"/>
      <c r="F160" s="416"/>
    </row>
    <row r="161" spans="2:8" hidden="1">
      <c r="B161" s="408">
        <v>1280.0999999999999</v>
      </c>
      <c r="C161" s="419">
        <f t="shared" si="0"/>
        <v>-125591829.17</v>
      </c>
      <c r="D161" s="420">
        <f>(C161+C162)/1000</f>
        <v>-127468.83595000001</v>
      </c>
      <c r="F161" s="416"/>
    </row>
    <row r="162" spans="2:8" hidden="1">
      <c r="B162" s="410">
        <v>1280.1199999999999</v>
      </c>
      <c r="C162" s="421">
        <f t="shared" si="0"/>
        <v>-1877006.78</v>
      </c>
      <c r="D162" s="422"/>
      <c r="F162" s="416"/>
    </row>
    <row r="163" spans="2:8" hidden="1">
      <c r="B163" s="408">
        <v>1610.03</v>
      </c>
      <c r="C163" s="419">
        <f t="shared" si="0"/>
        <v>0</v>
      </c>
      <c r="D163" s="420">
        <f>(C163+C164+C165+C166+C167)/1000</f>
        <v>-19917.6656</v>
      </c>
      <c r="F163" s="416"/>
    </row>
    <row r="164" spans="2:8" hidden="1">
      <c r="B164" s="409">
        <v>1611.01</v>
      </c>
      <c r="C164" s="421">
        <f t="shared" si="0"/>
        <v>-4744223.46</v>
      </c>
      <c r="D164" s="423"/>
      <c r="F164" s="416"/>
      <c r="H164" s="424"/>
    </row>
    <row r="165" spans="2:8" hidden="1">
      <c r="B165" s="410">
        <v>1611.03</v>
      </c>
      <c r="C165" s="421">
        <f>SUMIF($H$9:$H$151,B165,$G$9:$G$151)+93.75</f>
        <v>-4875571.8400000008</v>
      </c>
      <c r="D165" s="422"/>
      <c r="F165" s="416"/>
    </row>
    <row r="166" spans="2:8" hidden="1">
      <c r="B166" s="410">
        <v>1612.01</v>
      </c>
      <c r="C166" s="421">
        <f>SUMIF($H$9:$H$151,B166,$G$9:$G$151)</f>
        <v>-9268397.8000000007</v>
      </c>
      <c r="D166" s="422"/>
      <c r="E166" s="416"/>
      <c r="F166" s="416"/>
    </row>
    <row r="167" spans="2:8" hidden="1">
      <c r="B167" s="409">
        <v>1612.03</v>
      </c>
      <c r="C167" s="421">
        <f>SUMIF($H$9:$H$151,B167,$G$9:$G$151)</f>
        <v>-1029472.5</v>
      </c>
      <c r="D167" s="425"/>
      <c r="F167" s="416"/>
      <c r="G167" s="424"/>
    </row>
    <row r="168" spans="2:8" hidden="1">
      <c r="B168" s="411" t="s">
        <v>406</v>
      </c>
      <c r="C168" s="426">
        <f>SUBTOTAL(9,C155:C167)</f>
        <v>-148443897.20000002</v>
      </c>
      <c r="D168" s="425">
        <f>SUM(D155:D167)</f>
        <v>-148443.89720000001</v>
      </c>
    </row>
    <row r="169" spans="2:8" hidden="1"/>
    <row r="170" spans="2:8" hidden="1">
      <c r="C170" s="417">
        <f>C168-G151</f>
        <v>81708385.469999969</v>
      </c>
    </row>
    <row r="171" spans="2:8" hidden="1"/>
    <row r="172" spans="2:8" hidden="1"/>
    <row r="173" spans="2:8" hidden="1"/>
    <row r="174" spans="2:8" hidden="1"/>
    <row r="175" spans="2:8" hidden="1"/>
    <row r="176" spans="2:8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spans="1:8" hidden="1"/>
    <row r="226" spans="1:8" hidden="1"/>
    <row r="227" spans="1:8" hidden="1"/>
    <row r="228" spans="1:8" hidden="1"/>
    <row r="229" spans="1:8" hidden="1"/>
    <row r="230" spans="1:8" hidden="1"/>
    <row r="231" spans="1:8" hidden="1"/>
    <row r="232" spans="1:8" hidden="1"/>
    <row r="233" spans="1:8" hidden="1"/>
    <row r="234" spans="1:8" hidden="1"/>
    <row r="235" spans="1:8">
      <c r="D235" s="1144"/>
      <c r="G235" s="743">
        <f>G152-G153</f>
        <v>0</v>
      </c>
    </row>
    <row r="236" spans="1:8" s="1141" customFormat="1" ht="13.5" customHeight="1">
      <c r="A236" s="1140"/>
      <c r="B236" s="409">
        <v>1210.01</v>
      </c>
      <c r="C236" s="421">
        <f>G33+G134+G136</f>
        <v>-1057395.6499999999</v>
      </c>
      <c r="D236" s="1145">
        <f>C236/1000</f>
        <v>-1057.3956499999999</v>
      </c>
      <c r="E236" s="1148">
        <f>D236+D237</f>
        <v>-1057.3956499999999</v>
      </c>
      <c r="F236" s="1148" t="s">
        <v>540</v>
      </c>
      <c r="G236" s="416"/>
      <c r="H236" s="416"/>
    </row>
    <row r="237" spans="1:8" s="1141" customFormat="1" ht="13.5" customHeight="1">
      <c r="A237" s="999"/>
      <c r="B237" s="409">
        <v>1210.02</v>
      </c>
      <c r="C237" s="421">
        <f>G145</f>
        <v>0</v>
      </c>
      <c r="D237" s="1145">
        <f>C237/1000</f>
        <v>0</v>
      </c>
      <c r="E237" s="416"/>
      <c r="F237" s="416"/>
      <c r="G237" s="416"/>
      <c r="H237" s="416"/>
    </row>
    <row r="238" spans="1:8" s="1141" customFormat="1" ht="13.5" customHeight="1">
      <c r="A238" s="999"/>
      <c r="B238" s="409">
        <v>1250.01</v>
      </c>
      <c r="C238" s="421">
        <v>0</v>
      </c>
      <c r="D238" s="1145">
        <f>C238/1000</f>
        <v>0</v>
      </c>
      <c r="E238" s="416"/>
      <c r="F238" s="416"/>
      <c r="G238" s="1142"/>
      <c r="H238" s="416"/>
    </row>
    <row r="239" spans="1:8" s="1141" customFormat="1" ht="13.5" customHeight="1">
      <c r="A239" s="999"/>
      <c r="B239" s="409">
        <v>1250.03</v>
      </c>
      <c r="C239" s="421">
        <f>SUMIF($H$9:$H$151,B239,$G$9:$G$151)</f>
        <v>0</v>
      </c>
      <c r="D239" s="1146"/>
      <c r="E239" s="416"/>
      <c r="F239" s="416"/>
      <c r="G239" s="416"/>
      <c r="H239" s="416"/>
    </row>
    <row r="240" spans="1:8" s="1141" customFormat="1" ht="13.5" customHeight="1">
      <c r="A240" s="999"/>
      <c r="B240" s="409">
        <v>1250.04</v>
      </c>
      <c r="C240" s="421">
        <f>SUMIF($H$9:$H$151,B240,$G$9:$G$151)</f>
        <v>0</v>
      </c>
      <c r="D240" s="1146"/>
      <c r="E240" s="416"/>
      <c r="F240" s="416"/>
      <c r="G240" s="416"/>
      <c r="H240" s="416"/>
    </row>
    <row r="241" spans="1:8" s="1141" customFormat="1" ht="13.5" customHeight="1">
      <c r="A241" s="999"/>
      <c r="B241" s="409">
        <v>1250.06</v>
      </c>
      <c r="C241" s="421">
        <f>G149</f>
        <v>0</v>
      </c>
      <c r="D241" s="1146">
        <f>C241/1000</f>
        <v>0</v>
      </c>
      <c r="E241" s="416"/>
      <c r="F241" s="416"/>
      <c r="G241" s="416"/>
      <c r="H241" s="416"/>
    </row>
    <row r="242" spans="1:8" s="1141" customFormat="1" ht="13.5" customHeight="1">
      <c r="A242" s="999"/>
      <c r="B242" s="409">
        <v>1280.0999999999999</v>
      </c>
      <c r="C242" s="421">
        <f>G10+G23+G28+G29+G39+G40+G60+G66+G67+G68+G70+G83+G107+G109+G110+G125+G126+G88</f>
        <v>-125591829.17</v>
      </c>
      <c r="D242" s="1145">
        <f>C242/1000</f>
        <v>-125591.82917</v>
      </c>
      <c r="E242" s="416"/>
      <c r="F242" s="416"/>
      <c r="G242" s="416"/>
      <c r="H242" s="416"/>
    </row>
    <row r="243" spans="1:8" s="1141" customFormat="1" ht="13.5" customHeight="1">
      <c r="A243" s="999"/>
      <c r="B243" s="409">
        <v>1280.1199999999999</v>
      </c>
      <c r="C243" s="421">
        <f>G48+G56+G87+G91+G96+G98+G116+G117+G131+G138+G143+G118+G58+G42+G111+G52+G51+G45</f>
        <v>-2786404.71</v>
      </c>
      <c r="D243" s="1145">
        <f>C243/1000</f>
        <v>-2786.4047099999998</v>
      </c>
      <c r="E243" s="416"/>
      <c r="F243" s="416"/>
      <c r="G243" s="416"/>
      <c r="H243" s="416"/>
    </row>
    <row r="244" spans="1:8" s="1141" customFormat="1" ht="13.5" customHeight="1">
      <c r="A244" s="999"/>
      <c r="B244" s="409">
        <v>1610.03</v>
      </c>
      <c r="C244" s="421">
        <f>SUMIF($H$9:$H$151,B244,$G$9:$G$151)</f>
        <v>0</v>
      </c>
      <c r="D244" s="1145">
        <f>D245+D246+D247+D248</f>
        <v>-19917.759350000004</v>
      </c>
      <c r="E244" s="1148">
        <f>D244</f>
        <v>-19917.759350000004</v>
      </c>
      <c r="F244" s="1148" t="s">
        <v>541</v>
      </c>
      <c r="G244" s="416"/>
      <c r="H244" s="416"/>
    </row>
    <row r="245" spans="1:8">
      <c r="B245" s="409">
        <v>1611.01</v>
      </c>
      <c r="C245" s="421">
        <f>G26+G27+G61+G71+G74+G76+G100+G102+G113+G123+G129+G147+G99</f>
        <v>-4744223.46</v>
      </c>
      <c r="D245" s="1145">
        <f>C245/1000</f>
        <v>-4744.2234600000002</v>
      </c>
      <c r="E245" s="1149">
        <f>D238+D241+D242+D243</f>
        <v>-128378.23388</v>
      </c>
      <c r="F245" s="1148" t="s">
        <v>542</v>
      </c>
      <c r="H245" s="424"/>
    </row>
    <row r="246" spans="1:8">
      <c r="B246" s="410">
        <v>1611.03</v>
      </c>
      <c r="C246" s="421">
        <f>G12+G14+G16+G17+G22+G25+G120+G139</f>
        <v>-4875665.5900000008</v>
      </c>
      <c r="D246" s="1145">
        <f>C246/1000</f>
        <v>-4875.6655900000005</v>
      </c>
      <c r="F246" s="416"/>
    </row>
    <row r="247" spans="1:8">
      <c r="B247" s="410">
        <v>1612.01</v>
      </c>
      <c r="C247" s="421">
        <f>G11+G18+G21+G30+G31+G35+G36+G37+G38+G41+G43+G46+G49+G50+G55+G59+G63+G64+G65+G69+G72+G73+G75+G77+G78+G80+G82+G84+G85+G86+G89+G90+G92+G93+G95+G97+G105+G106+G108+G115+G119+G121+G122+G124+G127+G128+G130+G132+G135+G137+G140+G141+G142+G144+G146+G133+G101+G47+G32+G44</f>
        <v>-9268397.8000000007</v>
      </c>
      <c r="D247" s="1145">
        <f>C247/1000</f>
        <v>-9268.3978000000006</v>
      </c>
      <c r="E247" s="416"/>
      <c r="F247" s="416"/>
    </row>
    <row r="248" spans="1:8">
      <c r="B248" s="409">
        <v>1612.03</v>
      </c>
      <c r="C248" s="421">
        <f>SUMIF($H$9:$H$151,B248,$G$9:$G$151)</f>
        <v>-1029472.5</v>
      </c>
      <c r="D248" s="1147">
        <f>C248/1000</f>
        <v>-1029.4725000000001</v>
      </c>
      <c r="F248" s="416"/>
      <c r="G248" s="424"/>
    </row>
    <row r="249" spans="1:8">
      <c r="B249" s="411" t="s">
        <v>406</v>
      </c>
      <c r="C249" s="426">
        <f>SUBTOTAL(9,C236:C248)</f>
        <v>-149353388.88</v>
      </c>
      <c r="D249" s="425">
        <f>C249/1000</f>
        <v>-149353.38887999998</v>
      </c>
      <c r="E249" s="1149">
        <f>D249</f>
        <v>-149353.38887999998</v>
      </c>
    </row>
    <row r="250" spans="1:8">
      <c r="B250" s="895"/>
      <c r="C250" s="1143"/>
    </row>
    <row r="251" spans="1:8">
      <c r="D251" s="550"/>
    </row>
  </sheetData>
  <autoFilter ref="B8:H232"/>
  <mergeCells count="8">
    <mergeCell ref="C7:D7"/>
    <mergeCell ref="E7:F7"/>
    <mergeCell ref="G7:H7"/>
    <mergeCell ref="B1:G1"/>
    <mergeCell ref="B2:H2"/>
    <mergeCell ref="B3:H3"/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G28"/>
  <sheetViews>
    <sheetView workbookViewId="0">
      <selection activeCell="F26" sqref="F26"/>
    </sheetView>
  </sheetViews>
  <sheetFormatPr defaultRowHeight="12.75"/>
  <cols>
    <col min="2" max="2" width="12.7109375" customWidth="1"/>
    <col min="4" max="4" width="15.140625" customWidth="1"/>
    <col min="6" max="6" width="13.140625" customWidth="1"/>
    <col min="7" max="7" width="14" customWidth="1"/>
  </cols>
  <sheetData>
    <row r="2" spans="1:7" ht="15">
      <c r="A2" s="744" t="s">
        <v>92</v>
      </c>
      <c r="B2" s="745"/>
      <c r="C2" s="745"/>
      <c r="D2" s="745"/>
      <c r="E2" s="745"/>
      <c r="F2" s="745"/>
      <c r="G2" s="745"/>
    </row>
    <row r="3" spans="1:7">
      <c r="A3" s="746" t="s">
        <v>701</v>
      </c>
      <c r="B3" s="745"/>
      <c r="C3" s="745"/>
      <c r="D3" s="745"/>
      <c r="E3" s="745"/>
      <c r="F3" s="745"/>
      <c r="G3" s="745"/>
    </row>
    <row r="4" spans="1:7">
      <c r="A4" s="1576" t="s">
        <v>25</v>
      </c>
      <c r="B4" s="1576"/>
      <c r="C4" s="1576"/>
      <c r="D4" s="1576"/>
      <c r="E4" s="1576"/>
      <c r="F4" s="1576"/>
      <c r="G4" s="1576"/>
    </row>
    <row r="5" spans="1:7">
      <c r="A5" s="1576" t="s">
        <v>193</v>
      </c>
      <c r="B5" s="1576"/>
      <c r="C5" s="1576"/>
      <c r="D5" s="1576"/>
      <c r="E5" s="1576"/>
      <c r="F5" s="1576"/>
      <c r="G5" s="1576"/>
    </row>
    <row r="6" spans="1:7">
      <c r="A6" s="1576" t="s">
        <v>712</v>
      </c>
      <c r="B6" s="1576"/>
      <c r="C6" s="1576"/>
      <c r="D6" s="1576"/>
      <c r="E6" s="1576"/>
      <c r="F6" s="1576"/>
      <c r="G6" s="1576"/>
    </row>
    <row r="7" spans="1:7" ht="13.5" thickBot="1">
      <c r="A7" s="745"/>
      <c r="B7" s="745"/>
      <c r="C7" s="745"/>
      <c r="D7" s="745"/>
      <c r="E7" s="745"/>
      <c r="F7" s="745"/>
      <c r="G7" s="745"/>
    </row>
    <row r="8" spans="1:7">
      <c r="A8" s="747" t="s">
        <v>188</v>
      </c>
      <c r="B8" s="1577" t="s">
        <v>154</v>
      </c>
      <c r="C8" s="1577"/>
      <c r="D8" s="1577" t="s">
        <v>155</v>
      </c>
      <c r="E8" s="1577"/>
      <c r="F8" s="1578" t="s">
        <v>156</v>
      </c>
      <c r="G8" s="1578"/>
    </row>
    <row r="9" spans="1:7" ht="13.5" thickBot="1">
      <c r="A9" s="748"/>
      <c r="B9" s="749" t="s">
        <v>189</v>
      </c>
      <c r="C9" s="749" t="s">
        <v>190</v>
      </c>
      <c r="D9" s="749" t="s">
        <v>189</v>
      </c>
      <c r="E9" s="750" t="s">
        <v>190</v>
      </c>
      <c r="F9" s="749" t="s">
        <v>189</v>
      </c>
      <c r="G9" s="751" t="s">
        <v>190</v>
      </c>
    </row>
    <row r="10" spans="1:7" ht="48">
      <c r="A10" s="752" t="s">
        <v>300</v>
      </c>
      <c r="B10" s="753"/>
      <c r="C10" s="753"/>
      <c r="D10" s="753"/>
      <c r="E10" s="753"/>
      <c r="F10" s="753"/>
      <c r="G10" s="754"/>
    </row>
    <row r="11" spans="1:7">
      <c r="A11" s="755">
        <v>1200</v>
      </c>
      <c r="B11" s="756">
        <v>20499385.829999998</v>
      </c>
      <c r="C11" s="757"/>
      <c r="D11" s="756">
        <v>9953472.0099999998</v>
      </c>
      <c r="E11" s="757"/>
      <c r="F11" s="756">
        <v>30452857.84</v>
      </c>
      <c r="G11" s="758"/>
    </row>
    <row r="12" spans="1:7">
      <c r="A12" s="755">
        <v>1210</v>
      </c>
      <c r="B12" s="756">
        <v>20499385.829999998</v>
      </c>
      <c r="C12" s="757"/>
      <c r="D12" s="756">
        <v>9953472.0099999998</v>
      </c>
      <c r="E12" s="757"/>
      <c r="F12" s="756">
        <v>30452857.84</v>
      </c>
      <c r="G12" s="758"/>
    </row>
    <row r="13" spans="1:7">
      <c r="A13" s="759" t="s">
        <v>10</v>
      </c>
      <c r="B13" s="756">
        <v>20499385.829999998</v>
      </c>
      <c r="C13" s="757"/>
      <c r="D13" s="756">
        <v>9953472.0099999998</v>
      </c>
      <c r="E13" s="757"/>
      <c r="F13" s="756">
        <v>30452857.84</v>
      </c>
      <c r="G13" s="758"/>
    </row>
    <row r="14" spans="1:7">
      <c r="A14" s="760" t="s">
        <v>713</v>
      </c>
      <c r="B14" s="761">
        <v>20499385.829999998</v>
      </c>
      <c r="C14" s="762"/>
      <c r="D14" s="761">
        <v>9953472.0099999998</v>
      </c>
      <c r="E14" s="762"/>
      <c r="F14" s="761">
        <v>30452857.84</v>
      </c>
      <c r="G14" s="763"/>
    </row>
    <row r="15" spans="1:7">
      <c r="A15" s="764" t="s">
        <v>714</v>
      </c>
      <c r="B15" s="765">
        <v>112417.8</v>
      </c>
      <c r="C15" s="766"/>
      <c r="D15" s="766"/>
      <c r="E15" s="766"/>
      <c r="F15" s="765">
        <v>112417.8</v>
      </c>
      <c r="G15" s="767"/>
    </row>
    <row r="16" spans="1:7">
      <c r="A16" s="755">
        <v>2200</v>
      </c>
      <c r="B16" s="756">
        <v>11811261.699999999</v>
      </c>
      <c r="C16" s="757"/>
      <c r="D16" s="757"/>
      <c r="E16" s="757"/>
      <c r="F16" s="756">
        <v>11811261.699999999</v>
      </c>
      <c r="G16" s="758"/>
    </row>
    <row r="17" spans="1:7">
      <c r="A17" s="755">
        <v>2210</v>
      </c>
      <c r="B17" s="756">
        <v>11811261.699999999</v>
      </c>
      <c r="C17" s="757"/>
      <c r="D17" s="757"/>
      <c r="E17" s="757"/>
      <c r="F17" s="756">
        <v>11811261.699999999</v>
      </c>
      <c r="G17" s="758"/>
    </row>
    <row r="18" spans="1:7">
      <c r="A18" s="759" t="s">
        <v>11</v>
      </c>
      <c r="B18" s="756">
        <v>11811261.699999999</v>
      </c>
      <c r="C18" s="757"/>
      <c r="D18" s="757"/>
      <c r="E18" s="757"/>
      <c r="F18" s="756">
        <v>11811261.699999999</v>
      </c>
      <c r="G18" s="758"/>
    </row>
    <row r="19" spans="1:7">
      <c r="A19" s="760" t="s">
        <v>713</v>
      </c>
      <c r="B19" s="761">
        <v>11811261.699999999</v>
      </c>
      <c r="C19" s="762"/>
      <c r="D19" s="762"/>
      <c r="E19" s="762"/>
      <c r="F19" s="761">
        <v>11811261.699999999</v>
      </c>
      <c r="G19" s="763"/>
    </row>
    <row r="20" spans="1:7">
      <c r="A20" s="764" t="s">
        <v>714</v>
      </c>
      <c r="B20" s="768">
        <v>78355</v>
      </c>
      <c r="C20" s="766"/>
      <c r="D20" s="766"/>
      <c r="E20" s="766"/>
      <c r="F20" s="768">
        <v>78355</v>
      </c>
      <c r="G20" s="767"/>
    </row>
    <row r="21" spans="1:7" ht="13.5" thickBot="1">
      <c r="A21" s="769" t="s">
        <v>171</v>
      </c>
      <c r="B21" s="770">
        <v>32310647.530000001</v>
      </c>
      <c r="C21" s="771"/>
      <c r="D21" s="770">
        <v>9953472.0099999998</v>
      </c>
      <c r="E21" s="771"/>
      <c r="F21" s="770">
        <v>42264119.539999999</v>
      </c>
      <c r="G21" s="772"/>
    </row>
    <row r="22" spans="1:7" ht="13.5" thickBot="1">
      <c r="A22" s="773" t="s">
        <v>171</v>
      </c>
      <c r="B22" s="774">
        <v>32310647.530000001</v>
      </c>
      <c r="C22" s="775"/>
      <c r="D22" s="776">
        <v>9953472.0099999998</v>
      </c>
      <c r="E22" s="775"/>
      <c r="F22" s="776">
        <v>42264119.539999999</v>
      </c>
      <c r="G22" s="777"/>
    </row>
    <row r="23" spans="1:7">
      <c r="A23" s="745"/>
      <c r="B23" s="745"/>
      <c r="C23" s="745"/>
      <c r="D23" s="745"/>
      <c r="E23" s="745"/>
      <c r="F23" s="745"/>
      <c r="G23" s="745"/>
    </row>
    <row r="24" spans="1:7">
      <c r="A24" s="745"/>
      <c r="B24" s="745"/>
      <c r="C24" s="745"/>
      <c r="D24" s="745"/>
      <c r="E24" s="745"/>
      <c r="F24" s="745"/>
      <c r="G24" s="745"/>
    </row>
    <row r="25" spans="1:7">
      <c r="A25" s="745"/>
      <c r="B25" s="745"/>
      <c r="C25" s="745"/>
      <c r="D25" s="745"/>
      <c r="E25" s="745"/>
      <c r="F25" s="745"/>
      <c r="G25" s="745"/>
    </row>
    <row r="26" spans="1:7">
      <c r="A26" s="745"/>
      <c r="B26" s="778">
        <v>19461769.539999999</v>
      </c>
      <c r="C26" s="745" t="s">
        <v>715</v>
      </c>
      <c r="D26" s="745"/>
      <c r="E26" s="745"/>
      <c r="F26" s="745"/>
      <c r="G26" s="745"/>
    </row>
    <row r="28" spans="1:7">
      <c r="B28" s="779">
        <f>B26*0.1036</f>
        <v>2016239.3243439998</v>
      </c>
    </row>
  </sheetData>
  <mergeCells count="6">
    <mergeCell ref="A4:G4"/>
    <mergeCell ref="A5:G5"/>
    <mergeCell ref="A6:G6"/>
    <mergeCell ref="B8:C8"/>
    <mergeCell ref="D8:E8"/>
    <mergeCell ref="F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K78"/>
  <sheetViews>
    <sheetView tabSelected="1" zoomScaleSheetLayoutView="70" workbookViewId="0">
      <selection activeCell="D92" sqref="D92"/>
    </sheetView>
  </sheetViews>
  <sheetFormatPr defaultRowHeight="12.75"/>
  <cols>
    <col min="1" max="1" width="1.5703125" style="73" customWidth="1"/>
    <col min="2" max="2" width="27" style="85" customWidth="1"/>
    <col min="3" max="3" width="9.7109375" style="85" customWidth="1"/>
    <col min="4" max="4" width="18.85546875" style="85" customWidth="1"/>
    <col min="5" max="5" width="7.42578125" style="395" customWidth="1"/>
    <col min="6" max="6" width="16.5703125" style="73" customWidth="1"/>
    <col min="7" max="7" width="2.7109375" style="79" customWidth="1"/>
    <col min="8" max="8" width="17.28515625" style="73" customWidth="1"/>
    <col min="9" max="9" width="13" style="73" customWidth="1"/>
    <col min="10" max="10" width="9.7109375" style="73" customWidth="1"/>
    <col min="11" max="16384" width="9.140625" style="73"/>
  </cols>
  <sheetData>
    <row r="1" spans="1:9" ht="45.75" customHeight="1">
      <c r="A1" s="1528" t="s">
        <v>1228</v>
      </c>
      <c r="B1" s="1528"/>
      <c r="C1" s="1528"/>
      <c r="D1" s="1528"/>
      <c r="E1" s="1528"/>
      <c r="F1" s="1527"/>
      <c r="G1" s="1527"/>
      <c r="H1" s="1527"/>
    </row>
    <row r="2" spans="1:9" ht="27.75" customHeight="1">
      <c r="A2" s="1529" t="s">
        <v>1153</v>
      </c>
      <c r="B2" s="1529"/>
      <c r="C2" s="1529"/>
      <c r="D2" s="1529"/>
      <c r="E2" s="1529"/>
      <c r="F2" s="1533" t="s">
        <v>1177</v>
      </c>
      <c r="G2" s="1533"/>
      <c r="H2" s="1533"/>
    </row>
    <row r="3" spans="1:9">
      <c r="B3" s="78"/>
      <c r="C3" s="78"/>
      <c r="D3" s="78"/>
    </row>
    <row r="4" spans="1:9" s="81" customFormat="1" ht="24" customHeight="1">
      <c r="B4" s="1524"/>
      <c r="C4" s="1524"/>
      <c r="D4" s="1524"/>
      <c r="E4" s="396" t="s">
        <v>312</v>
      </c>
      <c r="F4" s="1651" t="s">
        <v>1154</v>
      </c>
      <c r="G4" s="353"/>
      <c r="H4" s="1650" t="s">
        <v>1111</v>
      </c>
    </row>
    <row r="5" spans="1:9" s="80" customFormat="1">
      <c r="B5" s="1652" t="s">
        <v>1112</v>
      </c>
      <c r="C5" s="1652"/>
      <c r="D5" s="1652"/>
      <c r="E5" s="381"/>
      <c r="G5" s="82"/>
    </row>
    <row r="6" spans="1:9" s="80" customFormat="1">
      <c r="B6" s="1653" t="s">
        <v>1113</v>
      </c>
      <c r="C6" s="1653"/>
      <c r="D6" s="1653"/>
      <c r="E6" s="381"/>
      <c r="F6" s="83"/>
      <c r="G6" s="84"/>
      <c r="H6" s="83"/>
    </row>
    <row r="7" spans="1:9" s="80" customFormat="1" ht="14.25" customHeight="1">
      <c r="B7" s="1653" t="s">
        <v>1114</v>
      </c>
      <c r="C7" s="1653"/>
      <c r="D7" s="1653"/>
      <c r="E7" s="381">
        <v>11</v>
      </c>
      <c r="F7" s="123">
        <v>22053336.000399999</v>
      </c>
      <c r="G7" s="84"/>
      <c r="H7" s="123">
        <v>17504469</v>
      </c>
      <c r="I7" s="83"/>
    </row>
    <row r="8" spans="1:9" s="80" customFormat="1" ht="14.25" hidden="1" customHeight="1">
      <c r="B8" s="1522" t="s">
        <v>759</v>
      </c>
      <c r="C8" s="1522"/>
      <c r="D8" s="1522"/>
      <c r="E8" s="381"/>
      <c r="F8" s="123"/>
      <c r="G8" s="84"/>
      <c r="H8" s="123"/>
      <c r="I8" s="83"/>
    </row>
    <row r="9" spans="1:9" s="80" customFormat="1" ht="14.25" customHeight="1">
      <c r="B9" s="1653" t="s">
        <v>1115</v>
      </c>
      <c r="C9" s="1653"/>
      <c r="D9" s="1653"/>
      <c r="E9" s="381">
        <v>12</v>
      </c>
      <c r="F9" s="131">
        <v>50030.762029999998</v>
      </c>
      <c r="G9" s="84"/>
      <c r="H9" s="131">
        <v>53307</v>
      </c>
      <c r="I9" s="83"/>
    </row>
    <row r="10" spans="1:9" s="80" customFormat="1" ht="14.25" hidden="1" customHeight="1">
      <c r="B10" s="1522" t="s">
        <v>223</v>
      </c>
      <c r="C10" s="1522"/>
      <c r="D10" s="1522"/>
      <c r="E10" s="381">
        <v>11</v>
      </c>
      <c r="F10" s="131">
        <v>-0.44399999999995998</v>
      </c>
      <c r="G10" s="84"/>
      <c r="H10" s="131">
        <v>-0.44399999999995998</v>
      </c>
      <c r="I10" s="83"/>
    </row>
    <row r="11" spans="1:9" s="80" customFormat="1" ht="14.25" customHeight="1">
      <c r="B11" s="1653" t="s">
        <v>1116</v>
      </c>
      <c r="C11" s="1653"/>
      <c r="D11" s="1653"/>
      <c r="E11" s="381"/>
      <c r="F11" s="123">
        <v>47137.973180000001</v>
      </c>
      <c r="G11" s="84"/>
      <c r="H11" s="123">
        <v>50955</v>
      </c>
      <c r="I11" s="83"/>
    </row>
    <row r="12" spans="1:9" s="80" customFormat="1" ht="14.25" customHeight="1">
      <c r="B12" s="1653" t="s">
        <v>1117</v>
      </c>
      <c r="C12" s="1653"/>
      <c r="D12" s="1653"/>
      <c r="E12" s="381"/>
      <c r="F12" s="131">
        <v>68025.86</v>
      </c>
      <c r="G12" s="84"/>
      <c r="H12" s="131">
        <v>68025.86</v>
      </c>
    </row>
    <row r="13" spans="1:9" s="80" customFormat="1" ht="14.25" hidden="1" customHeight="1">
      <c r="B13" s="1522" t="s">
        <v>388</v>
      </c>
      <c r="C13" s="1522"/>
      <c r="D13" s="1522"/>
      <c r="E13" s="381"/>
      <c r="F13" s="131">
        <v>0</v>
      </c>
      <c r="G13" s="84"/>
      <c r="H13" s="131">
        <v>0</v>
      </c>
    </row>
    <row r="14" spans="1:9" s="80" customFormat="1" ht="14.25" customHeight="1">
      <c r="B14" s="1522"/>
      <c r="C14" s="1522"/>
      <c r="D14" s="1522"/>
      <c r="E14" s="381"/>
      <c r="F14" s="131"/>
      <c r="G14" s="84"/>
      <c r="H14" s="131"/>
    </row>
    <row r="15" spans="1:9" s="80" customFormat="1" ht="12.75" customHeight="1">
      <c r="B15" s="1653" t="s">
        <v>1118</v>
      </c>
      <c r="C15" s="1653"/>
      <c r="D15" s="1653"/>
      <c r="E15" s="381"/>
      <c r="F15" s="173">
        <f>SUM(F7:F14)</f>
        <v>22218530.151610002</v>
      </c>
      <c r="G15" s="173"/>
      <c r="H15" s="173">
        <f>SUM(H7:H14)</f>
        <v>17676756.416000001</v>
      </c>
      <c r="I15" s="113"/>
    </row>
    <row r="16" spans="1:9" s="80" customFormat="1">
      <c r="B16" s="1523"/>
      <c r="C16" s="1523"/>
      <c r="D16" s="1523"/>
      <c r="E16" s="381"/>
      <c r="F16" s="123"/>
      <c r="G16" s="82"/>
      <c r="H16" s="123"/>
      <c r="I16" s="394"/>
    </row>
    <row r="17" spans="2:11" s="80" customFormat="1" ht="12.75" customHeight="1">
      <c r="B17" s="1653" t="s">
        <v>1119</v>
      </c>
      <c r="C17" s="1653"/>
      <c r="D17" s="1653"/>
      <c r="E17" s="381"/>
      <c r="F17" s="123"/>
      <c r="G17" s="84"/>
      <c r="H17" s="123"/>
      <c r="I17" s="113"/>
    </row>
    <row r="18" spans="2:11" s="80" customFormat="1" ht="24" customHeight="1">
      <c r="B18" s="1653" t="s">
        <v>1120</v>
      </c>
      <c r="C18" s="1653"/>
      <c r="D18" s="1653"/>
      <c r="E18" s="381">
        <v>13</v>
      </c>
      <c r="F18" s="123">
        <v>6241328.0371198617</v>
      </c>
      <c r="G18" s="131"/>
      <c r="H18" s="123">
        <v>4731612</v>
      </c>
      <c r="I18" s="479"/>
    </row>
    <row r="19" spans="2:11" s="80" customFormat="1" ht="12.75" customHeight="1">
      <c r="B19" s="1653" t="s">
        <v>1121</v>
      </c>
      <c r="C19" s="1653"/>
      <c r="D19" s="1653"/>
      <c r="E19" s="381">
        <v>12</v>
      </c>
      <c r="F19" s="123">
        <v>1341676.2241599998</v>
      </c>
      <c r="G19" s="84"/>
      <c r="H19" s="123">
        <v>1453046</v>
      </c>
      <c r="I19" s="479"/>
      <c r="J19" s="392"/>
    </row>
    <row r="20" spans="2:11" s="80" customFormat="1">
      <c r="B20" s="1653" t="s">
        <v>1115</v>
      </c>
      <c r="C20" s="1653"/>
      <c r="D20" s="1653"/>
      <c r="E20" s="381">
        <v>12</v>
      </c>
      <c r="F20" s="123">
        <v>680145.88071000006</v>
      </c>
      <c r="G20" s="84"/>
      <c r="H20" s="123">
        <v>316802</v>
      </c>
      <c r="I20" s="479"/>
      <c r="J20" s="392"/>
    </row>
    <row r="21" spans="2:11" s="80" customFormat="1">
      <c r="B21" s="1653" t="s">
        <v>1122</v>
      </c>
      <c r="C21" s="1653"/>
      <c r="D21" s="1653"/>
      <c r="E21" s="381">
        <v>14</v>
      </c>
      <c r="F21" s="123">
        <v>2428929.1009599995</v>
      </c>
      <c r="G21" s="84"/>
      <c r="H21" s="123">
        <v>2683160</v>
      </c>
      <c r="I21" s="479"/>
      <c r="J21" s="393"/>
    </row>
    <row r="22" spans="2:11" s="80" customFormat="1">
      <c r="B22" s="1653" t="s">
        <v>1123</v>
      </c>
      <c r="C22" s="1653"/>
      <c r="D22" s="1653"/>
      <c r="E22" s="381">
        <v>15</v>
      </c>
      <c r="F22" s="123">
        <v>986139.88259999896</v>
      </c>
      <c r="G22" s="84"/>
      <c r="H22" s="123">
        <v>492979</v>
      </c>
      <c r="I22" s="479"/>
      <c r="J22" s="392"/>
    </row>
    <row r="23" spans="2:11" s="80" customFormat="1">
      <c r="B23" s="1653" t="s">
        <v>1124</v>
      </c>
      <c r="C23" s="1653"/>
      <c r="D23" s="1653"/>
      <c r="E23" s="398"/>
      <c r="F23" s="123">
        <v>859</v>
      </c>
      <c r="G23" s="84"/>
      <c r="H23" s="123">
        <v>804</v>
      </c>
      <c r="I23" s="479"/>
      <c r="J23" s="393"/>
    </row>
    <row r="24" spans="2:11" s="80" customFormat="1" ht="12.75" customHeight="1">
      <c r="B24" s="1653" t="s">
        <v>1125</v>
      </c>
      <c r="C24" s="1653"/>
      <c r="D24" s="1653"/>
      <c r="E24" s="381"/>
      <c r="F24" s="131">
        <v>8536393.5292580444</v>
      </c>
      <c r="G24" s="84"/>
      <c r="H24" s="131">
        <v>10541082</v>
      </c>
      <c r="I24" s="479"/>
      <c r="J24" s="345"/>
    </row>
    <row r="25" spans="2:11" s="80" customFormat="1" ht="15" customHeight="1">
      <c r="B25" s="1653" t="s">
        <v>1126</v>
      </c>
      <c r="C25" s="1653"/>
      <c r="D25" s="1653"/>
      <c r="E25" s="381"/>
      <c r="F25" s="131">
        <v>1585284.3885299999</v>
      </c>
      <c r="G25" s="84"/>
      <c r="H25" s="131">
        <v>1585284</v>
      </c>
      <c r="I25" s="479"/>
      <c r="K25" s="113"/>
    </row>
    <row r="26" spans="2:11" s="80" customFormat="1">
      <c r="B26" s="1653" t="s">
        <v>1127</v>
      </c>
      <c r="C26" s="1653"/>
      <c r="D26" s="1653"/>
      <c r="E26" s="381"/>
      <c r="F26" s="173">
        <f>SUM(F18:F25)</f>
        <v>21800756.043337904</v>
      </c>
      <c r="G26" s="173"/>
      <c r="H26" s="173">
        <f>SUM(H18:H25)</f>
        <v>21804769</v>
      </c>
      <c r="I26" s="123"/>
    </row>
    <row r="27" spans="2:11" s="80" customFormat="1">
      <c r="B27" s="1524"/>
      <c r="C27" s="1524"/>
      <c r="D27" s="1524"/>
      <c r="E27" s="381"/>
      <c r="F27" s="123"/>
      <c r="G27" s="84"/>
      <c r="H27" s="123"/>
      <c r="I27" s="123"/>
      <c r="K27" s="406"/>
    </row>
    <row r="28" spans="2:11" s="80" customFormat="1" ht="13.5" thickBot="1">
      <c r="B28" s="1653" t="s">
        <v>1128</v>
      </c>
      <c r="C28" s="1653"/>
      <c r="D28" s="1653"/>
      <c r="E28" s="381"/>
      <c r="F28" s="174">
        <f>F15+F26</f>
        <v>44019286.194947906</v>
      </c>
      <c r="G28" s="174"/>
      <c r="H28" s="174">
        <f>H15+H26</f>
        <v>39481525.416000001</v>
      </c>
      <c r="I28" s="123"/>
    </row>
    <row r="29" spans="2:11" s="80" customFormat="1" ht="13.5" thickTop="1">
      <c r="B29" s="1524"/>
      <c r="C29" s="1524"/>
      <c r="D29" s="1524"/>
      <c r="E29" s="381"/>
      <c r="F29" s="123"/>
      <c r="G29" s="84"/>
      <c r="H29" s="123"/>
      <c r="I29" s="394"/>
    </row>
    <row r="30" spans="2:11" s="80" customFormat="1" ht="12.75" customHeight="1">
      <c r="B30" s="1652" t="s">
        <v>1129</v>
      </c>
      <c r="C30" s="1652"/>
      <c r="D30" s="1652"/>
      <c r="E30" s="381"/>
      <c r="F30" s="123"/>
      <c r="G30" s="84"/>
      <c r="H30" s="123"/>
      <c r="I30" s="123"/>
    </row>
    <row r="31" spans="2:11" s="80" customFormat="1">
      <c r="B31" s="1653" t="s">
        <v>1130</v>
      </c>
      <c r="C31" s="1653"/>
      <c r="D31" s="1653"/>
      <c r="E31" s="381"/>
      <c r="F31" s="123"/>
      <c r="G31" s="84"/>
      <c r="H31" s="123"/>
      <c r="I31" s="123"/>
      <c r="K31" s="83"/>
    </row>
    <row r="32" spans="2:11" s="80" customFormat="1">
      <c r="B32" s="1653" t="s">
        <v>1131</v>
      </c>
      <c r="C32" s="1653"/>
      <c r="D32" s="1653"/>
      <c r="E32" s="381"/>
      <c r="F32" s="123">
        <v>2787695.5893921</v>
      </c>
      <c r="G32" s="84"/>
      <c r="H32" s="123">
        <v>2787695.5893921</v>
      </c>
      <c r="I32" s="123"/>
      <c r="K32" s="83"/>
    </row>
    <row r="33" spans="2:11" s="80" customFormat="1" ht="12.75" customHeight="1">
      <c r="B33" s="1653" t="s">
        <v>1132</v>
      </c>
      <c r="C33" s="1653"/>
      <c r="D33" s="1653"/>
      <c r="E33" s="381"/>
      <c r="F33" s="1512">
        <v>-947400</v>
      </c>
      <c r="G33" s="84"/>
      <c r="H33" s="1512">
        <v>-947400</v>
      </c>
      <c r="I33" s="123"/>
      <c r="K33" s="83"/>
    </row>
    <row r="34" spans="2:11" s="80" customFormat="1">
      <c r="B34" s="1653" t="s">
        <v>1133</v>
      </c>
      <c r="C34" s="1653"/>
      <c r="D34" s="1653"/>
      <c r="E34" s="381"/>
      <c r="F34" s="1512">
        <v>-153411.44034</v>
      </c>
      <c r="G34" s="84"/>
      <c r="H34" s="1512">
        <v>-152436.38634</v>
      </c>
      <c r="I34" s="123"/>
    </row>
    <row r="35" spans="2:11" s="80" customFormat="1" hidden="1">
      <c r="B35" s="1522" t="s">
        <v>429</v>
      </c>
      <c r="C35" s="1522"/>
      <c r="D35" s="1522"/>
      <c r="E35" s="381"/>
      <c r="F35" s="123">
        <v>0</v>
      </c>
      <c r="G35" s="84"/>
      <c r="H35" s="123">
        <v>0</v>
      </c>
      <c r="I35" s="123"/>
    </row>
    <row r="36" spans="2:11" s="80" customFormat="1" ht="15" hidden="1" customHeight="1">
      <c r="B36" s="1522" t="s">
        <v>1</v>
      </c>
      <c r="C36" s="1522"/>
      <c r="D36" s="1522"/>
      <c r="E36" s="381"/>
      <c r="F36" s="123">
        <v>0</v>
      </c>
      <c r="G36" s="84"/>
      <c r="H36" s="123">
        <v>0</v>
      </c>
      <c r="I36" s="123"/>
    </row>
    <row r="37" spans="2:11" s="80" customFormat="1">
      <c r="B37" s="1653" t="s">
        <v>1134</v>
      </c>
      <c r="C37" s="1653"/>
      <c r="D37" s="1653"/>
      <c r="E37" s="381"/>
      <c r="F37" s="123">
        <v>5576044.2059000004</v>
      </c>
      <c r="G37" s="84"/>
      <c r="H37" s="123">
        <v>910632</v>
      </c>
      <c r="I37" s="479"/>
    </row>
    <row r="38" spans="2:11" s="80" customFormat="1">
      <c r="B38" s="1653" t="s">
        <v>1135</v>
      </c>
      <c r="C38" s="1653"/>
      <c r="D38" s="1653"/>
      <c r="E38" s="381"/>
      <c r="F38" s="175">
        <v>6188829.8152350495</v>
      </c>
      <c r="G38" s="131"/>
      <c r="H38" s="175">
        <v>5979437</v>
      </c>
      <c r="I38" s="436"/>
    </row>
    <row r="39" spans="2:11" s="80" customFormat="1">
      <c r="B39" s="1524"/>
      <c r="C39" s="1524"/>
      <c r="D39" s="1524"/>
      <c r="E39" s="381"/>
      <c r="F39" s="123"/>
      <c r="G39" s="84"/>
      <c r="H39" s="123"/>
      <c r="I39" s="436"/>
    </row>
    <row r="40" spans="2:11" s="80" customFormat="1" ht="18" customHeight="1">
      <c r="B40" s="1653" t="s">
        <v>1136</v>
      </c>
      <c r="C40" s="1653"/>
      <c r="D40" s="1653"/>
      <c r="E40" s="381"/>
      <c r="F40" s="123">
        <f>SUM(F32:F38)</f>
        <v>13451758.170187149</v>
      </c>
      <c r="G40" s="123"/>
      <c r="H40" s="123">
        <f>SUM(H32:H38)+1</f>
        <v>8577929.2030520998</v>
      </c>
      <c r="I40" s="123"/>
    </row>
    <row r="41" spans="2:11" s="80" customFormat="1">
      <c r="B41" s="1653" t="s">
        <v>1137</v>
      </c>
      <c r="C41" s="1653"/>
      <c r="D41" s="1653"/>
      <c r="E41" s="381"/>
      <c r="F41" s="175"/>
      <c r="G41" s="84"/>
      <c r="H41" s="175"/>
      <c r="I41" s="123"/>
    </row>
    <row r="42" spans="2:11" s="80" customFormat="1" ht="12.75" customHeight="1">
      <c r="B42" s="1653" t="s">
        <v>1138</v>
      </c>
      <c r="C42" s="1653"/>
      <c r="D42" s="1653"/>
      <c r="E42" s="381"/>
      <c r="F42" s="173">
        <f>SUM(F40:F41)</f>
        <v>13451758.170187149</v>
      </c>
      <c r="G42" s="173"/>
      <c r="H42" s="173">
        <f>SUM(H40:H41)</f>
        <v>8577929.2030520998</v>
      </c>
      <c r="I42" s="479"/>
    </row>
    <row r="43" spans="2:11" s="80" customFormat="1">
      <c r="B43" s="1523"/>
      <c r="C43" s="1523"/>
      <c r="D43" s="1523"/>
      <c r="E43" s="381"/>
      <c r="F43" s="123"/>
      <c r="G43" s="84"/>
      <c r="H43" s="123"/>
      <c r="I43" s="123"/>
    </row>
    <row r="44" spans="2:11" s="80" customFormat="1" ht="12.75" customHeight="1">
      <c r="B44" s="1653" t="s">
        <v>1139</v>
      </c>
      <c r="C44" s="1653"/>
      <c r="D44" s="1653"/>
      <c r="E44" s="381"/>
      <c r="F44" s="123"/>
      <c r="G44" s="84"/>
      <c r="H44" s="123"/>
      <c r="I44" s="123"/>
    </row>
    <row r="45" spans="2:11" s="80" customFormat="1">
      <c r="B45" s="1653" t="s">
        <v>1140</v>
      </c>
      <c r="C45" s="1653"/>
      <c r="D45" s="1653"/>
      <c r="E45" s="381">
        <v>16</v>
      </c>
      <c r="F45" s="131">
        <v>11334467.798930002</v>
      </c>
      <c r="G45" s="84"/>
      <c r="H45" s="131">
        <v>13620697.569020001</v>
      </c>
      <c r="I45" s="123"/>
    </row>
    <row r="46" spans="2:11" s="80" customFormat="1" hidden="1">
      <c r="B46" s="1522" t="s">
        <v>224</v>
      </c>
      <c r="C46" s="1522"/>
      <c r="D46" s="1522"/>
      <c r="E46" s="381">
        <v>25</v>
      </c>
      <c r="F46" s="131">
        <v>0</v>
      </c>
      <c r="G46" s="84"/>
      <c r="H46" s="131">
        <v>0</v>
      </c>
      <c r="I46" s="123"/>
    </row>
    <row r="47" spans="2:11" s="80" customFormat="1" hidden="1">
      <c r="B47" s="1522" t="s">
        <v>233</v>
      </c>
      <c r="C47" s="1522"/>
      <c r="D47" s="1522"/>
      <c r="E47" s="381">
        <v>26</v>
      </c>
      <c r="F47" s="131">
        <v>0</v>
      </c>
      <c r="G47" s="84"/>
      <c r="H47" s="131">
        <v>0</v>
      </c>
      <c r="I47" s="123"/>
    </row>
    <row r="48" spans="2:11" s="80" customFormat="1" ht="12.75" customHeight="1">
      <c r="B48" s="1653" t="s">
        <v>1141</v>
      </c>
      <c r="C48" s="1653"/>
      <c r="D48" s="1653"/>
      <c r="E48" s="381"/>
      <c r="F48" s="131">
        <v>1484071.47</v>
      </c>
      <c r="G48" s="84"/>
      <c r="H48" s="131">
        <v>1484072</v>
      </c>
      <c r="I48" s="123"/>
    </row>
    <row r="49" spans="2:9" s="80" customFormat="1" hidden="1">
      <c r="B49" s="1522" t="s">
        <v>235</v>
      </c>
      <c r="C49" s="1522"/>
      <c r="D49" s="1522"/>
      <c r="E49" s="381"/>
      <c r="F49" s="131">
        <v>0</v>
      </c>
      <c r="G49" s="84"/>
      <c r="H49" s="131">
        <v>0</v>
      </c>
      <c r="I49" s="123"/>
    </row>
    <row r="50" spans="2:9" s="80" customFormat="1" hidden="1">
      <c r="B50" s="1522" t="s">
        <v>347</v>
      </c>
      <c r="C50" s="1522"/>
      <c r="D50" s="1522"/>
      <c r="E50" s="381">
        <v>27</v>
      </c>
      <c r="F50" s="348">
        <v>0</v>
      </c>
      <c r="H50" s="348">
        <v>0</v>
      </c>
      <c r="I50" s="123"/>
    </row>
    <row r="51" spans="2:9" s="113" customFormat="1" hidden="1">
      <c r="B51" s="1521" t="s">
        <v>389</v>
      </c>
      <c r="C51" s="1521"/>
      <c r="D51" s="1521"/>
      <c r="E51" s="381"/>
      <c r="F51" s="348"/>
      <c r="H51" s="348"/>
      <c r="I51" s="123"/>
    </row>
    <row r="52" spans="2:9" s="113" customFormat="1">
      <c r="B52" s="1653" t="s">
        <v>1142</v>
      </c>
      <c r="C52" s="1653"/>
      <c r="D52" s="1653"/>
      <c r="E52" s="381">
        <v>17</v>
      </c>
      <c r="F52" s="123">
        <v>85547.284370000008</v>
      </c>
      <c r="G52" s="131"/>
      <c r="H52" s="123">
        <v>84519.841659999991</v>
      </c>
      <c r="I52" s="123"/>
    </row>
    <row r="53" spans="2:9" s="113" customFormat="1" ht="25.5" customHeight="1">
      <c r="B53" s="1653" t="s">
        <v>1143</v>
      </c>
      <c r="C53" s="1653"/>
      <c r="D53" s="1653"/>
      <c r="E53" s="381"/>
      <c r="F53" s="173">
        <f>SUM(F45:F52)</f>
        <v>12904086.553300003</v>
      </c>
      <c r="G53" s="173"/>
      <c r="H53" s="173">
        <f>SUM(H45:H52)</f>
        <v>15189289.410680002</v>
      </c>
      <c r="I53" s="123"/>
    </row>
    <row r="54" spans="2:9" s="113" customFormat="1">
      <c r="B54" s="1525"/>
      <c r="C54" s="1525"/>
      <c r="D54" s="1525"/>
      <c r="E54" s="381"/>
      <c r="F54" s="123"/>
      <c r="G54" s="131"/>
      <c r="H54" s="123"/>
      <c r="I54" s="123"/>
    </row>
    <row r="55" spans="2:9" s="113" customFormat="1">
      <c r="B55" s="1653" t="s">
        <v>1144</v>
      </c>
      <c r="C55" s="1653"/>
      <c r="D55" s="1653"/>
      <c r="E55" s="381"/>
      <c r="F55" s="123"/>
      <c r="G55" s="131"/>
      <c r="H55" s="123"/>
      <c r="I55" s="123"/>
    </row>
    <row r="56" spans="2:9" s="113" customFormat="1">
      <c r="B56" s="1653" t="s">
        <v>1145</v>
      </c>
      <c r="C56" s="1653"/>
      <c r="D56" s="1653"/>
      <c r="E56" s="381">
        <v>17</v>
      </c>
      <c r="F56" s="123">
        <v>7737788.4865988418</v>
      </c>
      <c r="G56" s="131"/>
      <c r="H56" s="123">
        <v>6827349</v>
      </c>
      <c r="I56" s="479"/>
    </row>
    <row r="57" spans="2:9" s="113" customFormat="1" hidden="1">
      <c r="B57" s="1521" t="s">
        <v>391</v>
      </c>
      <c r="C57" s="1521"/>
      <c r="D57" s="1521"/>
      <c r="E57" s="381"/>
      <c r="F57" s="123">
        <v>0</v>
      </c>
      <c r="G57" s="131"/>
      <c r="H57" s="123">
        <v>0</v>
      </c>
      <c r="I57" s="479"/>
    </row>
    <row r="58" spans="2:9" s="113" customFormat="1" ht="12.75" customHeight="1">
      <c r="B58" s="1653" t="s">
        <v>1146</v>
      </c>
      <c r="C58" s="1653"/>
      <c r="D58" s="1653"/>
      <c r="E58" s="381">
        <v>16</v>
      </c>
      <c r="F58" s="123">
        <v>9050069.7260299996</v>
      </c>
      <c r="G58" s="131"/>
      <c r="H58" s="123">
        <v>7330074</v>
      </c>
      <c r="I58" s="479"/>
    </row>
    <row r="59" spans="2:9" s="113" customFormat="1" ht="12.75" hidden="1" customHeight="1">
      <c r="B59" s="1521"/>
      <c r="C59" s="1521"/>
      <c r="D59" s="1521"/>
      <c r="E59" s="397">
        <v>32</v>
      </c>
      <c r="F59" s="123"/>
      <c r="G59" s="131"/>
      <c r="H59" s="123"/>
      <c r="I59" s="479"/>
    </row>
    <row r="60" spans="2:9" s="113" customFormat="1" hidden="1">
      <c r="B60" s="1521" t="s">
        <v>219</v>
      </c>
      <c r="C60" s="1521"/>
      <c r="D60" s="1521"/>
      <c r="E60" s="381">
        <v>26</v>
      </c>
      <c r="F60" s="123">
        <v>0</v>
      </c>
      <c r="G60" s="131"/>
      <c r="H60" s="123">
        <v>0</v>
      </c>
      <c r="I60" s="479"/>
    </row>
    <row r="61" spans="2:9" s="113" customFormat="1" hidden="1">
      <c r="B61" s="1521" t="s">
        <v>225</v>
      </c>
      <c r="C61" s="1521"/>
      <c r="D61" s="1521"/>
      <c r="E61" s="381">
        <v>25</v>
      </c>
      <c r="F61" s="123">
        <v>0</v>
      </c>
      <c r="G61" s="131"/>
      <c r="H61" s="123">
        <v>0</v>
      </c>
      <c r="I61" s="479"/>
    </row>
    <row r="62" spans="2:9" s="113" customFormat="1">
      <c r="B62" s="1653" t="s">
        <v>1147</v>
      </c>
      <c r="C62" s="1653"/>
      <c r="D62" s="1653"/>
      <c r="E62" s="381">
        <v>18</v>
      </c>
      <c r="F62" s="123">
        <v>422722.22654287098</v>
      </c>
      <c r="G62" s="131"/>
      <c r="H62" s="123">
        <f>91388+1055075</f>
        <v>1146463</v>
      </c>
      <c r="I62" s="479"/>
    </row>
    <row r="63" spans="2:9" s="113" customFormat="1" hidden="1">
      <c r="B63" s="1521" t="s">
        <v>349</v>
      </c>
      <c r="C63" s="1521"/>
      <c r="D63" s="1521"/>
      <c r="E63" s="381">
        <v>27</v>
      </c>
      <c r="F63" s="123">
        <v>0</v>
      </c>
      <c r="G63" s="131"/>
      <c r="H63" s="123">
        <v>0</v>
      </c>
      <c r="I63" s="479"/>
    </row>
    <row r="64" spans="2:9" s="113" customFormat="1" ht="12.75" customHeight="1">
      <c r="B64" s="1653" t="s">
        <v>1148</v>
      </c>
      <c r="C64" s="1653"/>
      <c r="D64" s="1653"/>
      <c r="E64" s="381">
        <v>19</v>
      </c>
      <c r="F64" s="175">
        <v>452860.85031029204</v>
      </c>
      <c r="G64" s="131"/>
      <c r="H64" s="175">
        <v>410421</v>
      </c>
      <c r="I64" s="479"/>
    </row>
    <row r="65" spans="2:9" s="80" customFormat="1" ht="12.75" customHeight="1">
      <c r="B65" s="1653" t="s">
        <v>1149</v>
      </c>
      <c r="C65" s="1653"/>
      <c r="D65" s="1653"/>
      <c r="E65" s="381"/>
      <c r="F65" s="173">
        <f>SUM(F56:F64)</f>
        <v>17663441.289482005</v>
      </c>
      <c r="G65" s="173"/>
      <c r="H65" s="173">
        <f>SUM(H56:H64)</f>
        <v>15714307</v>
      </c>
      <c r="I65" s="123"/>
    </row>
    <row r="66" spans="2:9" s="80" customFormat="1">
      <c r="B66" s="1522"/>
      <c r="C66" s="1522"/>
      <c r="D66" s="1522"/>
      <c r="E66" s="381"/>
      <c r="F66" s="123"/>
      <c r="G66" s="84"/>
      <c r="H66" s="123"/>
      <c r="I66" s="123"/>
    </row>
    <row r="67" spans="2:9" s="80" customFormat="1" ht="13.5" customHeight="1" thickBot="1">
      <c r="B67" s="1653" t="s">
        <v>1150</v>
      </c>
      <c r="C67" s="1653"/>
      <c r="D67" s="1653"/>
      <c r="E67" s="381"/>
      <c r="F67" s="174">
        <f>F65+F53+F42</f>
        <v>44019286.012969151</v>
      </c>
      <c r="G67" s="174"/>
      <c r="H67" s="174">
        <f>H65+H53+H42</f>
        <v>39481525.6137321</v>
      </c>
      <c r="I67" s="123"/>
    </row>
    <row r="68" spans="2:9" ht="21.75" customHeight="1" thickTop="1">
      <c r="B68" s="1653" t="s">
        <v>1151</v>
      </c>
      <c r="C68" s="1653"/>
      <c r="D68" s="1653"/>
      <c r="F68" s="1436">
        <f>(F28-F11-F53-F65)/3144.569</f>
        <v>4262.7846229438428</v>
      </c>
      <c r="G68" s="474"/>
      <c r="H68" s="1436">
        <f>(H28-H11-H53-H65)/3150.593</f>
        <v>2706.4663716703485</v>
      </c>
    </row>
    <row r="69" spans="2:9" ht="12.75" customHeight="1">
      <c r="B69" s="1653" t="s">
        <v>1152</v>
      </c>
      <c r="C69" s="1653"/>
      <c r="D69" s="1653"/>
      <c r="F69" s="1436">
        <v>1200</v>
      </c>
      <c r="H69" s="1436">
        <v>1200</v>
      </c>
    </row>
    <row r="70" spans="2:9" ht="12.75" customHeight="1">
      <c r="B70" s="1654"/>
      <c r="C70" s="1654"/>
      <c r="D70" s="1654"/>
      <c r="F70" s="1436"/>
      <c r="G70" s="1433"/>
      <c r="H70" s="1436"/>
    </row>
    <row r="71" spans="2:9" ht="12.75" customHeight="1">
      <c r="B71" s="1654"/>
      <c r="C71" s="1654"/>
      <c r="D71" s="1654"/>
      <c r="F71" s="1436"/>
      <c r="G71" s="1433"/>
      <c r="H71" s="1436"/>
    </row>
    <row r="72" spans="2:9" ht="12.75" customHeight="1">
      <c r="B72" s="1654"/>
      <c r="C72" s="1654"/>
      <c r="D72" s="1654"/>
      <c r="F72" s="1436"/>
      <c r="G72" s="1433"/>
      <c r="H72" s="1436"/>
    </row>
    <row r="73" spans="2:9" ht="17.25" hidden="1" customHeight="1">
      <c r="B73" s="1526" t="s">
        <v>1106</v>
      </c>
      <c r="C73" s="1526"/>
      <c r="D73" s="1526"/>
      <c r="E73" s="214"/>
      <c r="F73" s="215"/>
      <c r="G73" s="91"/>
      <c r="H73" s="1436"/>
      <c r="I73" s="595"/>
    </row>
    <row r="74" spans="2:9" ht="9.75" hidden="1" customHeight="1">
      <c r="B74" s="350"/>
      <c r="C74" s="350"/>
      <c r="D74" s="1497"/>
      <c r="E74" s="350"/>
      <c r="F74" s="1498"/>
      <c r="G74" s="1499"/>
      <c r="H74" s="370"/>
      <c r="I74" s="595"/>
    </row>
    <row r="75" spans="2:9" ht="18" hidden="1" customHeight="1">
      <c r="B75" s="1496" t="s">
        <v>1107</v>
      </c>
      <c r="C75" s="1496"/>
      <c r="D75" s="1530" t="s">
        <v>1107</v>
      </c>
      <c r="E75" s="1530"/>
      <c r="F75" s="1531" t="s">
        <v>1108</v>
      </c>
      <c r="G75" s="1531"/>
      <c r="H75" s="1532"/>
    </row>
    <row r="76" spans="2:9" ht="17.25" hidden="1" customHeight="1">
      <c r="B76" s="1500" t="s">
        <v>1105</v>
      </c>
      <c r="C76" s="1428"/>
      <c r="D76" s="1500" t="s">
        <v>1109</v>
      </c>
      <c r="E76" s="350"/>
      <c r="F76" s="414" t="s">
        <v>1104</v>
      </c>
      <c r="G76" s="1500"/>
      <c r="H76" s="370"/>
      <c r="I76" s="595"/>
    </row>
    <row r="77" spans="2:9" ht="16.5" hidden="1" customHeight="1">
      <c r="B77" s="1501"/>
      <c r="C77" s="88"/>
      <c r="D77" s="1500" t="s">
        <v>1110</v>
      </c>
      <c r="E77" s="87"/>
      <c r="F77" s="91"/>
      <c r="G77" s="91"/>
      <c r="H77" s="215"/>
    </row>
    <row r="78" spans="2:9">
      <c r="B78" s="1437"/>
      <c r="C78" s="1437" t="s">
        <v>127</v>
      </c>
      <c r="D78" s="1438" t="s">
        <v>127</v>
      </c>
    </row>
  </sheetData>
  <mergeCells count="73">
    <mergeCell ref="B73:D73"/>
    <mergeCell ref="D75:E75"/>
    <mergeCell ref="F75:H75"/>
    <mergeCell ref="F2:H2"/>
    <mergeCell ref="B10:D10"/>
    <mergeCell ref="B5:D5"/>
    <mergeCell ref="B4:D4"/>
    <mergeCell ref="B8:D8"/>
    <mergeCell ref="B33:D33"/>
    <mergeCell ref="B21:D21"/>
    <mergeCell ref="B9:D9"/>
    <mergeCell ref="B36:D36"/>
    <mergeCell ref="B13:D13"/>
    <mergeCell ref="B22:D22"/>
    <mergeCell ref="B14:D14"/>
    <mergeCell ref="B26:D26"/>
    <mergeCell ref="F1:H1"/>
    <mergeCell ref="B7:D7"/>
    <mergeCell ref="A1:E1"/>
    <mergeCell ref="A2:E2"/>
    <mergeCell ref="B6:D6"/>
    <mergeCell ref="B11:D11"/>
    <mergeCell ref="B12:D12"/>
    <mergeCell ref="B15:D15"/>
    <mergeCell ref="B16:D16"/>
    <mergeCell ref="B30:D30"/>
    <mergeCell ref="B25:D25"/>
    <mergeCell ref="B23:D23"/>
    <mergeCell ref="B17:D17"/>
    <mergeCell ref="B18:D18"/>
    <mergeCell ref="B19:D19"/>
    <mergeCell ref="B20:D20"/>
    <mergeCell ref="B31:D31"/>
    <mergeCell ref="B27:D27"/>
    <mergeCell ref="B29:D29"/>
    <mergeCell ref="B28:D28"/>
    <mergeCell ref="B24:D24"/>
    <mergeCell ref="B68:D68"/>
    <mergeCell ref="B48:D48"/>
    <mergeCell ref="B49:D49"/>
    <mergeCell ref="B50:D50"/>
    <mergeCell ref="B54:D54"/>
    <mergeCell ref="B52:D52"/>
    <mergeCell ref="B53:D53"/>
    <mergeCell ref="B57:D57"/>
    <mergeCell ref="B67:D67"/>
    <mergeCell ref="B63:D63"/>
    <mergeCell ref="B64:D64"/>
    <mergeCell ref="B56:D56"/>
    <mergeCell ref="B47:D47"/>
    <mergeCell ref="B51:D51"/>
    <mergeCell ref="B55:D55"/>
    <mergeCell ref="B65:D65"/>
    <mergeCell ref="B32:D32"/>
    <mergeCell ref="B35:D35"/>
    <mergeCell ref="B37:D37"/>
    <mergeCell ref="B41:D41"/>
    <mergeCell ref="B69:D69"/>
    <mergeCell ref="B34:D34"/>
    <mergeCell ref="B59:D59"/>
    <mergeCell ref="B38:D38"/>
    <mergeCell ref="B60:D60"/>
    <mergeCell ref="B61:D61"/>
    <mergeCell ref="B43:D43"/>
    <mergeCell ref="B44:D44"/>
    <mergeCell ref="B39:D39"/>
    <mergeCell ref="B40:D40"/>
    <mergeCell ref="B58:D58"/>
    <mergeCell ref="B45:D45"/>
    <mergeCell ref="B42:D42"/>
    <mergeCell ref="B62:D62"/>
    <mergeCell ref="B66:D66"/>
    <mergeCell ref="B46:D46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88" fitToHeight="2" orientation="portrait" r:id="rId1"/>
  <headerFooter alignWithMargins="0"/>
  <colBreaks count="1" manualBreakCount="1">
    <brk id="8" max="72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selection activeCell="H24" sqref="H24"/>
    </sheetView>
  </sheetViews>
  <sheetFormatPr defaultRowHeight="12.75"/>
  <cols>
    <col min="8" max="15" width="14" customWidth="1"/>
  </cols>
  <sheetData>
    <row r="1" spans="1:15" ht="13.9" customHeight="1" thickBot="1">
      <c r="A1" s="1642" t="s">
        <v>720</v>
      </c>
      <c r="B1" s="1635" t="s">
        <v>721</v>
      </c>
      <c r="C1" s="1639" t="s">
        <v>722</v>
      </c>
      <c r="D1" s="1635" t="s">
        <v>592</v>
      </c>
      <c r="E1" s="1635"/>
      <c r="F1" s="1635" t="s">
        <v>723</v>
      </c>
      <c r="G1" s="1635" t="s">
        <v>724</v>
      </c>
      <c r="H1" s="1639" t="s">
        <v>725</v>
      </c>
      <c r="I1" s="1639" t="s">
        <v>726</v>
      </c>
      <c r="J1" s="1640" t="s">
        <v>727</v>
      </c>
      <c r="K1" s="1640"/>
      <c r="L1" s="1640"/>
      <c r="M1" s="1640"/>
      <c r="N1" s="1640"/>
      <c r="O1" s="1640"/>
    </row>
    <row r="2" spans="1:15" ht="13.9" customHeight="1" thickBot="1">
      <c r="A2" s="1642"/>
      <c r="B2" s="1635"/>
      <c r="C2" s="1639"/>
      <c r="D2" s="1635"/>
      <c r="E2" s="1635"/>
      <c r="F2" s="1635"/>
      <c r="G2" s="1635"/>
      <c r="H2" s="1639"/>
      <c r="I2" s="1639"/>
      <c r="J2" s="1641" t="s">
        <v>728</v>
      </c>
      <c r="K2" s="1638" t="s">
        <v>729</v>
      </c>
      <c r="L2" s="1638" t="s">
        <v>730</v>
      </c>
      <c r="M2" s="1638" t="s">
        <v>731</v>
      </c>
      <c r="N2" s="1638" t="s">
        <v>732</v>
      </c>
      <c r="O2" s="1636" t="s">
        <v>733</v>
      </c>
    </row>
    <row r="3" spans="1:15" ht="25.5">
      <c r="A3" s="1642"/>
      <c r="B3" s="1635"/>
      <c r="C3" s="1639"/>
      <c r="D3" s="833" t="s">
        <v>734</v>
      </c>
      <c r="E3" s="833" t="s">
        <v>735</v>
      </c>
      <c r="F3" s="1635"/>
      <c r="G3" s="1635"/>
      <c r="H3" s="1639"/>
      <c r="I3" s="1639"/>
      <c r="J3" s="1641"/>
      <c r="K3" s="1638"/>
      <c r="L3" s="1638"/>
      <c r="M3" s="1638"/>
      <c r="N3" s="1638"/>
      <c r="O3" s="1636"/>
    </row>
    <row r="4" spans="1:15">
      <c r="A4" s="834">
        <v>1</v>
      </c>
      <c r="B4" s="835">
        <v>2</v>
      </c>
      <c r="C4" s="835">
        <v>3</v>
      </c>
      <c r="D4" s="835">
        <v>4</v>
      </c>
      <c r="E4" s="835">
        <v>5</v>
      </c>
      <c r="F4" s="835">
        <v>6</v>
      </c>
      <c r="G4" s="835">
        <v>7</v>
      </c>
      <c r="H4" s="835">
        <v>10</v>
      </c>
      <c r="I4" s="835">
        <v>11</v>
      </c>
      <c r="J4" s="834">
        <v>15</v>
      </c>
      <c r="K4" s="835">
        <v>17</v>
      </c>
      <c r="L4" s="835">
        <v>18</v>
      </c>
      <c r="M4" s="835">
        <v>19</v>
      </c>
      <c r="N4" s="835">
        <v>21</v>
      </c>
      <c r="O4" s="836">
        <v>22</v>
      </c>
    </row>
    <row r="5" spans="1:15">
      <c r="A5" s="1637" t="s">
        <v>560</v>
      </c>
      <c r="B5" s="1637"/>
      <c r="C5" s="1637"/>
      <c r="D5" s="837"/>
      <c r="E5" s="837"/>
      <c r="F5" s="838"/>
      <c r="G5" s="838"/>
      <c r="H5" s="839">
        <v>184000000</v>
      </c>
      <c r="I5" s="840">
        <v>14411</v>
      </c>
      <c r="J5" s="841">
        <v>291</v>
      </c>
      <c r="K5" s="840">
        <v>7343</v>
      </c>
      <c r="L5" s="840">
        <v>-10877</v>
      </c>
      <c r="M5" s="840">
        <v>2147</v>
      </c>
      <c r="N5" s="840">
        <v>-1096</v>
      </c>
      <c r="O5" s="842">
        <v>13315</v>
      </c>
    </row>
    <row r="6" spans="1:15">
      <c r="A6" s="843"/>
      <c r="B6" s="844" t="s">
        <v>560</v>
      </c>
      <c r="C6" s="845" t="s">
        <v>736</v>
      </c>
      <c r="D6" s="845" t="s">
        <v>737</v>
      </c>
      <c r="E6" s="845" t="s">
        <v>738</v>
      </c>
      <c r="F6" s="846">
        <v>7.5</v>
      </c>
      <c r="G6" s="846">
        <v>1</v>
      </c>
      <c r="H6" s="847">
        <v>184000000</v>
      </c>
      <c r="I6" s="848">
        <v>14411</v>
      </c>
      <c r="J6" s="849">
        <v>291</v>
      </c>
      <c r="K6" s="848">
        <v>7343</v>
      </c>
      <c r="L6" s="848">
        <v>-10877</v>
      </c>
      <c r="M6" s="848">
        <v>2147</v>
      </c>
      <c r="N6" s="848">
        <v>-1096</v>
      </c>
      <c r="O6" s="850">
        <v>13315</v>
      </c>
    </row>
    <row r="8" spans="1:15">
      <c r="I8" s="779">
        <f>I6-O8</f>
        <v>-427.91200000000026</v>
      </c>
      <c r="O8" s="851">
        <v>14838.912</v>
      </c>
    </row>
    <row r="9" spans="1:15">
      <c r="O9" s="779">
        <f>O6-O8</f>
        <v>-1523.9120000000003</v>
      </c>
    </row>
  </sheetData>
  <mergeCells count="16">
    <mergeCell ref="G1:G3"/>
    <mergeCell ref="O2:O3"/>
    <mergeCell ref="A5:C5"/>
    <mergeCell ref="K2:K3"/>
    <mergeCell ref="L2:L3"/>
    <mergeCell ref="M2:M3"/>
    <mergeCell ref="N2:N3"/>
    <mergeCell ref="H1:H3"/>
    <mergeCell ref="I1:I3"/>
    <mergeCell ref="J1:O1"/>
    <mergeCell ref="J2:J3"/>
    <mergeCell ref="A1:A3"/>
    <mergeCell ref="B1:B3"/>
    <mergeCell ref="C1:C3"/>
    <mergeCell ref="D1:E2"/>
    <mergeCell ref="F1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624"/>
  <sheetViews>
    <sheetView topLeftCell="A163" workbookViewId="0">
      <selection activeCell="O401" sqref="O392:O401"/>
    </sheetView>
  </sheetViews>
  <sheetFormatPr defaultRowHeight="12.75"/>
  <cols>
    <col min="1" max="1" width="20" customWidth="1"/>
    <col min="2" max="2" width="16.7109375" customWidth="1"/>
    <col min="3" max="4" width="13.42578125" customWidth="1"/>
    <col min="5" max="5" width="14.85546875" customWidth="1"/>
    <col min="6" max="6" width="13.140625" bestFit="1" customWidth="1"/>
    <col min="7" max="7" width="14.5703125" customWidth="1"/>
    <col min="8" max="8" width="12.7109375" bestFit="1" customWidth="1"/>
  </cols>
  <sheetData>
    <row r="1" spans="1:7" ht="18">
      <c r="A1" s="1646" t="s">
        <v>857</v>
      </c>
      <c r="B1" s="1646"/>
      <c r="C1" s="1646"/>
      <c r="D1" s="1646"/>
      <c r="E1" s="1646"/>
      <c r="F1" s="1068"/>
      <c r="G1" s="1068"/>
    </row>
    <row r="2" spans="1:7">
      <c r="A2" s="1647" t="s">
        <v>768</v>
      </c>
      <c r="B2" s="1647"/>
      <c r="C2" s="1647"/>
      <c r="D2" s="1647"/>
      <c r="E2" s="1647"/>
      <c r="F2" s="1068"/>
      <c r="G2" s="1068"/>
    </row>
    <row r="3" spans="1:7">
      <c r="A3" s="1069" t="s">
        <v>858</v>
      </c>
      <c r="B3" s="1068"/>
      <c r="C3" s="1068"/>
      <c r="D3" s="1068"/>
      <c r="E3" s="1068"/>
      <c r="F3" s="1068"/>
      <c r="G3" s="1068"/>
    </row>
    <row r="4" spans="1:7" ht="13.5" thickBot="1">
      <c r="A4" s="1648" t="s">
        <v>859</v>
      </c>
      <c r="B4" s="1648"/>
      <c r="C4" s="1648"/>
      <c r="D4" s="1648"/>
      <c r="E4" s="1648"/>
      <c r="F4" s="1068"/>
      <c r="G4" s="1068"/>
    </row>
    <row r="5" spans="1:7" ht="15.75" thickBot="1">
      <c r="A5" s="1649" t="s">
        <v>860</v>
      </c>
      <c r="B5" s="1644" t="s">
        <v>156</v>
      </c>
      <c r="C5" s="1644"/>
      <c r="D5" s="1644" t="s">
        <v>861</v>
      </c>
      <c r="E5" s="1644"/>
      <c r="F5" s="1644" t="s">
        <v>862</v>
      </c>
      <c r="G5" s="1644"/>
    </row>
    <row r="6" spans="1:7" ht="15.75" thickBot="1">
      <c r="A6" s="1649"/>
      <c r="B6" s="1070" t="s">
        <v>189</v>
      </c>
      <c r="C6" s="1070" t="s">
        <v>190</v>
      </c>
      <c r="D6" s="1070" t="s">
        <v>189</v>
      </c>
      <c r="E6" s="1070" t="s">
        <v>190</v>
      </c>
      <c r="F6" s="1070" t="s">
        <v>189</v>
      </c>
      <c r="G6" s="1070" t="s">
        <v>190</v>
      </c>
    </row>
    <row r="7" spans="1:7">
      <c r="A7" s="1071" t="s">
        <v>863</v>
      </c>
      <c r="B7" s="1072"/>
      <c r="C7" s="1073">
        <v>3800</v>
      </c>
      <c r="D7" s="1073">
        <v>-2120</v>
      </c>
      <c r="E7" s="1073">
        <v>-2120</v>
      </c>
      <c r="F7" s="1072"/>
      <c r="G7" s="1073">
        <v>3800</v>
      </c>
    </row>
    <row r="8" spans="1:7">
      <c r="A8" s="1074">
        <v>1600</v>
      </c>
      <c r="B8" s="1075">
        <v>2120</v>
      </c>
      <c r="C8" s="1076"/>
      <c r="D8" s="1077">
        <v>-2120</v>
      </c>
      <c r="E8" s="1078"/>
      <c r="F8" s="1076"/>
      <c r="G8" s="1076"/>
    </row>
    <row r="9" spans="1:7">
      <c r="A9" s="1074">
        <v>1610</v>
      </c>
      <c r="B9" s="1075">
        <v>2120</v>
      </c>
      <c r="C9" s="1076"/>
      <c r="D9" s="1077">
        <v>-2120</v>
      </c>
      <c r="E9" s="1078"/>
      <c r="F9" s="1076"/>
      <c r="G9" s="1076"/>
    </row>
    <row r="10" spans="1:7">
      <c r="A10" s="1074">
        <v>1611</v>
      </c>
      <c r="B10" s="1075">
        <v>2120</v>
      </c>
      <c r="C10" s="1076"/>
      <c r="D10" s="1077">
        <v>-2120</v>
      </c>
      <c r="E10" s="1078"/>
      <c r="F10" s="1076"/>
      <c r="G10" s="1076"/>
    </row>
    <row r="11" spans="1:7">
      <c r="A11" s="1074">
        <v>3300</v>
      </c>
      <c r="B11" s="1076"/>
      <c r="C11" s="1075">
        <v>5920</v>
      </c>
      <c r="D11" s="1078"/>
      <c r="E11" s="1077">
        <v>-2120</v>
      </c>
      <c r="F11" s="1076"/>
      <c r="G11" s="1075">
        <v>3800</v>
      </c>
    </row>
    <row r="12" spans="1:7" ht="13.5" thickBot="1">
      <c r="A12" s="1074">
        <v>3310</v>
      </c>
      <c r="B12" s="1076"/>
      <c r="C12" s="1075">
        <v>5920</v>
      </c>
      <c r="D12" s="1078"/>
      <c r="E12" s="1077">
        <v>-2120</v>
      </c>
      <c r="F12" s="1076"/>
      <c r="G12" s="1075">
        <v>3800</v>
      </c>
    </row>
    <row r="13" spans="1:7">
      <c r="A13" s="1071" t="s">
        <v>864</v>
      </c>
      <c r="B13" s="1073">
        <v>25750</v>
      </c>
      <c r="C13" s="1072"/>
      <c r="D13" s="1079">
        <v>-50</v>
      </c>
      <c r="E13" s="1079">
        <v>-50</v>
      </c>
      <c r="F13" s="1073">
        <v>25750</v>
      </c>
      <c r="G13" s="1072"/>
    </row>
    <row r="14" spans="1:7">
      <c r="A14" s="1074">
        <v>1600</v>
      </c>
      <c r="B14" s="1075">
        <v>25800</v>
      </c>
      <c r="C14" s="1076"/>
      <c r="D14" s="1080">
        <v>-50</v>
      </c>
      <c r="E14" s="1078"/>
      <c r="F14" s="1075">
        <v>25750</v>
      </c>
      <c r="G14" s="1076"/>
    </row>
    <row r="15" spans="1:7">
      <c r="A15" s="1074">
        <v>1610</v>
      </c>
      <c r="B15" s="1075">
        <v>25800</v>
      </c>
      <c r="C15" s="1076"/>
      <c r="D15" s="1080">
        <v>-50</v>
      </c>
      <c r="E15" s="1078"/>
      <c r="F15" s="1075">
        <v>25750</v>
      </c>
      <c r="G15" s="1076"/>
    </row>
    <row r="16" spans="1:7">
      <c r="A16" s="1074">
        <v>1611</v>
      </c>
      <c r="B16" s="1075">
        <v>25800</v>
      </c>
      <c r="C16" s="1076"/>
      <c r="D16" s="1080">
        <v>-50</v>
      </c>
      <c r="E16" s="1078"/>
      <c r="F16" s="1075">
        <v>25750</v>
      </c>
      <c r="G16" s="1076"/>
    </row>
    <row r="17" spans="1:7">
      <c r="A17" s="1074">
        <v>3300</v>
      </c>
      <c r="B17" s="1076"/>
      <c r="C17" s="1081">
        <v>50</v>
      </c>
      <c r="D17" s="1078"/>
      <c r="E17" s="1080">
        <v>-50</v>
      </c>
      <c r="F17" s="1076"/>
      <c r="G17" s="1076"/>
    </row>
    <row r="18" spans="1:7" ht="13.5" thickBot="1">
      <c r="A18" s="1074">
        <v>3310</v>
      </c>
      <c r="B18" s="1076"/>
      <c r="C18" s="1081">
        <v>50</v>
      </c>
      <c r="D18" s="1078"/>
      <c r="E18" s="1080">
        <v>-50</v>
      </c>
      <c r="F18" s="1076"/>
      <c r="G18" s="1076"/>
    </row>
    <row r="19" spans="1:7">
      <c r="A19" s="1071" t="s">
        <v>865</v>
      </c>
      <c r="B19" s="1082">
        <v>19442896.09</v>
      </c>
      <c r="C19" s="1072"/>
      <c r="D19" s="1073">
        <v>-708510</v>
      </c>
      <c r="E19" s="1073">
        <v>-708510</v>
      </c>
      <c r="F19" s="1082">
        <v>19442896.09</v>
      </c>
      <c r="G19" s="1072"/>
    </row>
    <row r="20" spans="1:7">
      <c r="A20" s="1074">
        <v>1300</v>
      </c>
      <c r="B20" s="1083">
        <v>20151406.09</v>
      </c>
      <c r="C20" s="1076"/>
      <c r="D20" s="1077">
        <v>-708510</v>
      </c>
      <c r="E20" s="1078"/>
      <c r="F20" s="1083">
        <v>19442896.09</v>
      </c>
      <c r="G20" s="1076"/>
    </row>
    <row r="21" spans="1:7">
      <c r="A21" s="1074">
        <v>1310</v>
      </c>
      <c r="B21" s="1083">
        <v>20151406.09</v>
      </c>
      <c r="C21" s="1076"/>
      <c r="D21" s="1077">
        <v>-708510</v>
      </c>
      <c r="E21" s="1078"/>
      <c r="F21" s="1083">
        <v>19442896.09</v>
      </c>
      <c r="G21" s="1076"/>
    </row>
    <row r="22" spans="1:7">
      <c r="A22" s="1074">
        <v>3300</v>
      </c>
      <c r="B22" s="1076"/>
      <c r="C22" s="1075">
        <v>708510</v>
      </c>
      <c r="D22" s="1078"/>
      <c r="E22" s="1077">
        <v>-708510</v>
      </c>
      <c r="F22" s="1076"/>
      <c r="G22" s="1076"/>
    </row>
    <row r="23" spans="1:7" ht="13.5" thickBot="1">
      <c r="A23" s="1074">
        <v>3310</v>
      </c>
      <c r="B23" s="1076"/>
      <c r="C23" s="1075">
        <v>708510</v>
      </c>
      <c r="D23" s="1078"/>
      <c r="E23" s="1077">
        <v>-708510</v>
      </c>
      <c r="F23" s="1076"/>
      <c r="G23" s="1076"/>
    </row>
    <row r="24" spans="1:7">
      <c r="A24" s="1071" t="s">
        <v>866</v>
      </c>
      <c r="B24" s="1072"/>
      <c r="C24" s="1073">
        <v>3040</v>
      </c>
      <c r="D24" s="1073">
        <v>-54660</v>
      </c>
      <c r="E24" s="1073">
        <v>-54660</v>
      </c>
      <c r="F24" s="1072"/>
      <c r="G24" s="1073">
        <v>3040</v>
      </c>
    </row>
    <row r="25" spans="1:7">
      <c r="A25" s="1074">
        <v>1600</v>
      </c>
      <c r="B25" s="1075">
        <v>54660</v>
      </c>
      <c r="C25" s="1076"/>
      <c r="D25" s="1077">
        <v>-54660</v>
      </c>
      <c r="E25" s="1078"/>
      <c r="F25" s="1076"/>
      <c r="G25" s="1076"/>
    </row>
    <row r="26" spans="1:7">
      <c r="A26" s="1074">
        <v>1610</v>
      </c>
      <c r="B26" s="1075">
        <v>54660</v>
      </c>
      <c r="C26" s="1076"/>
      <c r="D26" s="1077">
        <v>-54660</v>
      </c>
      <c r="E26" s="1078"/>
      <c r="F26" s="1076"/>
      <c r="G26" s="1076"/>
    </row>
    <row r="27" spans="1:7">
      <c r="A27" s="1074">
        <v>1611</v>
      </c>
      <c r="B27" s="1075">
        <v>54660</v>
      </c>
      <c r="C27" s="1076"/>
      <c r="D27" s="1077">
        <v>-54660</v>
      </c>
      <c r="E27" s="1078"/>
      <c r="F27" s="1076"/>
      <c r="G27" s="1076"/>
    </row>
    <row r="28" spans="1:7">
      <c r="A28" s="1074">
        <v>3300</v>
      </c>
      <c r="B28" s="1076"/>
      <c r="C28" s="1075">
        <v>57700</v>
      </c>
      <c r="D28" s="1078"/>
      <c r="E28" s="1077">
        <v>-54660</v>
      </c>
      <c r="F28" s="1076"/>
      <c r="G28" s="1075">
        <v>3040</v>
      </c>
    </row>
    <row r="29" spans="1:7" ht="13.5" thickBot="1">
      <c r="A29" s="1074">
        <v>3310</v>
      </c>
      <c r="B29" s="1076"/>
      <c r="C29" s="1075">
        <v>57700</v>
      </c>
      <c r="D29" s="1078"/>
      <c r="E29" s="1077">
        <v>-54660</v>
      </c>
      <c r="F29" s="1076"/>
      <c r="G29" s="1075">
        <v>3040</v>
      </c>
    </row>
    <row r="30" spans="1:7">
      <c r="A30" s="1071" t="s">
        <v>867</v>
      </c>
      <c r="B30" s="1073">
        <v>6419824</v>
      </c>
      <c r="C30" s="1072"/>
      <c r="D30" s="1073">
        <v>-1977690</v>
      </c>
      <c r="E30" s="1073">
        <v>-1977690</v>
      </c>
      <c r="F30" s="1073">
        <v>6419824</v>
      </c>
      <c r="G30" s="1072"/>
    </row>
    <row r="31" spans="1:7">
      <c r="A31" s="1074">
        <v>1200</v>
      </c>
      <c r="B31" s="1075">
        <v>8397514</v>
      </c>
      <c r="C31" s="1076"/>
      <c r="D31" s="1077">
        <v>-1977690</v>
      </c>
      <c r="E31" s="1078"/>
      <c r="F31" s="1075">
        <v>6419824</v>
      </c>
      <c r="G31" s="1076"/>
    </row>
    <row r="32" spans="1:7">
      <c r="A32" s="1074">
        <v>1210</v>
      </c>
      <c r="B32" s="1075">
        <v>8397514</v>
      </c>
      <c r="C32" s="1076"/>
      <c r="D32" s="1077">
        <v>-1977690</v>
      </c>
      <c r="E32" s="1078"/>
      <c r="F32" s="1075">
        <v>6419824</v>
      </c>
      <c r="G32" s="1076"/>
    </row>
    <row r="33" spans="1:7">
      <c r="A33" s="1074">
        <v>3300</v>
      </c>
      <c r="B33" s="1076"/>
      <c r="C33" s="1075">
        <v>1977690</v>
      </c>
      <c r="D33" s="1078"/>
      <c r="E33" s="1077">
        <v>-1977690</v>
      </c>
      <c r="F33" s="1076"/>
      <c r="G33" s="1076"/>
    </row>
    <row r="34" spans="1:7" ht="13.5" thickBot="1">
      <c r="A34" s="1074">
        <v>3310</v>
      </c>
      <c r="B34" s="1076"/>
      <c r="C34" s="1075">
        <v>1977690</v>
      </c>
      <c r="D34" s="1078"/>
      <c r="E34" s="1077">
        <v>-1977690</v>
      </c>
      <c r="F34" s="1076"/>
      <c r="G34" s="1076"/>
    </row>
    <row r="35" spans="1:7">
      <c r="A35" s="1071" t="s">
        <v>484</v>
      </c>
      <c r="B35" s="1072"/>
      <c r="C35" s="1084">
        <v>231652068.80000001</v>
      </c>
      <c r="D35" s="1082">
        <v>-1057583.53</v>
      </c>
      <c r="E35" s="1082">
        <v>-1057583.53</v>
      </c>
      <c r="F35" s="1072"/>
      <c r="G35" s="1084">
        <v>231652068.80000001</v>
      </c>
    </row>
    <row r="36" spans="1:7">
      <c r="A36" s="1074">
        <v>1600</v>
      </c>
      <c r="B36" s="1083">
        <v>1057583.53</v>
      </c>
      <c r="C36" s="1076"/>
      <c r="D36" s="1085">
        <v>-1057583.53</v>
      </c>
      <c r="E36" s="1078"/>
      <c r="F36" s="1076"/>
      <c r="G36" s="1076"/>
    </row>
    <row r="37" spans="1:7">
      <c r="A37" s="1074">
        <v>1610</v>
      </c>
      <c r="B37" s="1083">
        <v>1057583.53</v>
      </c>
      <c r="C37" s="1076"/>
      <c r="D37" s="1085">
        <v>-1057583.53</v>
      </c>
      <c r="E37" s="1078"/>
      <c r="F37" s="1076"/>
      <c r="G37" s="1076"/>
    </row>
    <row r="38" spans="1:7">
      <c r="A38" s="1074">
        <v>1611</v>
      </c>
      <c r="B38" s="1083">
        <v>1057583.53</v>
      </c>
      <c r="C38" s="1076"/>
      <c r="D38" s="1085">
        <v>-1057583.53</v>
      </c>
      <c r="E38" s="1078"/>
      <c r="F38" s="1076"/>
      <c r="G38" s="1076"/>
    </row>
    <row r="39" spans="1:7">
      <c r="A39" s="1074">
        <v>3300</v>
      </c>
      <c r="B39" s="1076"/>
      <c r="C39" s="1083">
        <v>232709652.33000001</v>
      </c>
      <c r="D39" s="1078"/>
      <c r="E39" s="1085">
        <v>-1057583.53</v>
      </c>
      <c r="F39" s="1076"/>
      <c r="G39" s="1086">
        <v>231652068.80000001</v>
      </c>
    </row>
    <row r="40" spans="1:7" ht="13.5" thickBot="1">
      <c r="A40" s="1074">
        <v>3310</v>
      </c>
      <c r="B40" s="1076"/>
      <c r="C40" s="1083">
        <v>232709652.33000001</v>
      </c>
      <c r="D40" s="1078"/>
      <c r="E40" s="1085">
        <v>-1057583.53</v>
      </c>
      <c r="F40" s="1076"/>
      <c r="G40" s="1086">
        <v>231652068.80000001</v>
      </c>
    </row>
    <row r="41" spans="1:7">
      <c r="A41" s="1071" t="s">
        <v>868</v>
      </c>
      <c r="B41" s="1073">
        <v>276299</v>
      </c>
      <c r="C41" s="1072"/>
      <c r="D41" s="1073">
        <v>-276110</v>
      </c>
      <c r="E41" s="1073">
        <v>-276110</v>
      </c>
      <c r="F41" s="1073">
        <v>276299</v>
      </c>
      <c r="G41" s="1072"/>
    </row>
    <row r="42" spans="1:7">
      <c r="A42" s="1074">
        <v>1600</v>
      </c>
      <c r="B42" s="1075">
        <v>552409</v>
      </c>
      <c r="C42" s="1076"/>
      <c r="D42" s="1077">
        <v>-276110</v>
      </c>
      <c r="E42" s="1078"/>
      <c r="F42" s="1075">
        <v>276299</v>
      </c>
      <c r="G42" s="1076"/>
    </row>
    <row r="43" spans="1:7">
      <c r="A43" s="1074">
        <v>1610</v>
      </c>
      <c r="B43" s="1075">
        <v>552409</v>
      </c>
      <c r="C43" s="1076"/>
      <c r="D43" s="1077">
        <v>-276110</v>
      </c>
      <c r="E43" s="1078"/>
      <c r="F43" s="1075">
        <v>276299</v>
      </c>
      <c r="G43" s="1076"/>
    </row>
    <row r="44" spans="1:7">
      <c r="A44" s="1074">
        <v>1612</v>
      </c>
      <c r="B44" s="1075">
        <v>552409</v>
      </c>
      <c r="C44" s="1076"/>
      <c r="D44" s="1077">
        <v>-276110</v>
      </c>
      <c r="E44" s="1078"/>
      <c r="F44" s="1075">
        <v>276299</v>
      </c>
      <c r="G44" s="1076"/>
    </row>
    <row r="45" spans="1:7">
      <c r="A45" s="1074">
        <v>3300</v>
      </c>
      <c r="B45" s="1076"/>
      <c r="C45" s="1075">
        <v>276110</v>
      </c>
      <c r="D45" s="1078"/>
      <c r="E45" s="1077">
        <v>-276110</v>
      </c>
      <c r="F45" s="1076"/>
      <c r="G45" s="1076"/>
    </row>
    <row r="46" spans="1:7" ht="13.5" thickBot="1">
      <c r="A46" s="1074">
        <v>3310</v>
      </c>
      <c r="B46" s="1076"/>
      <c r="C46" s="1075">
        <v>276110</v>
      </c>
      <c r="D46" s="1078"/>
      <c r="E46" s="1077">
        <v>-276110</v>
      </c>
      <c r="F46" s="1076"/>
      <c r="G46" s="1076"/>
    </row>
    <row r="47" spans="1:7">
      <c r="A47" s="1071" t="s">
        <v>869</v>
      </c>
      <c r="B47" s="1073">
        <v>20000</v>
      </c>
      <c r="C47" s="1072"/>
      <c r="D47" s="1073">
        <v>-15000</v>
      </c>
      <c r="E47" s="1073">
        <v>-15000</v>
      </c>
      <c r="F47" s="1073">
        <v>20000</v>
      </c>
      <c r="G47" s="1072"/>
    </row>
    <row r="48" spans="1:7">
      <c r="A48" s="1074">
        <v>1600</v>
      </c>
      <c r="B48" s="1075">
        <v>35000</v>
      </c>
      <c r="C48" s="1076"/>
      <c r="D48" s="1077">
        <v>-15000</v>
      </c>
      <c r="E48" s="1078"/>
      <c r="F48" s="1075">
        <v>20000</v>
      </c>
      <c r="G48" s="1076"/>
    </row>
    <row r="49" spans="1:7">
      <c r="A49" s="1074">
        <v>1610</v>
      </c>
      <c r="B49" s="1075">
        <v>35000</v>
      </c>
      <c r="C49" s="1076"/>
      <c r="D49" s="1077">
        <v>-15000</v>
      </c>
      <c r="E49" s="1078"/>
      <c r="F49" s="1075">
        <v>20000</v>
      </c>
      <c r="G49" s="1076"/>
    </row>
    <row r="50" spans="1:7">
      <c r="A50" s="1074">
        <v>1612</v>
      </c>
      <c r="B50" s="1075">
        <v>35000</v>
      </c>
      <c r="C50" s="1076"/>
      <c r="D50" s="1077">
        <v>-15000</v>
      </c>
      <c r="E50" s="1078"/>
      <c r="F50" s="1075">
        <v>20000</v>
      </c>
      <c r="G50" s="1076"/>
    </row>
    <row r="51" spans="1:7">
      <c r="A51" s="1074">
        <v>3300</v>
      </c>
      <c r="B51" s="1076"/>
      <c r="C51" s="1075">
        <v>15000</v>
      </c>
      <c r="D51" s="1078"/>
      <c r="E51" s="1077">
        <v>-15000</v>
      </c>
      <c r="F51" s="1076"/>
      <c r="G51" s="1076"/>
    </row>
    <row r="52" spans="1:7" ht="13.5" thickBot="1">
      <c r="A52" s="1074">
        <v>3310</v>
      </c>
      <c r="B52" s="1076"/>
      <c r="C52" s="1075">
        <v>15000</v>
      </c>
      <c r="D52" s="1078"/>
      <c r="E52" s="1077">
        <v>-15000</v>
      </c>
      <c r="F52" s="1076"/>
      <c r="G52" s="1076"/>
    </row>
    <row r="53" spans="1:7">
      <c r="A53" s="1071" t="s">
        <v>870</v>
      </c>
      <c r="B53" s="1072"/>
      <c r="C53" s="1084">
        <v>32579643.300000001</v>
      </c>
      <c r="D53" s="1082">
        <v>-1212259.24</v>
      </c>
      <c r="E53" s="1082">
        <v>-1212259.24</v>
      </c>
      <c r="F53" s="1072"/>
      <c r="G53" s="1084">
        <v>32579643.300000001</v>
      </c>
    </row>
    <row r="54" spans="1:7">
      <c r="A54" s="1074">
        <v>1200</v>
      </c>
      <c r="B54" s="1083">
        <v>1212259.24</v>
      </c>
      <c r="C54" s="1076"/>
      <c r="D54" s="1085">
        <v>-1212259.24</v>
      </c>
      <c r="E54" s="1078"/>
      <c r="F54" s="1076"/>
      <c r="G54" s="1076"/>
    </row>
    <row r="55" spans="1:7">
      <c r="A55" s="1074">
        <v>1210</v>
      </c>
      <c r="B55" s="1083">
        <v>1212259.24</v>
      </c>
      <c r="C55" s="1076"/>
      <c r="D55" s="1085">
        <v>-1212259.24</v>
      </c>
      <c r="E55" s="1078"/>
      <c r="F55" s="1076"/>
      <c r="G55" s="1076"/>
    </row>
    <row r="56" spans="1:7">
      <c r="A56" s="1074">
        <v>3300</v>
      </c>
      <c r="B56" s="1076"/>
      <c r="C56" s="1083">
        <v>33791902.539999999</v>
      </c>
      <c r="D56" s="1078"/>
      <c r="E56" s="1085">
        <v>-1212259.24</v>
      </c>
      <c r="F56" s="1076"/>
      <c r="G56" s="1086">
        <v>32579643.300000001</v>
      </c>
    </row>
    <row r="57" spans="1:7" ht="13.5" thickBot="1">
      <c r="A57" s="1074">
        <v>3310</v>
      </c>
      <c r="B57" s="1076"/>
      <c r="C57" s="1083">
        <v>33791902.539999999</v>
      </c>
      <c r="D57" s="1078"/>
      <c r="E57" s="1085">
        <v>-1212259.24</v>
      </c>
      <c r="F57" s="1076"/>
      <c r="G57" s="1086">
        <v>32579643.300000001</v>
      </c>
    </row>
    <row r="58" spans="1:7">
      <c r="A58" s="1071" t="s">
        <v>871</v>
      </c>
      <c r="B58" s="1073">
        <v>165183060</v>
      </c>
      <c r="C58" s="1072"/>
      <c r="D58" s="1073">
        <v>-55063320</v>
      </c>
      <c r="E58" s="1073">
        <v>-55063320</v>
      </c>
      <c r="F58" s="1073">
        <v>165183060</v>
      </c>
      <c r="G58" s="1072"/>
    </row>
    <row r="59" spans="1:7">
      <c r="A59" s="1074">
        <v>1600</v>
      </c>
      <c r="B59" s="1075">
        <v>220246380</v>
      </c>
      <c r="C59" s="1076"/>
      <c r="D59" s="1077">
        <v>-55063320</v>
      </c>
      <c r="E59" s="1078"/>
      <c r="F59" s="1075">
        <v>165183060</v>
      </c>
      <c r="G59" s="1076"/>
    </row>
    <row r="60" spans="1:7">
      <c r="A60" s="1074">
        <v>1610</v>
      </c>
      <c r="B60" s="1075">
        <v>220246380</v>
      </c>
      <c r="C60" s="1076"/>
      <c r="D60" s="1077">
        <v>-55063320</v>
      </c>
      <c r="E60" s="1078"/>
      <c r="F60" s="1075">
        <v>165183060</v>
      </c>
      <c r="G60" s="1076"/>
    </row>
    <row r="61" spans="1:7">
      <c r="A61" s="1074">
        <v>1611</v>
      </c>
      <c r="B61" s="1075">
        <v>220246380</v>
      </c>
      <c r="C61" s="1076"/>
      <c r="D61" s="1077">
        <v>-55063320</v>
      </c>
      <c r="E61" s="1078"/>
      <c r="F61" s="1075">
        <v>165183060</v>
      </c>
      <c r="G61" s="1076"/>
    </row>
    <row r="62" spans="1:7">
      <c r="A62" s="1074">
        <v>3300</v>
      </c>
      <c r="B62" s="1076"/>
      <c r="C62" s="1075">
        <v>55063320</v>
      </c>
      <c r="D62" s="1078"/>
      <c r="E62" s="1077">
        <v>-55063320</v>
      </c>
      <c r="F62" s="1076"/>
      <c r="G62" s="1076"/>
    </row>
    <row r="63" spans="1:7" ht="13.5" thickBot="1">
      <c r="A63" s="1074">
        <v>3310</v>
      </c>
      <c r="B63" s="1076"/>
      <c r="C63" s="1075">
        <v>55063320</v>
      </c>
      <c r="D63" s="1078"/>
      <c r="E63" s="1077">
        <v>-55063320</v>
      </c>
      <c r="F63" s="1076"/>
      <c r="G63" s="1076"/>
    </row>
    <row r="64" spans="1:7">
      <c r="A64" s="1071" t="s">
        <v>872</v>
      </c>
      <c r="B64" s="1072"/>
      <c r="C64" s="1082">
        <v>17035452.329999998</v>
      </c>
      <c r="D64" s="1084">
        <v>-443132.4</v>
      </c>
      <c r="E64" s="1084">
        <v>-443132.4</v>
      </c>
      <c r="F64" s="1072"/>
      <c r="G64" s="1082">
        <v>17035452.329999998</v>
      </c>
    </row>
    <row r="65" spans="1:7">
      <c r="A65" s="1074">
        <v>1600</v>
      </c>
      <c r="B65" s="1086">
        <v>443132.4</v>
      </c>
      <c r="C65" s="1076"/>
      <c r="D65" s="1087">
        <v>-443132.4</v>
      </c>
      <c r="E65" s="1078"/>
      <c r="F65" s="1076"/>
      <c r="G65" s="1076"/>
    </row>
    <row r="66" spans="1:7">
      <c r="A66" s="1074">
        <v>1610</v>
      </c>
      <c r="B66" s="1086">
        <v>443132.4</v>
      </c>
      <c r="C66" s="1076"/>
      <c r="D66" s="1087">
        <v>-443132.4</v>
      </c>
      <c r="E66" s="1078"/>
      <c r="F66" s="1076"/>
      <c r="G66" s="1076"/>
    </row>
    <row r="67" spans="1:7">
      <c r="A67" s="1074">
        <v>1611</v>
      </c>
      <c r="B67" s="1086">
        <v>443132.4</v>
      </c>
      <c r="C67" s="1076"/>
      <c r="D67" s="1087">
        <v>-443132.4</v>
      </c>
      <c r="E67" s="1078"/>
      <c r="F67" s="1076"/>
      <c r="G67" s="1076"/>
    </row>
    <row r="68" spans="1:7">
      <c r="A68" s="1074">
        <v>3300</v>
      </c>
      <c r="B68" s="1076"/>
      <c r="C68" s="1083">
        <v>17478584.73</v>
      </c>
      <c r="D68" s="1078"/>
      <c r="E68" s="1087">
        <v>-443132.4</v>
      </c>
      <c r="F68" s="1076"/>
      <c r="G68" s="1083">
        <v>17035452.329999998</v>
      </c>
    </row>
    <row r="69" spans="1:7" ht="13.5" thickBot="1">
      <c r="A69" s="1074">
        <v>3310</v>
      </c>
      <c r="B69" s="1076"/>
      <c r="C69" s="1083">
        <v>17478584.73</v>
      </c>
      <c r="D69" s="1078"/>
      <c r="E69" s="1087">
        <v>-443132.4</v>
      </c>
      <c r="F69" s="1076"/>
      <c r="G69" s="1083">
        <v>17035452.329999998</v>
      </c>
    </row>
    <row r="70" spans="1:7">
      <c r="A70" s="1071" t="s">
        <v>485</v>
      </c>
      <c r="B70" s="1072"/>
      <c r="C70" s="1082">
        <v>194843427.33000001</v>
      </c>
      <c r="D70" s="1082">
        <v>-1207245.57</v>
      </c>
      <c r="E70" s="1082">
        <v>-1207245.57</v>
      </c>
      <c r="F70" s="1072"/>
      <c r="G70" s="1082">
        <v>194843427.33000001</v>
      </c>
    </row>
    <row r="71" spans="1:7">
      <c r="A71" s="1074">
        <v>1600</v>
      </c>
      <c r="B71" s="1083">
        <v>1207245.57</v>
      </c>
      <c r="C71" s="1076"/>
      <c r="D71" s="1085">
        <v>-1207245.57</v>
      </c>
      <c r="E71" s="1078"/>
      <c r="F71" s="1076"/>
      <c r="G71" s="1076"/>
    </row>
    <row r="72" spans="1:7">
      <c r="A72" s="1074">
        <v>1610</v>
      </c>
      <c r="B72" s="1083">
        <v>1207245.57</v>
      </c>
      <c r="C72" s="1076"/>
      <c r="D72" s="1085">
        <v>-1207245.57</v>
      </c>
      <c r="E72" s="1078"/>
      <c r="F72" s="1076"/>
      <c r="G72" s="1076"/>
    </row>
    <row r="73" spans="1:7">
      <c r="A73" s="1074">
        <v>1611</v>
      </c>
      <c r="B73" s="1083">
        <v>1207245.57</v>
      </c>
      <c r="C73" s="1076"/>
      <c r="D73" s="1085">
        <v>-1207245.57</v>
      </c>
      <c r="E73" s="1078"/>
      <c r="F73" s="1076"/>
      <c r="G73" s="1076"/>
    </row>
    <row r="74" spans="1:7">
      <c r="A74" s="1074">
        <v>3300</v>
      </c>
      <c r="B74" s="1076"/>
      <c r="C74" s="1086">
        <v>196050672.90000001</v>
      </c>
      <c r="D74" s="1078"/>
      <c r="E74" s="1085">
        <v>-1207245.57</v>
      </c>
      <c r="F74" s="1076"/>
      <c r="G74" s="1083">
        <v>194843427.33000001</v>
      </c>
    </row>
    <row r="75" spans="1:7" ht="13.5" thickBot="1">
      <c r="A75" s="1074">
        <v>3310</v>
      </c>
      <c r="B75" s="1076"/>
      <c r="C75" s="1086">
        <v>196050672.90000001</v>
      </c>
      <c r="D75" s="1078"/>
      <c r="E75" s="1085">
        <v>-1207245.57</v>
      </c>
      <c r="F75" s="1076"/>
      <c r="G75" s="1083">
        <v>194843427.33000001</v>
      </c>
    </row>
    <row r="76" spans="1:7">
      <c r="A76" s="1071" t="s">
        <v>873</v>
      </c>
      <c r="B76" s="1073">
        <v>339968</v>
      </c>
      <c r="C76" s="1072"/>
      <c r="D76" s="1073">
        <v>-3160192</v>
      </c>
      <c r="E76" s="1073">
        <v>-3160192</v>
      </c>
      <c r="F76" s="1073">
        <v>339968</v>
      </c>
      <c r="G76" s="1072"/>
    </row>
    <row r="77" spans="1:7">
      <c r="A77" s="1074">
        <v>1600</v>
      </c>
      <c r="B77" s="1075">
        <v>3500160</v>
      </c>
      <c r="C77" s="1076"/>
      <c r="D77" s="1077">
        <v>-3160192</v>
      </c>
      <c r="E77" s="1078"/>
      <c r="F77" s="1075">
        <v>339968</v>
      </c>
      <c r="G77" s="1076"/>
    </row>
    <row r="78" spans="1:7">
      <c r="A78" s="1074">
        <v>1610</v>
      </c>
      <c r="B78" s="1075">
        <v>3500160</v>
      </c>
      <c r="C78" s="1076"/>
      <c r="D78" s="1077">
        <v>-3160192</v>
      </c>
      <c r="E78" s="1078"/>
      <c r="F78" s="1075">
        <v>339968</v>
      </c>
      <c r="G78" s="1076"/>
    </row>
    <row r="79" spans="1:7">
      <c r="A79" s="1074">
        <v>1612</v>
      </c>
      <c r="B79" s="1075">
        <v>3500160</v>
      </c>
      <c r="C79" s="1076"/>
      <c r="D79" s="1077">
        <v>-3160192</v>
      </c>
      <c r="E79" s="1078"/>
      <c r="F79" s="1075">
        <v>339968</v>
      </c>
      <c r="G79" s="1076"/>
    </row>
    <row r="80" spans="1:7">
      <c r="A80" s="1074">
        <v>3300</v>
      </c>
      <c r="B80" s="1076"/>
      <c r="C80" s="1075">
        <v>3160192</v>
      </c>
      <c r="D80" s="1078"/>
      <c r="E80" s="1077">
        <v>-3160192</v>
      </c>
      <c r="F80" s="1076"/>
      <c r="G80" s="1076"/>
    </row>
    <row r="81" spans="1:7" ht="13.5" thickBot="1">
      <c r="A81" s="1074">
        <v>3310</v>
      </c>
      <c r="B81" s="1076"/>
      <c r="C81" s="1075">
        <v>3160192</v>
      </c>
      <c r="D81" s="1078"/>
      <c r="E81" s="1077">
        <v>-3160192</v>
      </c>
      <c r="F81" s="1076"/>
      <c r="G81" s="1076"/>
    </row>
    <row r="82" spans="1:7">
      <c r="A82" s="1071" t="s">
        <v>874</v>
      </c>
      <c r="B82" s="1072"/>
      <c r="C82" s="1072"/>
      <c r="D82" s="1072"/>
      <c r="E82" s="1072"/>
      <c r="F82" s="1072"/>
      <c r="G82" s="1072"/>
    </row>
    <row r="83" spans="1:7">
      <c r="A83" s="1074">
        <v>1600</v>
      </c>
      <c r="B83" s="1076"/>
      <c r="C83" s="1075">
        <v>1892446</v>
      </c>
      <c r="D83" s="1078"/>
      <c r="E83" s="1078"/>
      <c r="F83" s="1076"/>
      <c r="G83" s="1075">
        <v>1892446</v>
      </c>
    </row>
    <row r="84" spans="1:7">
      <c r="A84" s="1074">
        <v>1610</v>
      </c>
      <c r="B84" s="1076"/>
      <c r="C84" s="1075">
        <v>1892446</v>
      </c>
      <c r="D84" s="1078"/>
      <c r="E84" s="1078"/>
      <c r="F84" s="1076"/>
      <c r="G84" s="1075">
        <v>1892446</v>
      </c>
    </row>
    <row r="85" spans="1:7">
      <c r="A85" s="1074">
        <v>1612</v>
      </c>
      <c r="B85" s="1076"/>
      <c r="C85" s="1075">
        <v>1892446</v>
      </c>
      <c r="D85" s="1078"/>
      <c r="E85" s="1078"/>
      <c r="F85" s="1076"/>
      <c r="G85" s="1075">
        <v>1892446</v>
      </c>
    </row>
    <row r="86" spans="1:7">
      <c r="A86" s="1074">
        <v>3300</v>
      </c>
      <c r="B86" s="1075">
        <v>1892446</v>
      </c>
      <c r="C86" s="1076"/>
      <c r="D86" s="1078"/>
      <c r="E86" s="1078"/>
      <c r="F86" s="1075">
        <v>1892446</v>
      </c>
      <c r="G86" s="1076"/>
    </row>
    <row r="87" spans="1:7" ht="13.5" thickBot="1">
      <c r="A87" s="1074">
        <v>3310</v>
      </c>
      <c r="B87" s="1075">
        <v>1892446</v>
      </c>
      <c r="C87" s="1076"/>
      <c r="D87" s="1078"/>
      <c r="E87" s="1078"/>
      <c r="F87" s="1075">
        <v>1892446</v>
      </c>
      <c r="G87" s="1076"/>
    </row>
    <row r="88" spans="1:7">
      <c r="A88" s="1071" t="s">
        <v>875</v>
      </c>
      <c r="B88" s="1073">
        <v>670000</v>
      </c>
      <c r="C88" s="1072"/>
      <c r="D88" s="1073">
        <v>-130000</v>
      </c>
      <c r="E88" s="1073">
        <v>-130000</v>
      </c>
      <c r="F88" s="1073">
        <v>670000</v>
      </c>
      <c r="G88" s="1072"/>
    </row>
    <row r="89" spans="1:7">
      <c r="A89" s="1074">
        <v>1600</v>
      </c>
      <c r="B89" s="1075">
        <v>800000</v>
      </c>
      <c r="C89" s="1076"/>
      <c r="D89" s="1077">
        <v>-130000</v>
      </c>
      <c r="E89" s="1078"/>
      <c r="F89" s="1075">
        <v>670000</v>
      </c>
      <c r="G89" s="1076"/>
    </row>
    <row r="90" spans="1:7">
      <c r="A90" s="1074">
        <v>1610</v>
      </c>
      <c r="B90" s="1075">
        <v>800000</v>
      </c>
      <c r="C90" s="1076"/>
      <c r="D90" s="1077">
        <v>-130000</v>
      </c>
      <c r="E90" s="1078"/>
      <c r="F90" s="1075">
        <v>670000</v>
      </c>
      <c r="G90" s="1076"/>
    </row>
    <row r="91" spans="1:7">
      <c r="A91" s="1074">
        <v>1612</v>
      </c>
      <c r="B91" s="1075">
        <v>800000</v>
      </c>
      <c r="C91" s="1076"/>
      <c r="D91" s="1077">
        <v>-130000</v>
      </c>
      <c r="E91" s="1078"/>
      <c r="F91" s="1075">
        <v>670000</v>
      </c>
      <c r="G91" s="1076"/>
    </row>
    <row r="92" spans="1:7">
      <c r="A92" s="1074">
        <v>3300</v>
      </c>
      <c r="B92" s="1076"/>
      <c r="C92" s="1075">
        <v>130000</v>
      </c>
      <c r="D92" s="1078"/>
      <c r="E92" s="1077">
        <v>-130000</v>
      </c>
      <c r="F92" s="1076"/>
      <c r="G92" s="1076"/>
    </row>
    <row r="93" spans="1:7" ht="13.5" thickBot="1">
      <c r="A93" s="1074">
        <v>3310</v>
      </c>
      <c r="B93" s="1076"/>
      <c r="C93" s="1075">
        <v>130000</v>
      </c>
      <c r="D93" s="1078"/>
      <c r="E93" s="1077">
        <v>-130000</v>
      </c>
      <c r="F93" s="1076"/>
      <c r="G93" s="1076"/>
    </row>
    <row r="94" spans="1:7">
      <c r="A94" s="1071" t="s">
        <v>876</v>
      </c>
      <c r="B94" s="1082">
        <v>138100.01</v>
      </c>
      <c r="C94" s="1072"/>
      <c r="D94" s="1073">
        <v>-7600</v>
      </c>
      <c r="E94" s="1073">
        <v>-7600</v>
      </c>
      <c r="F94" s="1082">
        <v>138100.01</v>
      </c>
      <c r="G94" s="1072"/>
    </row>
    <row r="95" spans="1:7">
      <c r="A95" s="1074">
        <v>1600</v>
      </c>
      <c r="B95" s="1083">
        <v>145700.01</v>
      </c>
      <c r="C95" s="1076"/>
      <c r="D95" s="1077">
        <v>-7600</v>
      </c>
      <c r="E95" s="1078"/>
      <c r="F95" s="1083">
        <v>138100.01</v>
      </c>
      <c r="G95" s="1076"/>
    </row>
    <row r="96" spans="1:7">
      <c r="A96" s="1074">
        <v>1610</v>
      </c>
      <c r="B96" s="1083">
        <v>145700.01</v>
      </c>
      <c r="C96" s="1076"/>
      <c r="D96" s="1077">
        <v>-7600</v>
      </c>
      <c r="E96" s="1078"/>
      <c r="F96" s="1083">
        <v>138100.01</v>
      </c>
      <c r="G96" s="1076"/>
    </row>
    <row r="97" spans="1:7">
      <c r="A97" s="1074">
        <v>1612</v>
      </c>
      <c r="B97" s="1083">
        <v>145700.01</v>
      </c>
      <c r="C97" s="1076"/>
      <c r="D97" s="1077">
        <v>-7600</v>
      </c>
      <c r="E97" s="1078"/>
      <c r="F97" s="1083">
        <v>138100.01</v>
      </c>
      <c r="G97" s="1076"/>
    </row>
    <row r="98" spans="1:7">
      <c r="A98" s="1074">
        <v>3300</v>
      </c>
      <c r="B98" s="1076"/>
      <c r="C98" s="1075">
        <v>7600</v>
      </c>
      <c r="D98" s="1078"/>
      <c r="E98" s="1077">
        <v>-7600</v>
      </c>
      <c r="F98" s="1076"/>
      <c r="G98" s="1076"/>
    </row>
    <row r="99" spans="1:7" ht="13.5" thickBot="1">
      <c r="A99" s="1074">
        <v>3310</v>
      </c>
      <c r="B99" s="1076"/>
      <c r="C99" s="1075">
        <v>7600</v>
      </c>
      <c r="D99" s="1078"/>
      <c r="E99" s="1077">
        <v>-7600</v>
      </c>
      <c r="F99" s="1076"/>
      <c r="G99" s="1076"/>
    </row>
    <row r="100" spans="1:7">
      <c r="A100" s="1071" t="s">
        <v>877</v>
      </c>
      <c r="B100" s="1072"/>
      <c r="C100" s="1073">
        <v>773800</v>
      </c>
      <c r="D100" s="1073">
        <v>-23760</v>
      </c>
      <c r="E100" s="1073">
        <v>-23760</v>
      </c>
      <c r="F100" s="1072"/>
      <c r="G100" s="1073">
        <v>773800</v>
      </c>
    </row>
    <row r="101" spans="1:7">
      <c r="A101" s="1074">
        <v>1200</v>
      </c>
      <c r="B101" s="1075">
        <v>9680</v>
      </c>
      <c r="C101" s="1076"/>
      <c r="D101" s="1077">
        <v>-9680</v>
      </c>
      <c r="E101" s="1078"/>
      <c r="F101" s="1076"/>
      <c r="G101" s="1076"/>
    </row>
    <row r="102" spans="1:7">
      <c r="A102" s="1074">
        <v>1280</v>
      </c>
      <c r="B102" s="1075">
        <v>9680</v>
      </c>
      <c r="C102" s="1076"/>
      <c r="D102" s="1077">
        <v>-9680</v>
      </c>
      <c r="E102" s="1078"/>
      <c r="F102" s="1076"/>
      <c r="G102" s="1076"/>
    </row>
    <row r="103" spans="1:7">
      <c r="A103" s="1074">
        <v>1600</v>
      </c>
      <c r="B103" s="1075">
        <v>14080</v>
      </c>
      <c r="C103" s="1076"/>
      <c r="D103" s="1077">
        <v>-14080</v>
      </c>
      <c r="E103" s="1078"/>
      <c r="F103" s="1076"/>
      <c r="G103" s="1076"/>
    </row>
    <row r="104" spans="1:7">
      <c r="A104" s="1074">
        <v>1610</v>
      </c>
      <c r="B104" s="1075">
        <v>14080</v>
      </c>
      <c r="C104" s="1076"/>
      <c r="D104" s="1077">
        <v>-14080</v>
      </c>
      <c r="E104" s="1078"/>
      <c r="F104" s="1076"/>
      <c r="G104" s="1076"/>
    </row>
    <row r="105" spans="1:7">
      <c r="A105" s="1074">
        <v>1612</v>
      </c>
      <c r="B105" s="1075">
        <v>14080</v>
      </c>
      <c r="C105" s="1076"/>
      <c r="D105" s="1077">
        <v>-14080</v>
      </c>
      <c r="E105" s="1078"/>
      <c r="F105" s="1076"/>
      <c r="G105" s="1076"/>
    </row>
    <row r="106" spans="1:7">
      <c r="A106" s="1074">
        <v>3300</v>
      </c>
      <c r="B106" s="1076"/>
      <c r="C106" s="1075">
        <v>797560</v>
      </c>
      <c r="D106" s="1078"/>
      <c r="E106" s="1077">
        <v>-23760</v>
      </c>
      <c r="F106" s="1076"/>
      <c r="G106" s="1075">
        <v>773800</v>
      </c>
    </row>
    <row r="107" spans="1:7" ht="13.5" thickBot="1">
      <c r="A107" s="1074">
        <v>3310</v>
      </c>
      <c r="B107" s="1076"/>
      <c r="C107" s="1075">
        <v>797560</v>
      </c>
      <c r="D107" s="1078"/>
      <c r="E107" s="1077">
        <v>-23760</v>
      </c>
      <c r="F107" s="1076"/>
      <c r="G107" s="1075">
        <v>773800</v>
      </c>
    </row>
    <row r="108" spans="1:7">
      <c r="A108" s="1071" t="s">
        <v>878</v>
      </c>
      <c r="B108" s="1082">
        <v>13994605.83</v>
      </c>
      <c r="C108" s="1072"/>
      <c r="D108" s="1073">
        <v>-476184</v>
      </c>
      <c r="E108" s="1073">
        <v>-476184</v>
      </c>
      <c r="F108" s="1082">
        <v>13994605.83</v>
      </c>
      <c r="G108" s="1072"/>
    </row>
    <row r="109" spans="1:7">
      <c r="A109" s="1074">
        <v>1300</v>
      </c>
      <c r="B109" s="1083">
        <v>14470789.83</v>
      </c>
      <c r="C109" s="1076"/>
      <c r="D109" s="1077">
        <v>-476184</v>
      </c>
      <c r="E109" s="1078"/>
      <c r="F109" s="1083">
        <v>13994605.83</v>
      </c>
      <c r="G109" s="1076"/>
    </row>
    <row r="110" spans="1:7">
      <c r="A110" s="1074">
        <v>1310</v>
      </c>
      <c r="B110" s="1083">
        <v>14470789.83</v>
      </c>
      <c r="C110" s="1076"/>
      <c r="D110" s="1077">
        <v>-476184</v>
      </c>
      <c r="E110" s="1078"/>
      <c r="F110" s="1083">
        <v>13994605.83</v>
      </c>
      <c r="G110" s="1076"/>
    </row>
    <row r="111" spans="1:7">
      <c r="A111" s="1074">
        <v>3300</v>
      </c>
      <c r="B111" s="1076"/>
      <c r="C111" s="1075">
        <v>476184</v>
      </c>
      <c r="D111" s="1078"/>
      <c r="E111" s="1077">
        <v>-476184</v>
      </c>
      <c r="F111" s="1076"/>
      <c r="G111" s="1076"/>
    </row>
    <row r="112" spans="1:7" ht="13.5" thickBot="1">
      <c r="A112" s="1074">
        <v>3310</v>
      </c>
      <c r="B112" s="1076"/>
      <c r="C112" s="1075">
        <v>476184</v>
      </c>
      <c r="D112" s="1078"/>
      <c r="E112" s="1077">
        <v>-476184</v>
      </c>
      <c r="F112" s="1076"/>
      <c r="G112" s="1076"/>
    </row>
    <row r="113" spans="1:7">
      <c r="A113" s="1071" t="s">
        <v>879</v>
      </c>
      <c r="B113" s="1082">
        <v>3522367.14</v>
      </c>
      <c r="C113" s="1072"/>
      <c r="D113" s="1082">
        <v>-564351.27</v>
      </c>
      <c r="E113" s="1082">
        <v>-564351.27</v>
      </c>
      <c r="F113" s="1082">
        <v>3522367.14</v>
      </c>
      <c r="G113" s="1072"/>
    </row>
    <row r="114" spans="1:7">
      <c r="A114" s="1074">
        <v>1200</v>
      </c>
      <c r="B114" s="1083">
        <v>4086718.41</v>
      </c>
      <c r="C114" s="1076"/>
      <c r="D114" s="1085">
        <v>-564351.27</v>
      </c>
      <c r="E114" s="1078"/>
      <c r="F114" s="1083">
        <v>3522367.14</v>
      </c>
      <c r="G114" s="1076"/>
    </row>
    <row r="115" spans="1:7">
      <c r="A115" s="1074">
        <v>1210</v>
      </c>
      <c r="B115" s="1083">
        <v>4086718.41</v>
      </c>
      <c r="C115" s="1076"/>
      <c r="D115" s="1085">
        <v>-564351.27</v>
      </c>
      <c r="E115" s="1078"/>
      <c r="F115" s="1083">
        <v>3522367.14</v>
      </c>
      <c r="G115" s="1076"/>
    </row>
    <row r="116" spans="1:7">
      <c r="A116" s="1074">
        <v>3300</v>
      </c>
      <c r="B116" s="1076"/>
      <c r="C116" s="1083">
        <v>564351.27</v>
      </c>
      <c r="D116" s="1078"/>
      <c r="E116" s="1085">
        <v>-564351.27</v>
      </c>
      <c r="F116" s="1076"/>
      <c r="G116" s="1076"/>
    </row>
    <row r="117" spans="1:7" ht="13.5" thickBot="1">
      <c r="A117" s="1074">
        <v>3310</v>
      </c>
      <c r="B117" s="1076"/>
      <c r="C117" s="1083">
        <v>564351.27</v>
      </c>
      <c r="D117" s="1078"/>
      <c r="E117" s="1085">
        <v>-564351.27</v>
      </c>
      <c r="F117" s="1076"/>
      <c r="G117" s="1076"/>
    </row>
    <row r="118" spans="1:7">
      <c r="A118" s="1071" t="s">
        <v>880</v>
      </c>
      <c r="B118" s="1072"/>
      <c r="C118" s="1082">
        <v>143293209.86000001</v>
      </c>
      <c r="D118" s="1082">
        <v>-58893760.25</v>
      </c>
      <c r="E118" s="1082">
        <v>-58893760.25</v>
      </c>
      <c r="F118" s="1072"/>
      <c r="G118" s="1082">
        <v>143293209.86000001</v>
      </c>
    </row>
    <row r="119" spans="1:7">
      <c r="A119" s="1074">
        <v>1200</v>
      </c>
      <c r="B119" s="1075">
        <v>843051</v>
      </c>
      <c r="C119" s="1076"/>
      <c r="D119" s="1077">
        <v>-843051</v>
      </c>
      <c r="E119" s="1078"/>
      <c r="F119" s="1076"/>
      <c r="G119" s="1076"/>
    </row>
    <row r="120" spans="1:7">
      <c r="A120" s="1074">
        <v>1210</v>
      </c>
      <c r="B120" s="1075">
        <v>23331</v>
      </c>
      <c r="C120" s="1076"/>
      <c r="D120" s="1077">
        <v>-23331</v>
      </c>
      <c r="E120" s="1078"/>
      <c r="F120" s="1076"/>
      <c r="G120" s="1076"/>
    </row>
    <row r="121" spans="1:7">
      <c r="A121" s="1074">
        <v>1280</v>
      </c>
      <c r="B121" s="1075">
        <v>819720</v>
      </c>
      <c r="C121" s="1076"/>
      <c r="D121" s="1077">
        <v>-819720</v>
      </c>
      <c r="E121" s="1078"/>
      <c r="F121" s="1076"/>
      <c r="G121" s="1076"/>
    </row>
    <row r="122" spans="1:7">
      <c r="A122" s="1074">
        <v>1300</v>
      </c>
      <c r="B122" s="1083">
        <v>58050709.25</v>
      </c>
      <c r="C122" s="1076"/>
      <c r="D122" s="1085">
        <v>-58050709.25</v>
      </c>
      <c r="E122" s="1078"/>
      <c r="F122" s="1076"/>
      <c r="G122" s="1076"/>
    </row>
    <row r="123" spans="1:7">
      <c r="A123" s="1074">
        <v>1310</v>
      </c>
      <c r="B123" s="1083">
        <v>58050709.25</v>
      </c>
      <c r="C123" s="1076"/>
      <c r="D123" s="1085">
        <v>-58050709.25</v>
      </c>
      <c r="E123" s="1078"/>
      <c r="F123" s="1076"/>
      <c r="G123" s="1076"/>
    </row>
    <row r="124" spans="1:7">
      <c r="A124" s="1074">
        <v>3300</v>
      </c>
      <c r="B124" s="1076"/>
      <c r="C124" s="1083">
        <v>202186970.11000001</v>
      </c>
      <c r="D124" s="1078"/>
      <c r="E124" s="1085">
        <v>-58893760.25</v>
      </c>
      <c r="F124" s="1076"/>
      <c r="G124" s="1083">
        <v>143293209.86000001</v>
      </c>
    </row>
    <row r="125" spans="1:7" ht="13.5" thickBot="1">
      <c r="A125" s="1074">
        <v>3310</v>
      </c>
      <c r="B125" s="1076"/>
      <c r="C125" s="1083">
        <v>202186970.11000001</v>
      </c>
      <c r="D125" s="1078"/>
      <c r="E125" s="1085">
        <v>-58893760.25</v>
      </c>
      <c r="F125" s="1076"/>
      <c r="G125" s="1083">
        <v>143293209.86000001</v>
      </c>
    </row>
    <row r="126" spans="1:7">
      <c r="A126" s="1071" t="s">
        <v>881</v>
      </c>
      <c r="B126" s="1082">
        <v>2297991.64</v>
      </c>
      <c r="C126" s="1072"/>
      <c r="D126" s="1082">
        <v>-2008.36</v>
      </c>
      <c r="E126" s="1082">
        <v>-2008.36</v>
      </c>
      <c r="F126" s="1082">
        <v>2297991.64</v>
      </c>
      <c r="G126" s="1072"/>
    </row>
    <row r="127" spans="1:7">
      <c r="A127" s="1074">
        <v>1600</v>
      </c>
      <c r="B127" s="1075">
        <v>2300000</v>
      </c>
      <c r="C127" s="1076"/>
      <c r="D127" s="1085">
        <v>-2008.36</v>
      </c>
      <c r="E127" s="1078"/>
      <c r="F127" s="1083">
        <v>2297991.64</v>
      </c>
      <c r="G127" s="1076"/>
    </row>
    <row r="128" spans="1:7">
      <c r="A128" s="1074">
        <v>1610</v>
      </c>
      <c r="B128" s="1075">
        <v>2300000</v>
      </c>
      <c r="C128" s="1076"/>
      <c r="D128" s="1085">
        <v>-2008.36</v>
      </c>
      <c r="E128" s="1078"/>
      <c r="F128" s="1083">
        <v>2297991.64</v>
      </c>
      <c r="G128" s="1076"/>
    </row>
    <row r="129" spans="1:7">
      <c r="A129" s="1074">
        <v>1611</v>
      </c>
      <c r="B129" s="1075">
        <v>2300000</v>
      </c>
      <c r="C129" s="1076"/>
      <c r="D129" s="1085">
        <v>-2008.36</v>
      </c>
      <c r="E129" s="1078"/>
      <c r="F129" s="1083">
        <v>2297991.64</v>
      </c>
      <c r="G129" s="1076"/>
    </row>
    <row r="130" spans="1:7">
      <c r="A130" s="1074">
        <v>3300</v>
      </c>
      <c r="B130" s="1076"/>
      <c r="C130" s="1083">
        <v>2008.36</v>
      </c>
      <c r="D130" s="1078"/>
      <c r="E130" s="1085">
        <v>-2008.36</v>
      </c>
      <c r="F130" s="1076"/>
      <c r="G130" s="1076"/>
    </row>
    <row r="131" spans="1:7" ht="13.5" thickBot="1">
      <c r="A131" s="1074">
        <v>3310</v>
      </c>
      <c r="B131" s="1076"/>
      <c r="C131" s="1083">
        <v>2008.36</v>
      </c>
      <c r="D131" s="1078"/>
      <c r="E131" s="1085">
        <v>-2008.36</v>
      </c>
      <c r="F131" s="1076"/>
      <c r="G131" s="1076"/>
    </row>
    <row r="132" spans="1:7">
      <c r="A132" s="1071" t="s">
        <v>882</v>
      </c>
      <c r="B132" s="1072"/>
      <c r="C132" s="1084">
        <v>1710004.8</v>
      </c>
      <c r="D132" s="1084">
        <v>-11806.2</v>
      </c>
      <c r="E132" s="1084">
        <v>-11806.2</v>
      </c>
      <c r="F132" s="1072"/>
      <c r="G132" s="1084">
        <v>1710004.8</v>
      </c>
    </row>
    <row r="133" spans="1:7">
      <c r="A133" s="1074">
        <v>1600</v>
      </c>
      <c r="B133" s="1086">
        <v>11806.2</v>
      </c>
      <c r="C133" s="1076"/>
      <c r="D133" s="1087">
        <v>-11806.2</v>
      </c>
      <c r="E133" s="1078"/>
      <c r="F133" s="1076"/>
      <c r="G133" s="1076"/>
    </row>
    <row r="134" spans="1:7">
      <c r="A134" s="1074">
        <v>1610</v>
      </c>
      <c r="B134" s="1086">
        <v>11806.2</v>
      </c>
      <c r="C134" s="1076"/>
      <c r="D134" s="1087">
        <v>-11806.2</v>
      </c>
      <c r="E134" s="1078"/>
      <c r="F134" s="1076"/>
      <c r="G134" s="1076"/>
    </row>
    <row r="135" spans="1:7">
      <c r="A135" s="1074">
        <v>1611</v>
      </c>
      <c r="B135" s="1086">
        <v>11806.2</v>
      </c>
      <c r="C135" s="1076"/>
      <c r="D135" s="1087">
        <v>-11806.2</v>
      </c>
      <c r="E135" s="1078"/>
      <c r="F135" s="1076"/>
      <c r="G135" s="1076"/>
    </row>
    <row r="136" spans="1:7">
      <c r="A136" s="1074">
        <v>3300</v>
      </c>
      <c r="B136" s="1076"/>
      <c r="C136" s="1075">
        <v>1721811</v>
      </c>
      <c r="D136" s="1078"/>
      <c r="E136" s="1087">
        <v>-11806.2</v>
      </c>
      <c r="F136" s="1076"/>
      <c r="G136" s="1086">
        <v>1710004.8</v>
      </c>
    </row>
    <row r="137" spans="1:7" ht="13.5" thickBot="1">
      <c r="A137" s="1074">
        <v>3310</v>
      </c>
      <c r="B137" s="1076"/>
      <c r="C137" s="1075">
        <v>1721811</v>
      </c>
      <c r="D137" s="1078"/>
      <c r="E137" s="1087">
        <v>-11806.2</v>
      </c>
      <c r="F137" s="1076"/>
      <c r="G137" s="1086">
        <v>1710004.8</v>
      </c>
    </row>
    <row r="138" spans="1:7">
      <c r="A138" s="1071" t="s">
        <v>883</v>
      </c>
      <c r="B138" s="1082">
        <v>127204818.56999999</v>
      </c>
      <c r="C138" s="1072"/>
      <c r="D138" s="1082">
        <v>-6862100.79</v>
      </c>
      <c r="E138" s="1082">
        <v>-6862100.79</v>
      </c>
      <c r="F138" s="1082">
        <v>127204818.56999999</v>
      </c>
      <c r="G138" s="1072"/>
    </row>
    <row r="139" spans="1:7">
      <c r="A139" s="1074">
        <v>1200</v>
      </c>
      <c r="B139" s="1083">
        <v>134066919.36</v>
      </c>
      <c r="C139" s="1076"/>
      <c r="D139" s="1085">
        <v>-6862100.79</v>
      </c>
      <c r="E139" s="1078"/>
      <c r="F139" s="1083">
        <v>127204818.56999999</v>
      </c>
      <c r="G139" s="1076"/>
    </row>
    <row r="140" spans="1:7">
      <c r="A140" s="1074">
        <v>1280</v>
      </c>
      <c r="B140" s="1083">
        <v>134066919.36</v>
      </c>
      <c r="C140" s="1076"/>
      <c r="D140" s="1085">
        <v>-6862100.79</v>
      </c>
      <c r="E140" s="1078"/>
      <c r="F140" s="1083">
        <v>127204818.56999999</v>
      </c>
      <c r="G140" s="1076"/>
    </row>
    <row r="141" spans="1:7">
      <c r="A141" s="1074">
        <v>3300</v>
      </c>
      <c r="B141" s="1076"/>
      <c r="C141" s="1083">
        <v>6862100.79</v>
      </c>
      <c r="D141" s="1078"/>
      <c r="E141" s="1085">
        <v>-6862100.79</v>
      </c>
      <c r="F141" s="1076"/>
      <c r="G141" s="1076"/>
    </row>
    <row r="142" spans="1:7">
      <c r="A142" s="1074">
        <v>3310</v>
      </c>
      <c r="B142" s="1076"/>
      <c r="C142" s="1083">
        <v>3111164.97</v>
      </c>
      <c r="D142" s="1078"/>
      <c r="E142" s="1085">
        <v>-3111164.97</v>
      </c>
      <c r="F142" s="1076"/>
      <c r="G142" s="1076"/>
    </row>
    <row r="143" spans="1:7" ht="13.5" thickBot="1">
      <c r="A143" s="1074">
        <v>3390</v>
      </c>
      <c r="B143" s="1076"/>
      <c r="C143" s="1083">
        <v>3750935.82</v>
      </c>
      <c r="D143" s="1078"/>
      <c r="E143" s="1085">
        <v>-3750935.82</v>
      </c>
      <c r="F143" s="1076"/>
      <c r="G143" s="1076"/>
    </row>
    <row r="144" spans="1:7">
      <c r="A144" s="1071" t="s">
        <v>454</v>
      </c>
      <c r="B144" s="1072"/>
      <c r="C144" s="1082">
        <v>5106782.1100000003</v>
      </c>
      <c r="D144" s="1082">
        <v>-390302.38</v>
      </c>
      <c r="E144" s="1082">
        <v>-390302.38</v>
      </c>
      <c r="F144" s="1072"/>
      <c r="G144" s="1082">
        <v>5106782.1100000003</v>
      </c>
    </row>
    <row r="145" spans="1:7">
      <c r="A145" s="1074">
        <v>1600</v>
      </c>
      <c r="B145" s="1083">
        <v>390302.38</v>
      </c>
      <c r="C145" s="1076"/>
      <c r="D145" s="1085">
        <v>-390302.38</v>
      </c>
      <c r="E145" s="1078"/>
      <c r="F145" s="1076"/>
      <c r="G145" s="1076"/>
    </row>
    <row r="146" spans="1:7">
      <c r="A146" s="1074">
        <v>1610</v>
      </c>
      <c r="B146" s="1083">
        <v>390302.38</v>
      </c>
      <c r="C146" s="1076"/>
      <c r="D146" s="1085">
        <v>-390302.38</v>
      </c>
      <c r="E146" s="1078"/>
      <c r="F146" s="1076"/>
      <c r="G146" s="1076"/>
    </row>
    <row r="147" spans="1:7">
      <c r="A147" s="1074">
        <v>1611</v>
      </c>
      <c r="B147" s="1083">
        <v>390302.38</v>
      </c>
      <c r="C147" s="1076"/>
      <c r="D147" s="1085">
        <v>-390302.38</v>
      </c>
      <c r="E147" s="1078"/>
      <c r="F147" s="1076"/>
      <c r="G147" s="1076"/>
    </row>
    <row r="148" spans="1:7">
      <c r="A148" s="1074">
        <v>3300</v>
      </c>
      <c r="B148" s="1076"/>
      <c r="C148" s="1083">
        <v>5497084.4900000002</v>
      </c>
      <c r="D148" s="1078"/>
      <c r="E148" s="1085">
        <v>-390302.38</v>
      </c>
      <c r="F148" s="1076"/>
      <c r="G148" s="1083">
        <v>5106782.1100000003</v>
      </c>
    </row>
    <row r="149" spans="1:7" ht="13.5" thickBot="1">
      <c r="A149" s="1074">
        <v>3310</v>
      </c>
      <c r="B149" s="1076"/>
      <c r="C149" s="1083">
        <v>5497084.4900000002</v>
      </c>
      <c r="D149" s="1078"/>
      <c r="E149" s="1085">
        <v>-390302.38</v>
      </c>
      <c r="F149" s="1076"/>
      <c r="G149" s="1083">
        <v>5106782.1100000003</v>
      </c>
    </row>
    <row r="150" spans="1:7">
      <c r="A150" s="1071" t="s">
        <v>884</v>
      </c>
      <c r="B150" s="1072"/>
      <c r="C150" s="1082">
        <v>27886495.390000001</v>
      </c>
      <c r="D150" s="1073">
        <v>-3734280</v>
      </c>
      <c r="E150" s="1073">
        <v>-3734280</v>
      </c>
      <c r="F150" s="1072"/>
      <c r="G150" s="1082">
        <v>27886495.390000001</v>
      </c>
    </row>
    <row r="151" spans="1:7">
      <c r="A151" s="1074">
        <v>1600</v>
      </c>
      <c r="B151" s="1075">
        <v>3734280</v>
      </c>
      <c r="C151" s="1076"/>
      <c r="D151" s="1077">
        <v>-3734280</v>
      </c>
      <c r="E151" s="1078"/>
      <c r="F151" s="1076"/>
      <c r="G151" s="1076"/>
    </row>
    <row r="152" spans="1:7">
      <c r="A152" s="1074">
        <v>1610</v>
      </c>
      <c r="B152" s="1075">
        <v>3734280</v>
      </c>
      <c r="C152" s="1076"/>
      <c r="D152" s="1077">
        <v>-3734280</v>
      </c>
      <c r="E152" s="1078"/>
      <c r="F152" s="1076"/>
      <c r="G152" s="1076"/>
    </row>
    <row r="153" spans="1:7">
      <c r="A153" s="1074">
        <v>1612</v>
      </c>
      <c r="B153" s="1075">
        <v>3734280</v>
      </c>
      <c r="C153" s="1076"/>
      <c r="D153" s="1077">
        <v>-3734280</v>
      </c>
      <c r="E153" s="1078"/>
      <c r="F153" s="1076"/>
      <c r="G153" s="1076"/>
    </row>
    <row r="154" spans="1:7">
      <c r="A154" s="1074">
        <v>3300</v>
      </c>
      <c r="B154" s="1076"/>
      <c r="C154" s="1083">
        <v>31620775.390000001</v>
      </c>
      <c r="D154" s="1078"/>
      <c r="E154" s="1077">
        <v>-3734280</v>
      </c>
      <c r="F154" s="1076"/>
      <c r="G154" s="1083">
        <v>27886495.390000001</v>
      </c>
    </row>
    <row r="155" spans="1:7" ht="13.5" thickBot="1">
      <c r="A155" s="1074">
        <v>3310</v>
      </c>
      <c r="B155" s="1076"/>
      <c r="C155" s="1083">
        <v>31620775.390000001</v>
      </c>
      <c r="D155" s="1078"/>
      <c r="E155" s="1077">
        <v>-3734280</v>
      </c>
      <c r="F155" s="1076"/>
      <c r="G155" s="1083">
        <v>27886495.390000001</v>
      </c>
    </row>
    <row r="156" spans="1:7">
      <c r="A156" s="1071" t="s">
        <v>885</v>
      </c>
      <c r="B156" s="1072"/>
      <c r="C156" s="1073">
        <v>22605334</v>
      </c>
      <c r="D156" s="1084">
        <v>-1856838.8</v>
      </c>
      <c r="E156" s="1084">
        <v>-1856838.8</v>
      </c>
      <c r="F156" s="1072"/>
      <c r="G156" s="1073">
        <v>22605334</v>
      </c>
    </row>
    <row r="157" spans="1:7">
      <c r="A157" s="1074">
        <v>1600</v>
      </c>
      <c r="B157" s="1086">
        <v>1856838.8</v>
      </c>
      <c r="C157" s="1076"/>
      <c r="D157" s="1087">
        <v>-1856838.8</v>
      </c>
      <c r="E157" s="1078"/>
      <c r="F157" s="1076"/>
      <c r="G157" s="1076"/>
    </row>
    <row r="158" spans="1:7">
      <c r="A158" s="1074">
        <v>1610</v>
      </c>
      <c r="B158" s="1086">
        <v>1856838.8</v>
      </c>
      <c r="C158" s="1076"/>
      <c r="D158" s="1087">
        <v>-1856838.8</v>
      </c>
      <c r="E158" s="1078"/>
      <c r="F158" s="1076"/>
      <c r="G158" s="1076"/>
    </row>
    <row r="159" spans="1:7">
      <c r="A159" s="1074">
        <v>1611</v>
      </c>
      <c r="B159" s="1086">
        <v>1856838.8</v>
      </c>
      <c r="C159" s="1076"/>
      <c r="D159" s="1087">
        <v>-1856838.8</v>
      </c>
      <c r="E159" s="1078"/>
      <c r="F159" s="1076"/>
      <c r="G159" s="1076"/>
    </row>
    <row r="160" spans="1:7">
      <c r="A160" s="1074">
        <v>3300</v>
      </c>
      <c r="B160" s="1076"/>
      <c r="C160" s="1086">
        <v>24462172.800000001</v>
      </c>
      <c r="D160" s="1078"/>
      <c r="E160" s="1087">
        <v>-1856838.8</v>
      </c>
      <c r="F160" s="1076"/>
      <c r="G160" s="1075">
        <v>22605334</v>
      </c>
    </row>
    <row r="161" spans="1:7" ht="13.5" thickBot="1">
      <c r="A161" s="1074">
        <v>3310</v>
      </c>
      <c r="B161" s="1076"/>
      <c r="C161" s="1086">
        <v>24462172.800000001</v>
      </c>
      <c r="D161" s="1078"/>
      <c r="E161" s="1087">
        <v>-1856838.8</v>
      </c>
      <c r="F161" s="1076"/>
      <c r="G161" s="1075">
        <v>22605334</v>
      </c>
    </row>
    <row r="162" spans="1:7">
      <c r="A162" s="1071" t="s">
        <v>886</v>
      </c>
      <c r="B162" s="1072"/>
      <c r="C162" s="1082">
        <v>43470836.289999999</v>
      </c>
      <c r="D162" s="1084">
        <v>-121811114.59999999</v>
      </c>
      <c r="E162" s="1084">
        <v>-121811114.59999999</v>
      </c>
      <c r="F162" s="1072"/>
      <c r="G162" s="1082">
        <v>43470836.289999999</v>
      </c>
    </row>
    <row r="163" spans="1:7">
      <c r="A163" s="1074">
        <v>1600</v>
      </c>
      <c r="B163" s="1086">
        <v>121811114.59999999</v>
      </c>
      <c r="C163" s="1076"/>
      <c r="D163" s="1087">
        <v>-121811114.59999999</v>
      </c>
      <c r="E163" s="1078"/>
      <c r="F163" s="1076"/>
      <c r="G163" s="1076"/>
    </row>
    <row r="164" spans="1:7">
      <c r="A164" s="1074">
        <v>1610</v>
      </c>
      <c r="B164" s="1086">
        <v>121811114.59999999</v>
      </c>
      <c r="C164" s="1076"/>
      <c r="D164" s="1087">
        <v>-121811114.59999999</v>
      </c>
      <c r="E164" s="1078"/>
      <c r="F164" s="1076"/>
      <c r="G164" s="1076"/>
    </row>
    <row r="165" spans="1:7">
      <c r="A165" s="1074">
        <v>1611</v>
      </c>
      <c r="B165" s="1086">
        <v>121811114.59999999</v>
      </c>
      <c r="C165" s="1076"/>
      <c r="D165" s="1087">
        <v>-121811114.59999999</v>
      </c>
      <c r="E165" s="1078"/>
      <c r="F165" s="1076"/>
      <c r="G165" s="1076"/>
    </row>
    <row r="166" spans="1:7">
      <c r="A166" s="1074">
        <v>3300</v>
      </c>
      <c r="B166" s="1076"/>
      <c r="C166" s="1083">
        <v>165281950.88999999</v>
      </c>
      <c r="D166" s="1078"/>
      <c r="E166" s="1087">
        <v>-121811114.59999999</v>
      </c>
      <c r="F166" s="1076"/>
      <c r="G166" s="1083">
        <v>43470836.289999999</v>
      </c>
    </row>
    <row r="167" spans="1:7" ht="13.5" thickBot="1">
      <c r="A167" s="1074">
        <v>3310</v>
      </c>
      <c r="B167" s="1076"/>
      <c r="C167" s="1083">
        <v>165281950.88999999</v>
      </c>
      <c r="D167" s="1078"/>
      <c r="E167" s="1087">
        <v>-121811114.59999999</v>
      </c>
      <c r="F167" s="1076"/>
      <c r="G167" s="1083">
        <v>43470836.289999999</v>
      </c>
    </row>
    <row r="168" spans="1:7">
      <c r="A168" s="1071" t="s">
        <v>887</v>
      </c>
      <c r="B168" s="1082">
        <v>16264450.039999999</v>
      </c>
      <c r="C168" s="1072"/>
      <c r="D168" s="1082">
        <v>-44300715.079999998</v>
      </c>
      <c r="E168" s="1082">
        <v>-44300715.079999998</v>
      </c>
      <c r="F168" s="1082">
        <v>16264450.039999999</v>
      </c>
      <c r="G168" s="1072"/>
    </row>
    <row r="169" spans="1:7">
      <c r="A169" s="1074">
        <v>1200</v>
      </c>
      <c r="B169" s="1083">
        <v>1036081.78</v>
      </c>
      <c r="C169" s="1076"/>
      <c r="D169" s="1085">
        <v>-1036081.78</v>
      </c>
      <c r="E169" s="1078"/>
      <c r="F169" s="1076"/>
      <c r="G169" s="1076"/>
    </row>
    <row r="170" spans="1:7">
      <c r="A170" s="1074">
        <v>1210</v>
      </c>
      <c r="B170" s="1083">
        <v>1036081.78</v>
      </c>
      <c r="C170" s="1076"/>
      <c r="D170" s="1085">
        <v>-1036081.78</v>
      </c>
      <c r="E170" s="1078"/>
      <c r="F170" s="1076"/>
      <c r="G170" s="1076"/>
    </row>
    <row r="171" spans="1:7">
      <c r="A171" s="1074">
        <v>1600</v>
      </c>
      <c r="B171" s="1083">
        <v>59529083.340000004</v>
      </c>
      <c r="C171" s="1076"/>
      <c r="D171" s="1087">
        <v>-43264633.299999997</v>
      </c>
      <c r="E171" s="1078"/>
      <c r="F171" s="1083">
        <v>16264450.039999999</v>
      </c>
      <c r="G171" s="1076"/>
    </row>
    <row r="172" spans="1:7">
      <c r="A172" s="1074">
        <v>1610</v>
      </c>
      <c r="B172" s="1083">
        <v>59529083.340000004</v>
      </c>
      <c r="C172" s="1076"/>
      <c r="D172" s="1087">
        <v>-43264633.299999997</v>
      </c>
      <c r="E172" s="1078"/>
      <c r="F172" s="1083">
        <v>16264450.039999999</v>
      </c>
      <c r="G172" s="1076"/>
    </row>
    <row r="173" spans="1:7">
      <c r="A173" s="1074">
        <v>1611</v>
      </c>
      <c r="B173" s="1083">
        <v>59529083.340000004</v>
      </c>
      <c r="C173" s="1076"/>
      <c r="D173" s="1087">
        <v>-43264633.299999997</v>
      </c>
      <c r="E173" s="1078"/>
      <c r="F173" s="1083">
        <v>16264450.039999999</v>
      </c>
      <c r="G173" s="1076"/>
    </row>
    <row r="174" spans="1:7">
      <c r="A174" s="1074">
        <v>3300</v>
      </c>
      <c r="B174" s="1076"/>
      <c r="C174" s="1083">
        <v>44300715.079999998</v>
      </c>
      <c r="D174" s="1078"/>
      <c r="E174" s="1085">
        <v>-44300715.079999998</v>
      </c>
      <c r="F174" s="1076"/>
      <c r="G174" s="1076"/>
    </row>
    <row r="175" spans="1:7" ht="13.5" thickBot="1">
      <c r="A175" s="1074">
        <v>3310</v>
      </c>
      <c r="B175" s="1076"/>
      <c r="C175" s="1083">
        <v>44300715.079999998</v>
      </c>
      <c r="D175" s="1078"/>
      <c r="E175" s="1085">
        <v>-44300715.079999998</v>
      </c>
      <c r="F175" s="1076"/>
      <c r="G175" s="1076"/>
    </row>
    <row r="176" spans="1:7">
      <c r="A176" s="1071" t="s">
        <v>888</v>
      </c>
      <c r="B176" s="1072"/>
      <c r="C176" s="1072"/>
      <c r="D176" s="1073">
        <v>-211580</v>
      </c>
      <c r="E176" s="1073">
        <v>-211580</v>
      </c>
      <c r="F176" s="1072"/>
      <c r="G176" s="1072"/>
    </row>
    <row r="177" spans="1:7">
      <c r="A177" s="1074">
        <v>3300</v>
      </c>
      <c r="B177" s="1075">
        <v>211580</v>
      </c>
      <c r="C177" s="1075">
        <v>211580</v>
      </c>
      <c r="D177" s="1077">
        <v>-211580</v>
      </c>
      <c r="E177" s="1077">
        <v>-211580</v>
      </c>
      <c r="F177" s="1076"/>
      <c r="G177" s="1076"/>
    </row>
    <row r="178" spans="1:7" ht="13.5" thickBot="1">
      <c r="A178" s="1074">
        <v>3310</v>
      </c>
      <c r="B178" s="1075">
        <v>211580</v>
      </c>
      <c r="C178" s="1075">
        <v>211580</v>
      </c>
      <c r="D178" s="1077">
        <v>-211580</v>
      </c>
      <c r="E178" s="1077">
        <v>-211580</v>
      </c>
      <c r="F178" s="1076"/>
      <c r="G178" s="1076"/>
    </row>
    <row r="179" spans="1:7">
      <c r="A179" s="1071" t="s">
        <v>889</v>
      </c>
      <c r="B179" s="1072"/>
      <c r="C179" s="1082">
        <v>145582.56</v>
      </c>
      <c r="D179" s="1082">
        <v>-252962.44</v>
      </c>
      <c r="E179" s="1082">
        <v>-252962.44</v>
      </c>
      <c r="F179" s="1072"/>
      <c r="G179" s="1082">
        <v>145582.56</v>
      </c>
    </row>
    <row r="180" spans="1:7">
      <c r="A180" s="1074">
        <v>1600</v>
      </c>
      <c r="B180" s="1083">
        <v>252962.44</v>
      </c>
      <c r="C180" s="1076"/>
      <c r="D180" s="1085">
        <v>-252962.44</v>
      </c>
      <c r="E180" s="1078"/>
      <c r="F180" s="1076"/>
      <c r="G180" s="1076"/>
    </row>
    <row r="181" spans="1:7">
      <c r="A181" s="1074">
        <v>1610</v>
      </c>
      <c r="B181" s="1083">
        <v>252962.44</v>
      </c>
      <c r="C181" s="1076"/>
      <c r="D181" s="1085">
        <v>-252962.44</v>
      </c>
      <c r="E181" s="1078"/>
      <c r="F181" s="1076"/>
      <c r="G181" s="1076"/>
    </row>
    <row r="182" spans="1:7">
      <c r="A182" s="1074">
        <v>1611</v>
      </c>
      <c r="B182" s="1083">
        <v>252962.44</v>
      </c>
      <c r="C182" s="1076"/>
      <c r="D182" s="1085">
        <v>-252962.44</v>
      </c>
      <c r="E182" s="1078"/>
      <c r="F182" s="1076"/>
      <c r="G182" s="1076"/>
    </row>
    <row r="183" spans="1:7">
      <c r="A183" s="1074">
        <v>3300</v>
      </c>
      <c r="B183" s="1076"/>
      <c r="C183" s="1075">
        <v>398545</v>
      </c>
      <c r="D183" s="1078"/>
      <c r="E183" s="1085">
        <v>-252962.44</v>
      </c>
      <c r="F183" s="1076"/>
      <c r="G183" s="1083">
        <v>145582.56</v>
      </c>
    </row>
    <row r="184" spans="1:7" ht="13.5" thickBot="1">
      <c r="A184" s="1074">
        <v>3310</v>
      </c>
      <c r="B184" s="1076"/>
      <c r="C184" s="1075">
        <v>398545</v>
      </c>
      <c r="D184" s="1078"/>
      <c r="E184" s="1085">
        <v>-252962.44</v>
      </c>
      <c r="F184" s="1076"/>
      <c r="G184" s="1083">
        <v>145582.56</v>
      </c>
    </row>
    <row r="185" spans="1:7">
      <c r="A185" s="1071" t="s">
        <v>890</v>
      </c>
      <c r="B185" s="1082">
        <v>1273547.06</v>
      </c>
      <c r="C185" s="1072"/>
      <c r="D185" s="1082">
        <v>-212051.34</v>
      </c>
      <c r="E185" s="1082">
        <v>-212051.34</v>
      </c>
      <c r="F185" s="1082">
        <v>1273547.06</v>
      </c>
      <c r="G185" s="1072"/>
    </row>
    <row r="186" spans="1:7">
      <c r="A186" s="1074">
        <v>1600</v>
      </c>
      <c r="B186" s="1086">
        <v>1485598.4</v>
      </c>
      <c r="C186" s="1076"/>
      <c r="D186" s="1085">
        <v>-212051.34</v>
      </c>
      <c r="E186" s="1078"/>
      <c r="F186" s="1083">
        <v>1273547.06</v>
      </c>
      <c r="G186" s="1076"/>
    </row>
    <row r="187" spans="1:7">
      <c r="A187" s="1074">
        <v>1610</v>
      </c>
      <c r="B187" s="1086">
        <v>1485598.4</v>
      </c>
      <c r="C187" s="1076"/>
      <c r="D187" s="1085">
        <v>-212051.34</v>
      </c>
      <c r="E187" s="1078"/>
      <c r="F187" s="1083">
        <v>1273547.06</v>
      </c>
      <c r="G187" s="1076"/>
    </row>
    <row r="188" spans="1:7">
      <c r="A188" s="1074">
        <v>1612</v>
      </c>
      <c r="B188" s="1086">
        <v>1485598.4</v>
      </c>
      <c r="C188" s="1076"/>
      <c r="D188" s="1085">
        <v>-212051.34</v>
      </c>
      <c r="E188" s="1078"/>
      <c r="F188" s="1083">
        <v>1273547.06</v>
      </c>
      <c r="G188" s="1076"/>
    </row>
    <row r="189" spans="1:7">
      <c r="A189" s="1074">
        <v>3300</v>
      </c>
      <c r="B189" s="1076"/>
      <c r="C189" s="1083">
        <v>212051.34</v>
      </c>
      <c r="D189" s="1078"/>
      <c r="E189" s="1085">
        <v>-212051.34</v>
      </c>
      <c r="F189" s="1076"/>
      <c r="G189" s="1076"/>
    </row>
    <row r="190" spans="1:7" ht="13.5" thickBot="1">
      <c r="A190" s="1074">
        <v>3310</v>
      </c>
      <c r="B190" s="1076"/>
      <c r="C190" s="1083">
        <v>212051.34</v>
      </c>
      <c r="D190" s="1078"/>
      <c r="E190" s="1085">
        <v>-212051.34</v>
      </c>
      <c r="F190" s="1076"/>
      <c r="G190" s="1076"/>
    </row>
    <row r="191" spans="1:7">
      <c r="A191" s="1071" t="s">
        <v>891</v>
      </c>
      <c r="B191" s="1072"/>
      <c r="C191" s="1082">
        <v>2226770.12</v>
      </c>
      <c r="D191" s="1073">
        <v>-609435</v>
      </c>
      <c r="E191" s="1073">
        <v>-609435</v>
      </c>
      <c r="F191" s="1072"/>
      <c r="G191" s="1082">
        <v>2226770.12</v>
      </c>
    </row>
    <row r="192" spans="1:7">
      <c r="A192" s="1074">
        <v>1600</v>
      </c>
      <c r="B192" s="1075">
        <v>609435</v>
      </c>
      <c r="C192" s="1076"/>
      <c r="D192" s="1077">
        <v>-609435</v>
      </c>
      <c r="E192" s="1078"/>
      <c r="F192" s="1076"/>
      <c r="G192" s="1076"/>
    </row>
    <row r="193" spans="1:7">
      <c r="A193" s="1074">
        <v>1610</v>
      </c>
      <c r="B193" s="1075">
        <v>609435</v>
      </c>
      <c r="C193" s="1076"/>
      <c r="D193" s="1077">
        <v>-609435</v>
      </c>
      <c r="E193" s="1078"/>
      <c r="F193" s="1076"/>
      <c r="G193" s="1076"/>
    </row>
    <row r="194" spans="1:7">
      <c r="A194" s="1074">
        <v>1612</v>
      </c>
      <c r="B194" s="1075">
        <v>609435</v>
      </c>
      <c r="C194" s="1076"/>
      <c r="D194" s="1077">
        <v>-609435</v>
      </c>
      <c r="E194" s="1078"/>
      <c r="F194" s="1076"/>
      <c r="G194" s="1076"/>
    </row>
    <row r="195" spans="1:7">
      <c r="A195" s="1074">
        <v>3300</v>
      </c>
      <c r="B195" s="1076"/>
      <c r="C195" s="1083">
        <v>2836205.12</v>
      </c>
      <c r="D195" s="1078"/>
      <c r="E195" s="1077">
        <v>-609435</v>
      </c>
      <c r="F195" s="1076"/>
      <c r="G195" s="1083">
        <v>2226770.12</v>
      </c>
    </row>
    <row r="196" spans="1:7" ht="13.5" thickBot="1">
      <c r="A196" s="1074">
        <v>3310</v>
      </c>
      <c r="B196" s="1076"/>
      <c r="C196" s="1083">
        <v>2836205.12</v>
      </c>
      <c r="D196" s="1078"/>
      <c r="E196" s="1077">
        <v>-609435</v>
      </c>
      <c r="F196" s="1076"/>
      <c r="G196" s="1083">
        <v>2226770.12</v>
      </c>
    </row>
    <row r="197" spans="1:7">
      <c r="A197" s="1071" t="s">
        <v>892</v>
      </c>
      <c r="B197" s="1084">
        <v>64161115.5</v>
      </c>
      <c r="C197" s="1072"/>
      <c r="D197" s="1084">
        <v>-16055013.5</v>
      </c>
      <c r="E197" s="1084">
        <v>-16055013.5</v>
      </c>
      <c r="F197" s="1084">
        <v>64161115.5</v>
      </c>
      <c r="G197" s="1072"/>
    </row>
    <row r="198" spans="1:7">
      <c r="A198" s="1074">
        <v>1600</v>
      </c>
      <c r="B198" s="1075">
        <v>80216129</v>
      </c>
      <c r="C198" s="1076"/>
      <c r="D198" s="1087">
        <v>-16055013.5</v>
      </c>
      <c r="E198" s="1078"/>
      <c r="F198" s="1086">
        <v>64161115.5</v>
      </c>
      <c r="G198" s="1076"/>
    </row>
    <row r="199" spans="1:7">
      <c r="A199" s="1074">
        <v>1610</v>
      </c>
      <c r="B199" s="1075">
        <v>80216129</v>
      </c>
      <c r="C199" s="1076"/>
      <c r="D199" s="1087">
        <v>-16055013.5</v>
      </c>
      <c r="E199" s="1078"/>
      <c r="F199" s="1086">
        <v>64161115.5</v>
      </c>
      <c r="G199" s="1076"/>
    </row>
    <row r="200" spans="1:7">
      <c r="A200" s="1074">
        <v>1611</v>
      </c>
      <c r="B200" s="1075">
        <v>80216129</v>
      </c>
      <c r="C200" s="1076"/>
      <c r="D200" s="1087">
        <v>-16055013.5</v>
      </c>
      <c r="E200" s="1078"/>
      <c r="F200" s="1086">
        <v>64161115.5</v>
      </c>
      <c r="G200" s="1076"/>
    </row>
    <row r="201" spans="1:7">
      <c r="A201" s="1074">
        <v>3300</v>
      </c>
      <c r="B201" s="1076"/>
      <c r="C201" s="1086">
        <v>16055013.5</v>
      </c>
      <c r="D201" s="1078"/>
      <c r="E201" s="1087">
        <v>-16055013.5</v>
      </c>
      <c r="F201" s="1076"/>
      <c r="G201" s="1076"/>
    </row>
    <row r="202" spans="1:7" ht="13.5" thickBot="1">
      <c r="A202" s="1074">
        <v>3310</v>
      </c>
      <c r="B202" s="1076"/>
      <c r="C202" s="1086">
        <v>16055013.5</v>
      </c>
      <c r="D202" s="1078"/>
      <c r="E202" s="1087">
        <v>-16055013.5</v>
      </c>
      <c r="F202" s="1076"/>
      <c r="G202" s="1076"/>
    </row>
    <row r="203" spans="1:7">
      <c r="A203" s="1071" t="s">
        <v>893</v>
      </c>
      <c r="B203" s="1082">
        <v>25719.96</v>
      </c>
      <c r="C203" s="1072"/>
      <c r="D203" s="1088">
        <v>-51.54</v>
      </c>
      <c r="E203" s="1088">
        <v>-51.54</v>
      </c>
      <c r="F203" s="1082">
        <v>25719.96</v>
      </c>
      <c r="G203" s="1072"/>
    </row>
    <row r="204" spans="1:7">
      <c r="A204" s="1074">
        <v>1200</v>
      </c>
      <c r="B204" s="1086">
        <v>25771.5</v>
      </c>
      <c r="C204" s="1076"/>
      <c r="D204" s="1089">
        <v>-51.54</v>
      </c>
      <c r="E204" s="1078"/>
      <c r="F204" s="1083">
        <v>25719.96</v>
      </c>
      <c r="G204" s="1076"/>
    </row>
    <row r="205" spans="1:7">
      <c r="A205" s="1074">
        <v>1210</v>
      </c>
      <c r="B205" s="1086">
        <v>25771.5</v>
      </c>
      <c r="C205" s="1076"/>
      <c r="D205" s="1089">
        <v>-51.54</v>
      </c>
      <c r="E205" s="1078"/>
      <c r="F205" s="1083">
        <v>25719.96</v>
      </c>
      <c r="G205" s="1076"/>
    </row>
    <row r="206" spans="1:7">
      <c r="A206" s="1074">
        <v>3500</v>
      </c>
      <c r="B206" s="1076"/>
      <c r="C206" s="1090">
        <v>51.54</v>
      </c>
      <c r="D206" s="1078"/>
      <c r="E206" s="1089">
        <v>-51.54</v>
      </c>
      <c r="F206" s="1076"/>
      <c r="G206" s="1076"/>
    </row>
    <row r="207" spans="1:7" ht="13.5" thickBot="1">
      <c r="A207" s="1074">
        <v>3510</v>
      </c>
      <c r="B207" s="1076"/>
      <c r="C207" s="1090">
        <v>51.54</v>
      </c>
      <c r="D207" s="1078"/>
      <c r="E207" s="1089">
        <v>-51.54</v>
      </c>
      <c r="F207" s="1076"/>
      <c r="G207" s="1076"/>
    </row>
    <row r="208" spans="1:7">
      <c r="A208" s="1071" t="s">
        <v>894</v>
      </c>
      <c r="B208" s="1072"/>
      <c r="C208" s="1072"/>
      <c r="D208" s="1072"/>
      <c r="E208" s="1072"/>
      <c r="F208" s="1072"/>
      <c r="G208" s="1072"/>
    </row>
    <row r="209" spans="1:7">
      <c r="A209" s="1074">
        <v>1200</v>
      </c>
      <c r="B209" s="1076"/>
      <c r="C209" s="1083">
        <v>128777.88</v>
      </c>
      <c r="D209" s="1078"/>
      <c r="E209" s="1078"/>
      <c r="F209" s="1076"/>
      <c r="G209" s="1083">
        <v>128777.88</v>
      </c>
    </row>
    <row r="210" spans="1:7">
      <c r="A210" s="1074">
        <v>1280</v>
      </c>
      <c r="B210" s="1076"/>
      <c r="C210" s="1083">
        <v>128777.88</v>
      </c>
      <c r="D210" s="1078"/>
      <c r="E210" s="1078"/>
      <c r="F210" s="1076"/>
      <c r="G210" s="1083">
        <v>128777.88</v>
      </c>
    </row>
    <row r="211" spans="1:7">
      <c r="A211" s="1074">
        <v>3300</v>
      </c>
      <c r="B211" s="1083">
        <v>128777.88</v>
      </c>
      <c r="C211" s="1076"/>
      <c r="D211" s="1078"/>
      <c r="E211" s="1078"/>
      <c r="F211" s="1083">
        <v>128777.88</v>
      </c>
      <c r="G211" s="1076"/>
    </row>
    <row r="212" spans="1:7" ht="13.5" thickBot="1">
      <c r="A212" s="1074">
        <v>3310</v>
      </c>
      <c r="B212" s="1083">
        <v>128777.88</v>
      </c>
      <c r="C212" s="1076"/>
      <c r="D212" s="1078"/>
      <c r="E212" s="1078"/>
      <c r="F212" s="1083">
        <v>128777.88</v>
      </c>
      <c r="G212" s="1076"/>
    </row>
    <row r="213" spans="1:7">
      <c r="A213" s="1071" t="s">
        <v>895</v>
      </c>
      <c r="B213" s="1072"/>
      <c r="C213" s="1073">
        <v>1262000</v>
      </c>
      <c r="D213" s="1073">
        <v>-238000</v>
      </c>
      <c r="E213" s="1073">
        <v>-238000</v>
      </c>
      <c r="F213" s="1072"/>
      <c r="G213" s="1073">
        <v>1262000</v>
      </c>
    </row>
    <row r="214" spans="1:7">
      <c r="A214" s="1074">
        <v>1600</v>
      </c>
      <c r="B214" s="1075">
        <v>238000</v>
      </c>
      <c r="C214" s="1076"/>
      <c r="D214" s="1077">
        <v>-238000</v>
      </c>
      <c r="E214" s="1078"/>
      <c r="F214" s="1076"/>
      <c r="G214" s="1076"/>
    </row>
    <row r="215" spans="1:7">
      <c r="A215" s="1074">
        <v>1610</v>
      </c>
      <c r="B215" s="1075">
        <v>238000</v>
      </c>
      <c r="C215" s="1076"/>
      <c r="D215" s="1077">
        <v>-238000</v>
      </c>
      <c r="E215" s="1078"/>
      <c r="F215" s="1076"/>
      <c r="G215" s="1076"/>
    </row>
    <row r="216" spans="1:7">
      <c r="A216" s="1074">
        <v>1612</v>
      </c>
      <c r="B216" s="1075">
        <v>238000</v>
      </c>
      <c r="C216" s="1076"/>
      <c r="D216" s="1077">
        <v>-238000</v>
      </c>
      <c r="E216" s="1078"/>
      <c r="F216" s="1076"/>
      <c r="G216" s="1076"/>
    </row>
    <row r="217" spans="1:7">
      <c r="A217" s="1074">
        <v>3300</v>
      </c>
      <c r="B217" s="1076"/>
      <c r="C217" s="1075">
        <v>1500000</v>
      </c>
      <c r="D217" s="1078"/>
      <c r="E217" s="1077">
        <v>-238000</v>
      </c>
      <c r="F217" s="1076"/>
      <c r="G217" s="1075">
        <v>1262000</v>
      </c>
    </row>
    <row r="218" spans="1:7" ht="13.5" thickBot="1">
      <c r="A218" s="1074">
        <v>3310</v>
      </c>
      <c r="B218" s="1076"/>
      <c r="C218" s="1075">
        <v>1500000</v>
      </c>
      <c r="D218" s="1078"/>
      <c r="E218" s="1077">
        <v>-238000</v>
      </c>
      <c r="F218" s="1076"/>
      <c r="G218" s="1075">
        <v>1262000</v>
      </c>
    </row>
    <row r="219" spans="1:7">
      <c r="A219" s="1071" t="s">
        <v>896</v>
      </c>
      <c r="B219" s="1072"/>
      <c r="C219" s="1082">
        <v>33750.160000000003</v>
      </c>
      <c r="D219" s="1079">
        <v>-2</v>
      </c>
      <c r="E219" s="1079">
        <v>-2</v>
      </c>
      <c r="F219" s="1072"/>
      <c r="G219" s="1082">
        <v>33750.160000000003</v>
      </c>
    </row>
    <row r="220" spans="1:7">
      <c r="A220" s="1074">
        <v>1600</v>
      </c>
      <c r="B220" s="1081">
        <v>2</v>
      </c>
      <c r="C220" s="1076"/>
      <c r="D220" s="1080">
        <v>-2</v>
      </c>
      <c r="E220" s="1078"/>
      <c r="F220" s="1076"/>
      <c r="G220" s="1076"/>
    </row>
    <row r="221" spans="1:7">
      <c r="A221" s="1074">
        <v>1610</v>
      </c>
      <c r="B221" s="1081">
        <v>2</v>
      </c>
      <c r="C221" s="1076"/>
      <c r="D221" s="1080">
        <v>-2</v>
      </c>
      <c r="E221" s="1078"/>
      <c r="F221" s="1076"/>
      <c r="G221" s="1076"/>
    </row>
    <row r="222" spans="1:7">
      <c r="A222" s="1074">
        <v>1612</v>
      </c>
      <c r="B222" s="1081">
        <v>2</v>
      </c>
      <c r="C222" s="1076"/>
      <c r="D222" s="1080">
        <v>-2</v>
      </c>
      <c r="E222" s="1078"/>
      <c r="F222" s="1076"/>
      <c r="G222" s="1076"/>
    </row>
    <row r="223" spans="1:7">
      <c r="A223" s="1074">
        <v>3300</v>
      </c>
      <c r="B223" s="1076"/>
      <c r="C223" s="1083">
        <v>33752.160000000003</v>
      </c>
      <c r="D223" s="1078"/>
      <c r="E223" s="1080">
        <v>-2</v>
      </c>
      <c r="F223" s="1076"/>
      <c r="G223" s="1083">
        <v>33750.160000000003</v>
      </c>
    </row>
    <row r="224" spans="1:7" ht="13.5" thickBot="1">
      <c r="A224" s="1074">
        <v>3310</v>
      </c>
      <c r="B224" s="1076"/>
      <c r="C224" s="1083">
        <v>33752.160000000003</v>
      </c>
      <c r="D224" s="1078"/>
      <c r="E224" s="1080">
        <v>-2</v>
      </c>
      <c r="F224" s="1076"/>
      <c r="G224" s="1083">
        <v>33750.160000000003</v>
      </c>
    </row>
    <row r="225" spans="1:7">
      <c r="A225" s="1071" t="s">
        <v>897</v>
      </c>
      <c r="B225" s="1072"/>
      <c r="C225" s="1073">
        <v>42500</v>
      </c>
      <c r="D225" s="1072"/>
      <c r="E225" s="1072"/>
      <c r="F225" s="1072"/>
      <c r="G225" s="1073">
        <v>42500</v>
      </c>
    </row>
    <row r="226" spans="1:7">
      <c r="A226" s="1074">
        <v>3300</v>
      </c>
      <c r="B226" s="1075">
        <v>2500</v>
      </c>
      <c r="C226" s="1076"/>
      <c r="D226" s="1078"/>
      <c r="E226" s="1078"/>
      <c r="F226" s="1075">
        <v>2500</v>
      </c>
      <c r="G226" s="1076"/>
    </row>
    <row r="227" spans="1:7">
      <c r="A227" s="1074">
        <v>3310</v>
      </c>
      <c r="B227" s="1075">
        <v>2500</v>
      </c>
      <c r="C227" s="1076"/>
      <c r="D227" s="1078"/>
      <c r="E227" s="1078"/>
      <c r="F227" s="1075">
        <v>2500</v>
      </c>
      <c r="G227" s="1076"/>
    </row>
    <row r="228" spans="1:7">
      <c r="A228" s="1074">
        <v>3500</v>
      </c>
      <c r="B228" s="1076"/>
      <c r="C228" s="1075">
        <v>45000</v>
      </c>
      <c r="D228" s="1078"/>
      <c r="E228" s="1078"/>
      <c r="F228" s="1076"/>
      <c r="G228" s="1075">
        <v>45000</v>
      </c>
    </row>
    <row r="229" spans="1:7" ht="13.5" thickBot="1">
      <c r="A229" s="1074">
        <v>3510</v>
      </c>
      <c r="B229" s="1076"/>
      <c r="C229" s="1075">
        <v>45000</v>
      </c>
      <c r="D229" s="1078"/>
      <c r="E229" s="1078"/>
      <c r="F229" s="1076"/>
      <c r="G229" s="1075">
        <v>45000</v>
      </c>
    </row>
    <row r="230" spans="1:7">
      <c r="A230" s="1071" t="s">
        <v>898</v>
      </c>
      <c r="B230" s="1082">
        <v>25222.04</v>
      </c>
      <c r="C230" s="1072"/>
      <c r="D230" s="1082">
        <v>-56300.36</v>
      </c>
      <c r="E230" s="1082">
        <v>-56300.36</v>
      </c>
      <c r="F230" s="1082">
        <v>25222.04</v>
      </c>
      <c r="G230" s="1072"/>
    </row>
    <row r="231" spans="1:7">
      <c r="A231" s="1074">
        <v>1600</v>
      </c>
      <c r="B231" s="1086">
        <v>81522.399999999994</v>
      </c>
      <c r="C231" s="1076"/>
      <c r="D231" s="1085">
        <v>-56300.36</v>
      </c>
      <c r="E231" s="1078"/>
      <c r="F231" s="1083">
        <v>25222.04</v>
      </c>
      <c r="G231" s="1076"/>
    </row>
    <row r="232" spans="1:7">
      <c r="A232" s="1074">
        <v>1610</v>
      </c>
      <c r="B232" s="1086">
        <v>81522.399999999994</v>
      </c>
      <c r="C232" s="1076"/>
      <c r="D232" s="1085">
        <v>-56300.36</v>
      </c>
      <c r="E232" s="1078"/>
      <c r="F232" s="1083">
        <v>25222.04</v>
      </c>
      <c r="G232" s="1076"/>
    </row>
    <row r="233" spans="1:7">
      <c r="A233" s="1074">
        <v>1612</v>
      </c>
      <c r="B233" s="1086">
        <v>81522.399999999994</v>
      </c>
      <c r="C233" s="1076"/>
      <c r="D233" s="1085">
        <v>-56300.36</v>
      </c>
      <c r="E233" s="1078"/>
      <c r="F233" s="1083">
        <v>25222.04</v>
      </c>
      <c r="G233" s="1076"/>
    </row>
    <row r="234" spans="1:7">
      <c r="A234" s="1074">
        <v>3300</v>
      </c>
      <c r="B234" s="1076"/>
      <c r="C234" s="1083">
        <v>56300.36</v>
      </c>
      <c r="D234" s="1078"/>
      <c r="E234" s="1085">
        <v>-56300.36</v>
      </c>
      <c r="F234" s="1076"/>
      <c r="G234" s="1076"/>
    </row>
    <row r="235" spans="1:7" ht="13.5" thickBot="1">
      <c r="A235" s="1074">
        <v>3310</v>
      </c>
      <c r="B235" s="1076"/>
      <c r="C235" s="1083">
        <v>56300.36</v>
      </c>
      <c r="D235" s="1078"/>
      <c r="E235" s="1085">
        <v>-56300.36</v>
      </c>
      <c r="F235" s="1076"/>
      <c r="G235" s="1076"/>
    </row>
    <row r="236" spans="1:7">
      <c r="A236" s="1071" t="s">
        <v>899</v>
      </c>
      <c r="B236" s="1084">
        <v>189963.2</v>
      </c>
      <c r="C236" s="1072"/>
      <c r="D236" s="1084">
        <v>-189963.2</v>
      </c>
      <c r="E236" s="1084">
        <v>-189963.2</v>
      </c>
      <c r="F236" s="1084">
        <v>189963.2</v>
      </c>
      <c r="G236" s="1072"/>
    </row>
    <row r="237" spans="1:7">
      <c r="A237" s="1074">
        <v>1600</v>
      </c>
      <c r="B237" s="1086">
        <v>379926.4</v>
      </c>
      <c r="C237" s="1076"/>
      <c r="D237" s="1087">
        <v>-189963.2</v>
      </c>
      <c r="E237" s="1078"/>
      <c r="F237" s="1086">
        <v>189963.2</v>
      </c>
      <c r="G237" s="1076"/>
    </row>
    <row r="238" spans="1:7">
      <c r="A238" s="1074">
        <v>1610</v>
      </c>
      <c r="B238" s="1086">
        <v>379926.4</v>
      </c>
      <c r="C238" s="1076"/>
      <c r="D238" s="1087">
        <v>-189963.2</v>
      </c>
      <c r="E238" s="1078"/>
      <c r="F238" s="1086">
        <v>189963.2</v>
      </c>
      <c r="G238" s="1076"/>
    </row>
    <row r="239" spans="1:7">
      <c r="A239" s="1074">
        <v>1612</v>
      </c>
      <c r="B239" s="1086">
        <v>379926.4</v>
      </c>
      <c r="C239" s="1076"/>
      <c r="D239" s="1087">
        <v>-189963.2</v>
      </c>
      <c r="E239" s="1078"/>
      <c r="F239" s="1086">
        <v>189963.2</v>
      </c>
      <c r="G239" s="1076"/>
    </row>
    <row r="240" spans="1:7">
      <c r="A240" s="1074">
        <v>3300</v>
      </c>
      <c r="B240" s="1076"/>
      <c r="C240" s="1086">
        <v>189963.2</v>
      </c>
      <c r="D240" s="1078"/>
      <c r="E240" s="1087">
        <v>-189963.2</v>
      </c>
      <c r="F240" s="1076"/>
      <c r="G240" s="1076"/>
    </row>
    <row r="241" spans="1:7" ht="13.5" thickBot="1">
      <c r="A241" s="1074">
        <v>3310</v>
      </c>
      <c r="B241" s="1076"/>
      <c r="C241" s="1086">
        <v>189963.2</v>
      </c>
      <c r="D241" s="1078"/>
      <c r="E241" s="1087">
        <v>-189963.2</v>
      </c>
      <c r="F241" s="1076"/>
      <c r="G241" s="1076"/>
    </row>
    <row r="242" spans="1:7">
      <c r="A242" s="1071" t="s">
        <v>900</v>
      </c>
      <c r="B242" s="1072"/>
      <c r="C242" s="1082">
        <v>9671776.8699999992</v>
      </c>
      <c r="D242" s="1073">
        <v>-1680000</v>
      </c>
      <c r="E242" s="1073">
        <v>-1680000</v>
      </c>
      <c r="F242" s="1072"/>
      <c r="G242" s="1082">
        <v>9671776.8699999992</v>
      </c>
    </row>
    <row r="243" spans="1:7">
      <c r="A243" s="1074">
        <v>1600</v>
      </c>
      <c r="B243" s="1075">
        <v>1680000</v>
      </c>
      <c r="C243" s="1076"/>
      <c r="D243" s="1077">
        <v>-1680000</v>
      </c>
      <c r="E243" s="1078"/>
      <c r="F243" s="1076"/>
      <c r="G243" s="1076"/>
    </row>
    <row r="244" spans="1:7">
      <c r="A244" s="1074">
        <v>1610</v>
      </c>
      <c r="B244" s="1075">
        <v>1680000</v>
      </c>
      <c r="C244" s="1076"/>
      <c r="D244" s="1077">
        <v>-1680000</v>
      </c>
      <c r="E244" s="1078"/>
      <c r="F244" s="1076"/>
      <c r="G244" s="1076"/>
    </row>
    <row r="245" spans="1:7">
      <c r="A245" s="1074">
        <v>1611</v>
      </c>
      <c r="B245" s="1075">
        <v>1680000</v>
      </c>
      <c r="C245" s="1076"/>
      <c r="D245" s="1077">
        <v>-1680000</v>
      </c>
      <c r="E245" s="1078"/>
      <c r="F245" s="1076"/>
      <c r="G245" s="1076"/>
    </row>
    <row r="246" spans="1:7">
      <c r="A246" s="1074">
        <v>3300</v>
      </c>
      <c r="B246" s="1076"/>
      <c r="C246" s="1083">
        <v>11351776.869999999</v>
      </c>
      <c r="D246" s="1078"/>
      <c r="E246" s="1077">
        <v>-1680000</v>
      </c>
      <c r="F246" s="1076"/>
      <c r="G246" s="1083">
        <v>9671776.8699999992</v>
      </c>
    </row>
    <row r="247" spans="1:7" ht="13.5" thickBot="1">
      <c r="A247" s="1074">
        <v>3310</v>
      </c>
      <c r="B247" s="1076"/>
      <c r="C247" s="1083">
        <v>11351776.869999999</v>
      </c>
      <c r="D247" s="1078"/>
      <c r="E247" s="1077">
        <v>-1680000</v>
      </c>
      <c r="F247" s="1076"/>
      <c r="G247" s="1083">
        <v>9671776.8699999992</v>
      </c>
    </row>
    <row r="248" spans="1:7">
      <c r="A248" s="1071" t="s">
        <v>901</v>
      </c>
      <c r="B248" s="1082">
        <v>49554200.079999998</v>
      </c>
      <c r="C248" s="1072"/>
      <c r="D248" s="1082">
        <v>-3977523.52</v>
      </c>
      <c r="E248" s="1082">
        <v>-3977523.52</v>
      </c>
      <c r="F248" s="1082">
        <v>49554200.079999998</v>
      </c>
      <c r="G248" s="1072"/>
    </row>
    <row r="249" spans="1:7">
      <c r="A249" s="1074">
        <v>1200</v>
      </c>
      <c r="B249" s="1086">
        <v>53531723.600000001</v>
      </c>
      <c r="C249" s="1076"/>
      <c r="D249" s="1085">
        <v>-3977523.52</v>
      </c>
      <c r="E249" s="1078"/>
      <c r="F249" s="1083">
        <v>49554200.079999998</v>
      </c>
      <c r="G249" s="1076"/>
    </row>
    <row r="250" spans="1:7">
      <c r="A250" s="1074">
        <v>1280</v>
      </c>
      <c r="B250" s="1086">
        <v>53531723.600000001</v>
      </c>
      <c r="C250" s="1076"/>
      <c r="D250" s="1085">
        <v>-3977523.52</v>
      </c>
      <c r="E250" s="1078"/>
      <c r="F250" s="1083">
        <v>49554200.079999998</v>
      </c>
      <c r="G250" s="1076"/>
    </row>
    <row r="251" spans="1:7">
      <c r="A251" s="1074">
        <v>3300</v>
      </c>
      <c r="B251" s="1076"/>
      <c r="C251" s="1083">
        <v>3977523.52</v>
      </c>
      <c r="D251" s="1078"/>
      <c r="E251" s="1085">
        <v>-3977523.52</v>
      </c>
      <c r="F251" s="1076"/>
      <c r="G251" s="1076"/>
    </row>
    <row r="252" spans="1:7" ht="13.5" thickBot="1">
      <c r="A252" s="1074">
        <v>3390</v>
      </c>
      <c r="B252" s="1076"/>
      <c r="C252" s="1083">
        <v>3977523.52</v>
      </c>
      <c r="D252" s="1078"/>
      <c r="E252" s="1085">
        <v>-3977523.52</v>
      </c>
      <c r="F252" s="1076"/>
      <c r="G252" s="1076"/>
    </row>
    <row r="253" spans="1:7">
      <c r="A253" s="1071" t="s">
        <v>495</v>
      </c>
      <c r="B253" s="1073">
        <v>13096</v>
      </c>
      <c r="C253" s="1072"/>
      <c r="D253" s="1073">
        <v>-9500</v>
      </c>
      <c r="E253" s="1073">
        <v>-9500</v>
      </c>
      <c r="F253" s="1073">
        <v>13096</v>
      </c>
      <c r="G253" s="1072"/>
    </row>
    <row r="254" spans="1:7">
      <c r="A254" s="1074">
        <v>1600</v>
      </c>
      <c r="B254" s="1075">
        <v>22596</v>
      </c>
      <c r="C254" s="1076"/>
      <c r="D254" s="1077">
        <v>-9500</v>
      </c>
      <c r="E254" s="1078"/>
      <c r="F254" s="1075">
        <v>13096</v>
      </c>
      <c r="G254" s="1076"/>
    </row>
    <row r="255" spans="1:7">
      <c r="A255" s="1074">
        <v>1610</v>
      </c>
      <c r="B255" s="1075">
        <v>22596</v>
      </c>
      <c r="C255" s="1076"/>
      <c r="D255" s="1077">
        <v>-9500</v>
      </c>
      <c r="E255" s="1078"/>
      <c r="F255" s="1075">
        <v>13096</v>
      </c>
      <c r="G255" s="1076"/>
    </row>
    <row r="256" spans="1:7">
      <c r="A256" s="1074">
        <v>1612</v>
      </c>
      <c r="B256" s="1075">
        <v>22596</v>
      </c>
      <c r="C256" s="1076"/>
      <c r="D256" s="1077">
        <v>-9500</v>
      </c>
      <c r="E256" s="1078"/>
      <c r="F256" s="1075">
        <v>13096</v>
      </c>
      <c r="G256" s="1076"/>
    </row>
    <row r="257" spans="1:7">
      <c r="A257" s="1074">
        <v>3500</v>
      </c>
      <c r="B257" s="1076"/>
      <c r="C257" s="1075">
        <v>9500</v>
      </c>
      <c r="D257" s="1078"/>
      <c r="E257" s="1077">
        <v>-9500</v>
      </c>
      <c r="F257" s="1076"/>
      <c r="G257" s="1076"/>
    </row>
    <row r="258" spans="1:7" ht="13.5" thickBot="1">
      <c r="A258" s="1074">
        <v>3510</v>
      </c>
      <c r="B258" s="1076"/>
      <c r="C258" s="1075">
        <v>9500</v>
      </c>
      <c r="D258" s="1078"/>
      <c r="E258" s="1077">
        <v>-9500</v>
      </c>
      <c r="F258" s="1076"/>
      <c r="G258" s="1076"/>
    </row>
    <row r="259" spans="1:7">
      <c r="A259" s="1071" t="s">
        <v>902</v>
      </c>
      <c r="B259" s="1082">
        <v>62880913.039999999</v>
      </c>
      <c r="C259" s="1072"/>
      <c r="D259" s="1073">
        <v>-1644896</v>
      </c>
      <c r="E259" s="1073">
        <v>-1644896</v>
      </c>
      <c r="F259" s="1082">
        <v>62880913.039999999</v>
      </c>
      <c r="G259" s="1072"/>
    </row>
    <row r="260" spans="1:7">
      <c r="A260" s="1074">
        <v>1200</v>
      </c>
      <c r="B260" s="1083">
        <v>64325273.229999997</v>
      </c>
      <c r="C260" s="1076"/>
      <c r="D260" s="1085">
        <v>-1444360.19</v>
      </c>
      <c r="E260" s="1078"/>
      <c r="F260" s="1083">
        <v>62880913.039999999</v>
      </c>
      <c r="G260" s="1076"/>
    </row>
    <row r="261" spans="1:7">
      <c r="A261" s="1074">
        <v>1280</v>
      </c>
      <c r="B261" s="1083">
        <v>64325273.229999997</v>
      </c>
      <c r="C261" s="1076"/>
      <c r="D261" s="1085">
        <v>-1444360.19</v>
      </c>
      <c r="E261" s="1078"/>
      <c r="F261" s="1083">
        <v>62880913.039999999</v>
      </c>
      <c r="G261" s="1076"/>
    </row>
    <row r="262" spans="1:7">
      <c r="A262" s="1074">
        <v>1600</v>
      </c>
      <c r="B262" s="1083">
        <v>200535.81</v>
      </c>
      <c r="C262" s="1076"/>
      <c r="D262" s="1085">
        <v>-200535.81</v>
      </c>
      <c r="E262" s="1078"/>
      <c r="F262" s="1076"/>
      <c r="G262" s="1076"/>
    </row>
    <row r="263" spans="1:7">
      <c r="A263" s="1074">
        <v>1610</v>
      </c>
      <c r="B263" s="1083">
        <v>200535.81</v>
      </c>
      <c r="C263" s="1076"/>
      <c r="D263" s="1085">
        <v>-200535.81</v>
      </c>
      <c r="E263" s="1078"/>
      <c r="F263" s="1076"/>
      <c r="G263" s="1076"/>
    </row>
    <row r="264" spans="1:7">
      <c r="A264" s="1074">
        <v>1612</v>
      </c>
      <c r="B264" s="1083">
        <v>200535.81</v>
      </c>
      <c r="C264" s="1076"/>
      <c r="D264" s="1085">
        <v>-200535.81</v>
      </c>
      <c r="E264" s="1078"/>
      <c r="F264" s="1076"/>
      <c r="G264" s="1076"/>
    </row>
    <row r="265" spans="1:7">
      <c r="A265" s="1074">
        <v>3300</v>
      </c>
      <c r="B265" s="1076"/>
      <c r="C265" s="1075">
        <v>1644896</v>
      </c>
      <c r="D265" s="1078"/>
      <c r="E265" s="1077">
        <v>-1644896</v>
      </c>
      <c r="F265" s="1076"/>
      <c r="G265" s="1076"/>
    </row>
    <row r="266" spans="1:7">
      <c r="A266" s="1074">
        <v>3310</v>
      </c>
      <c r="B266" s="1076"/>
      <c r="C266" s="1083">
        <v>1310822.8500000001</v>
      </c>
      <c r="D266" s="1078"/>
      <c r="E266" s="1085">
        <v>-1310822.8500000001</v>
      </c>
      <c r="F266" s="1076"/>
      <c r="G266" s="1076"/>
    </row>
    <row r="267" spans="1:7" ht="13.5" thickBot="1">
      <c r="A267" s="1074">
        <v>3390</v>
      </c>
      <c r="B267" s="1076"/>
      <c r="C267" s="1083">
        <v>334073.15000000002</v>
      </c>
      <c r="D267" s="1078"/>
      <c r="E267" s="1085">
        <v>-334073.15000000002</v>
      </c>
      <c r="F267" s="1076"/>
      <c r="G267" s="1076"/>
    </row>
    <row r="268" spans="1:7">
      <c r="A268" s="1071" t="s">
        <v>903</v>
      </c>
      <c r="B268" s="1072"/>
      <c r="C268" s="1084">
        <v>31534800.600000001</v>
      </c>
      <c r="D268" s="1082">
        <v>-10364863.77</v>
      </c>
      <c r="E268" s="1082">
        <v>-10364863.77</v>
      </c>
      <c r="F268" s="1072"/>
      <c r="G268" s="1084">
        <v>31534800.600000001</v>
      </c>
    </row>
    <row r="269" spans="1:7">
      <c r="A269" s="1074">
        <v>1300</v>
      </c>
      <c r="B269" s="1083">
        <v>10364863.77</v>
      </c>
      <c r="C269" s="1076"/>
      <c r="D269" s="1085">
        <v>-10364863.77</v>
      </c>
      <c r="E269" s="1078"/>
      <c r="F269" s="1076"/>
      <c r="G269" s="1076"/>
    </row>
    <row r="270" spans="1:7">
      <c r="A270" s="1074">
        <v>1310</v>
      </c>
      <c r="B270" s="1083">
        <v>10364863.77</v>
      </c>
      <c r="C270" s="1076"/>
      <c r="D270" s="1085">
        <v>-10364863.77</v>
      </c>
      <c r="E270" s="1078"/>
      <c r="F270" s="1076"/>
      <c r="G270" s="1076"/>
    </row>
    <row r="271" spans="1:7">
      <c r="A271" s="1074">
        <v>3300</v>
      </c>
      <c r="B271" s="1076"/>
      <c r="C271" s="1083">
        <v>41899664.369999997</v>
      </c>
      <c r="D271" s="1078"/>
      <c r="E271" s="1085">
        <v>-10364863.77</v>
      </c>
      <c r="F271" s="1076"/>
      <c r="G271" s="1086">
        <v>31534800.600000001</v>
      </c>
    </row>
    <row r="272" spans="1:7" ht="13.5" thickBot="1">
      <c r="A272" s="1074">
        <v>3310</v>
      </c>
      <c r="B272" s="1076"/>
      <c r="C272" s="1083">
        <v>41899664.369999997</v>
      </c>
      <c r="D272" s="1078"/>
      <c r="E272" s="1085">
        <v>-10364863.77</v>
      </c>
      <c r="F272" s="1076"/>
      <c r="G272" s="1086">
        <v>31534800.600000001</v>
      </c>
    </row>
    <row r="273" spans="1:7">
      <c r="A273" s="1071" t="s">
        <v>904</v>
      </c>
      <c r="B273" s="1072"/>
      <c r="C273" s="1072"/>
      <c r="D273" s="1073">
        <v>-30400</v>
      </c>
      <c r="E273" s="1073">
        <v>-30400</v>
      </c>
      <c r="F273" s="1072"/>
      <c r="G273" s="1072"/>
    </row>
    <row r="274" spans="1:7">
      <c r="A274" s="1074">
        <v>1600</v>
      </c>
      <c r="B274" s="1075">
        <v>30400</v>
      </c>
      <c r="C274" s="1076"/>
      <c r="D274" s="1077">
        <v>-30400</v>
      </c>
      <c r="E274" s="1078"/>
      <c r="F274" s="1076"/>
      <c r="G274" s="1076"/>
    </row>
    <row r="275" spans="1:7">
      <c r="A275" s="1074">
        <v>1610</v>
      </c>
      <c r="B275" s="1075">
        <v>30400</v>
      </c>
      <c r="C275" s="1076"/>
      <c r="D275" s="1077">
        <v>-30400</v>
      </c>
      <c r="E275" s="1078"/>
      <c r="F275" s="1076"/>
      <c r="G275" s="1076"/>
    </row>
    <row r="276" spans="1:7">
      <c r="A276" s="1074">
        <v>1612</v>
      </c>
      <c r="B276" s="1075">
        <v>30400</v>
      </c>
      <c r="C276" s="1076"/>
      <c r="D276" s="1077">
        <v>-30400</v>
      </c>
      <c r="E276" s="1078"/>
      <c r="F276" s="1076"/>
      <c r="G276" s="1076"/>
    </row>
    <row r="277" spans="1:7">
      <c r="A277" s="1074">
        <v>3300</v>
      </c>
      <c r="B277" s="1076"/>
      <c r="C277" s="1075">
        <v>30400</v>
      </c>
      <c r="D277" s="1078"/>
      <c r="E277" s="1077">
        <v>-30400</v>
      </c>
      <c r="F277" s="1076"/>
      <c r="G277" s="1076"/>
    </row>
    <row r="278" spans="1:7" ht="13.5" thickBot="1">
      <c r="A278" s="1074">
        <v>3310</v>
      </c>
      <c r="B278" s="1076"/>
      <c r="C278" s="1075">
        <v>30400</v>
      </c>
      <c r="D278" s="1078"/>
      <c r="E278" s="1077">
        <v>-30400</v>
      </c>
      <c r="F278" s="1076"/>
      <c r="G278" s="1076"/>
    </row>
    <row r="279" spans="1:7">
      <c r="A279" s="1071" t="s">
        <v>905</v>
      </c>
      <c r="B279" s="1082">
        <v>745583.28</v>
      </c>
      <c r="C279" s="1072"/>
      <c r="D279" s="1084">
        <v>-1811525.1</v>
      </c>
      <c r="E279" s="1084">
        <v>-1811525.1</v>
      </c>
      <c r="F279" s="1082">
        <v>745583.28</v>
      </c>
      <c r="G279" s="1072"/>
    </row>
    <row r="280" spans="1:7">
      <c r="A280" s="1074">
        <v>1200</v>
      </c>
      <c r="B280" s="1083">
        <v>2557108.38</v>
      </c>
      <c r="C280" s="1076"/>
      <c r="D280" s="1087">
        <v>-1811525.1</v>
      </c>
      <c r="E280" s="1078"/>
      <c r="F280" s="1083">
        <v>745583.28</v>
      </c>
      <c r="G280" s="1076"/>
    </row>
    <row r="281" spans="1:7">
      <c r="A281" s="1074">
        <v>1210</v>
      </c>
      <c r="B281" s="1083">
        <v>2557108.38</v>
      </c>
      <c r="C281" s="1076"/>
      <c r="D281" s="1087">
        <v>-1811525.1</v>
      </c>
      <c r="E281" s="1078"/>
      <c r="F281" s="1083">
        <v>745583.28</v>
      </c>
      <c r="G281" s="1076"/>
    </row>
    <row r="282" spans="1:7">
      <c r="A282" s="1074">
        <v>3300</v>
      </c>
      <c r="B282" s="1076"/>
      <c r="C282" s="1086">
        <v>1811525.1</v>
      </c>
      <c r="D282" s="1078"/>
      <c r="E282" s="1087">
        <v>-1811525.1</v>
      </c>
      <c r="F282" s="1076"/>
      <c r="G282" s="1076"/>
    </row>
    <row r="283" spans="1:7" ht="13.5" thickBot="1">
      <c r="A283" s="1074">
        <v>3310</v>
      </c>
      <c r="B283" s="1076"/>
      <c r="C283" s="1086">
        <v>1811525.1</v>
      </c>
      <c r="D283" s="1078"/>
      <c r="E283" s="1087">
        <v>-1811525.1</v>
      </c>
      <c r="F283" s="1076"/>
      <c r="G283" s="1076"/>
    </row>
    <row r="284" spans="1:7">
      <c r="A284" s="1071" t="s">
        <v>906</v>
      </c>
      <c r="B284" s="1073">
        <v>67753875</v>
      </c>
      <c r="C284" s="1072"/>
      <c r="D284" s="1073">
        <v>-1908725</v>
      </c>
      <c r="E284" s="1073">
        <v>-1908725</v>
      </c>
      <c r="F284" s="1073">
        <v>67753875</v>
      </c>
      <c r="G284" s="1072"/>
    </row>
    <row r="285" spans="1:7">
      <c r="A285" s="1074">
        <v>1600</v>
      </c>
      <c r="B285" s="1075">
        <v>69662600</v>
      </c>
      <c r="C285" s="1076"/>
      <c r="D285" s="1077">
        <v>-1908725</v>
      </c>
      <c r="E285" s="1078"/>
      <c r="F285" s="1075">
        <v>67753875</v>
      </c>
      <c r="G285" s="1076"/>
    </row>
    <row r="286" spans="1:7">
      <c r="A286" s="1074">
        <v>1610</v>
      </c>
      <c r="B286" s="1075">
        <v>69662600</v>
      </c>
      <c r="C286" s="1076"/>
      <c r="D286" s="1077">
        <v>-1908725</v>
      </c>
      <c r="E286" s="1078"/>
      <c r="F286" s="1075">
        <v>67753875</v>
      </c>
      <c r="G286" s="1076"/>
    </row>
    <row r="287" spans="1:7">
      <c r="A287" s="1074">
        <v>1611</v>
      </c>
      <c r="B287" s="1075">
        <v>69662600</v>
      </c>
      <c r="C287" s="1076"/>
      <c r="D287" s="1077">
        <v>-1908725</v>
      </c>
      <c r="E287" s="1078"/>
      <c r="F287" s="1075">
        <v>67753875</v>
      </c>
      <c r="G287" s="1076"/>
    </row>
    <row r="288" spans="1:7">
      <c r="A288" s="1074">
        <v>3300</v>
      </c>
      <c r="B288" s="1076"/>
      <c r="C288" s="1075">
        <v>1908725</v>
      </c>
      <c r="D288" s="1078"/>
      <c r="E288" s="1077">
        <v>-1908725</v>
      </c>
      <c r="F288" s="1076"/>
      <c r="G288" s="1076"/>
    </row>
    <row r="289" spans="1:7" ht="13.5" thickBot="1">
      <c r="A289" s="1074">
        <v>3310</v>
      </c>
      <c r="B289" s="1076"/>
      <c r="C289" s="1075">
        <v>1908725</v>
      </c>
      <c r="D289" s="1078"/>
      <c r="E289" s="1077">
        <v>-1908725</v>
      </c>
      <c r="F289" s="1076"/>
      <c r="G289" s="1076"/>
    </row>
    <row r="290" spans="1:7">
      <c r="A290" s="1071" t="s">
        <v>374</v>
      </c>
      <c r="B290" s="1082">
        <v>6246952.1900000004</v>
      </c>
      <c r="C290" s="1072"/>
      <c r="D290" s="1084">
        <v>-160680.29999999999</v>
      </c>
      <c r="E290" s="1084">
        <v>-160680.29999999999</v>
      </c>
      <c r="F290" s="1082">
        <v>6246952.1900000004</v>
      </c>
      <c r="G290" s="1072"/>
    </row>
    <row r="291" spans="1:7">
      <c r="A291" s="1074">
        <v>1600</v>
      </c>
      <c r="B291" s="1083">
        <v>6407632.4900000002</v>
      </c>
      <c r="C291" s="1076"/>
      <c r="D291" s="1087">
        <v>-160680.29999999999</v>
      </c>
      <c r="E291" s="1078"/>
      <c r="F291" s="1083">
        <v>6246952.1900000004</v>
      </c>
      <c r="G291" s="1076"/>
    </row>
    <row r="292" spans="1:7">
      <c r="A292" s="1074">
        <v>1610</v>
      </c>
      <c r="B292" s="1083">
        <v>6407632.4900000002</v>
      </c>
      <c r="C292" s="1076"/>
      <c r="D292" s="1087">
        <v>-160680.29999999999</v>
      </c>
      <c r="E292" s="1078"/>
      <c r="F292" s="1083">
        <v>6246952.1900000004</v>
      </c>
      <c r="G292" s="1076"/>
    </row>
    <row r="293" spans="1:7">
      <c r="A293" s="1074">
        <v>1612</v>
      </c>
      <c r="B293" s="1083">
        <v>6407632.4900000002</v>
      </c>
      <c r="C293" s="1076"/>
      <c r="D293" s="1087">
        <v>-160680.29999999999</v>
      </c>
      <c r="E293" s="1078"/>
      <c r="F293" s="1083">
        <v>6246952.1900000004</v>
      </c>
      <c r="G293" s="1076"/>
    </row>
    <row r="294" spans="1:7">
      <c r="A294" s="1074">
        <v>3300</v>
      </c>
      <c r="B294" s="1076"/>
      <c r="C294" s="1086">
        <v>160680.29999999999</v>
      </c>
      <c r="D294" s="1078"/>
      <c r="E294" s="1087">
        <v>-160680.29999999999</v>
      </c>
      <c r="F294" s="1076"/>
      <c r="G294" s="1076"/>
    </row>
    <row r="295" spans="1:7" ht="13.5" thickBot="1">
      <c r="A295" s="1074">
        <v>3310</v>
      </c>
      <c r="B295" s="1076"/>
      <c r="C295" s="1086">
        <v>160680.29999999999</v>
      </c>
      <c r="D295" s="1078"/>
      <c r="E295" s="1087">
        <v>-160680.29999999999</v>
      </c>
      <c r="F295" s="1076"/>
      <c r="G295" s="1076"/>
    </row>
    <row r="296" spans="1:7">
      <c r="A296" s="1071" t="s">
        <v>907</v>
      </c>
      <c r="B296" s="1072"/>
      <c r="C296" s="1082">
        <v>35751.49</v>
      </c>
      <c r="D296" s="1073">
        <v>-20000</v>
      </c>
      <c r="E296" s="1073">
        <v>-20000</v>
      </c>
      <c r="F296" s="1072"/>
      <c r="G296" s="1082">
        <v>35751.49</v>
      </c>
    </row>
    <row r="297" spans="1:7">
      <c r="A297" s="1074">
        <v>1600</v>
      </c>
      <c r="B297" s="1075">
        <v>20000</v>
      </c>
      <c r="C297" s="1076"/>
      <c r="D297" s="1077">
        <v>-20000</v>
      </c>
      <c r="E297" s="1078"/>
      <c r="F297" s="1076"/>
      <c r="G297" s="1076"/>
    </row>
    <row r="298" spans="1:7">
      <c r="A298" s="1074">
        <v>1610</v>
      </c>
      <c r="B298" s="1075">
        <v>20000</v>
      </c>
      <c r="C298" s="1076"/>
      <c r="D298" s="1077">
        <v>-20000</v>
      </c>
      <c r="E298" s="1078"/>
      <c r="F298" s="1076"/>
      <c r="G298" s="1076"/>
    </row>
    <row r="299" spans="1:7">
      <c r="A299" s="1074">
        <v>1612</v>
      </c>
      <c r="B299" s="1075">
        <v>20000</v>
      </c>
      <c r="C299" s="1076"/>
      <c r="D299" s="1077">
        <v>-20000</v>
      </c>
      <c r="E299" s="1078"/>
      <c r="F299" s="1076"/>
      <c r="G299" s="1076"/>
    </row>
    <row r="300" spans="1:7">
      <c r="A300" s="1074">
        <v>3300</v>
      </c>
      <c r="B300" s="1076"/>
      <c r="C300" s="1083">
        <v>55751.49</v>
      </c>
      <c r="D300" s="1078"/>
      <c r="E300" s="1077">
        <v>-20000</v>
      </c>
      <c r="F300" s="1076"/>
      <c r="G300" s="1083">
        <v>35751.49</v>
      </c>
    </row>
    <row r="301" spans="1:7" ht="13.5" thickBot="1">
      <c r="A301" s="1074">
        <v>3310</v>
      </c>
      <c r="B301" s="1076"/>
      <c r="C301" s="1083">
        <v>55751.49</v>
      </c>
      <c r="D301" s="1078"/>
      <c r="E301" s="1077">
        <v>-20000</v>
      </c>
      <c r="F301" s="1076"/>
      <c r="G301" s="1083">
        <v>35751.49</v>
      </c>
    </row>
    <row r="302" spans="1:7">
      <c r="A302" s="1071" t="s">
        <v>908</v>
      </c>
      <c r="B302" s="1072"/>
      <c r="C302" s="1082">
        <v>773457.43</v>
      </c>
      <c r="D302" s="1082">
        <v>-410327.21</v>
      </c>
      <c r="E302" s="1082">
        <v>-410327.21</v>
      </c>
      <c r="F302" s="1072"/>
      <c r="G302" s="1082">
        <v>773457.43</v>
      </c>
    </row>
    <row r="303" spans="1:7">
      <c r="A303" s="1074">
        <v>1600</v>
      </c>
      <c r="B303" s="1083">
        <v>410327.21</v>
      </c>
      <c r="C303" s="1076"/>
      <c r="D303" s="1085">
        <v>-410327.21</v>
      </c>
      <c r="E303" s="1078"/>
      <c r="F303" s="1076"/>
      <c r="G303" s="1076"/>
    </row>
    <row r="304" spans="1:7">
      <c r="A304" s="1074">
        <v>1610</v>
      </c>
      <c r="B304" s="1083">
        <v>410327.21</v>
      </c>
      <c r="C304" s="1076"/>
      <c r="D304" s="1085">
        <v>-410327.21</v>
      </c>
      <c r="E304" s="1078"/>
      <c r="F304" s="1076"/>
      <c r="G304" s="1076"/>
    </row>
    <row r="305" spans="1:7">
      <c r="A305" s="1074">
        <v>1612</v>
      </c>
      <c r="B305" s="1083">
        <v>410327.21</v>
      </c>
      <c r="C305" s="1076"/>
      <c r="D305" s="1085">
        <v>-410327.21</v>
      </c>
      <c r="E305" s="1078"/>
      <c r="F305" s="1076"/>
      <c r="G305" s="1076"/>
    </row>
    <row r="306" spans="1:7">
      <c r="A306" s="1074">
        <v>3300</v>
      </c>
      <c r="B306" s="1076"/>
      <c r="C306" s="1083">
        <v>1183784.6399999999</v>
      </c>
      <c r="D306" s="1078"/>
      <c r="E306" s="1085">
        <v>-410327.21</v>
      </c>
      <c r="F306" s="1076"/>
      <c r="G306" s="1083">
        <v>773457.43</v>
      </c>
    </row>
    <row r="307" spans="1:7" ht="13.5" thickBot="1">
      <c r="A307" s="1074">
        <v>3310</v>
      </c>
      <c r="B307" s="1076"/>
      <c r="C307" s="1083">
        <v>1183784.6399999999</v>
      </c>
      <c r="D307" s="1078"/>
      <c r="E307" s="1085">
        <v>-410327.21</v>
      </c>
      <c r="F307" s="1076"/>
      <c r="G307" s="1083">
        <v>773457.43</v>
      </c>
    </row>
    <row r="308" spans="1:7">
      <c r="A308" s="1071" t="s">
        <v>377</v>
      </c>
      <c r="B308" s="1084">
        <v>1087453.1000000001</v>
      </c>
      <c r="C308" s="1072"/>
      <c r="D308" s="1082">
        <v>-341783.07</v>
      </c>
      <c r="E308" s="1082">
        <v>-341783.07</v>
      </c>
      <c r="F308" s="1084">
        <v>1087453.1000000001</v>
      </c>
      <c r="G308" s="1072"/>
    </row>
    <row r="309" spans="1:7">
      <c r="A309" s="1074">
        <v>1200</v>
      </c>
      <c r="B309" s="1075">
        <v>60816</v>
      </c>
      <c r="C309" s="1076"/>
      <c r="D309" s="1077">
        <v>-60816</v>
      </c>
      <c r="E309" s="1078"/>
      <c r="F309" s="1076"/>
      <c r="G309" s="1076"/>
    </row>
    <row r="310" spans="1:7">
      <c r="A310" s="1074">
        <v>1210</v>
      </c>
      <c r="B310" s="1075">
        <v>60816</v>
      </c>
      <c r="C310" s="1076"/>
      <c r="D310" s="1077">
        <v>-60816</v>
      </c>
      <c r="E310" s="1078"/>
      <c r="F310" s="1076"/>
      <c r="G310" s="1076"/>
    </row>
    <row r="311" spans="1:7">
      <c r="A311" s="1074">
        <v>1600</v>
      </c>
      <c r="B311" s="1083">
        <v>1368420.17</v>
      </c>
      <c r="C311" s="1076"/>
      <c r="D311" s="1085">
        <v>-280967.07</v>
      </c>
      <c r="E311" s="1078"/>
      <c r="F311" s="1086">
        <v>1087453.1000000001</v>
      </c>
      <c r="G311" s="1076"/>
    </row>
    <row r="312" spans="1:7">
      <c r="A312" s="1074">
        <v>1610</v>
      </c>
      <c r="B312" s="1083">
        <v>1368420.17</v>
      </c>
      <c r="C312" s="1076"/>
      <c r="D312" s="1085">
        <v>-280967.07</v>
      </c>
      <c r="E312" s="1078"/>
      <c r="F312" s="1086">
        <v>1087453.1000000001</v>
      </c>
      <c r="G312" s="1076"/>
    </row>
    <row r="313" spans="1:7">
      <c r="A313" s="1074">
        <v>1612</v>
      </c>
      <c r="B313" s="1083">
        <v>1368420.17</v>
      </c>
      <c r="C313" s="1076"/>
      <c r="D313" s="1085">
        <v>-280967.07</v>
      </c>
      <c r="E313" s="1078"/>
      <c r="F313" s="1086">
        <v>1087453.1000000001</v>
      </c>
      <c r="G313" s="1076"/>
    </row>
    <row r="314" spans="1:7">
      <c r="A314" s="1074">
        <v>3300</v>
      </c>
      <c r="B314" s="1076"/>
      <c r="C314" s="1083">
        <v>341783.07</v>
      </c>
      <c r="D314" s="1078"/>
      <c r="E314" s="1085">
        <v>-341783.07</v>
      </c>
      <c r="F314" s="1076"/>
      <c r="G314" s="1076"/>
    </row>
    <row r="315" spans="1:7" ht="13.5" thickBot="1">
      <c r="A315" s="1074">
        <v>3310</v>
      </c>
      <c r="B315" s="1076"/>
      <c r="C315" s="1083">
        <v>341783.07</v>
      </c>
      <c r="D315" s="1078"/>
      <c r="E315" s="1085">
        <v>-341783.07</v>
      </c>
      <c r="F315" s="1076"/>
      <c r="G315" s="1076"/>
    </row>
    <row r="316" spans="1:7">
      <c r="A316" s="1071" t="s">
        <v>909</v>
      </c>
      <c r="B316" s="1072"/>
      <c r="C316" s="1073">
        <v>2921124</v>
      </c>
      <c r="D316" s="1073">
        <v>-201796</v>
      </c>
      <c r="E316" s="1073">
        <v>-201796</v>
      </c>
      <c r="F316" s="1072"/>
      <c r="G316" s="1073">
        <v>2921124</v>
      </c>
    </row>
    <row r="317" spans="1:7">
      <c r="A317" s="1074">
        <v>1200</v>
      </c>
      <c r="B317" s="1075">
        <v>201796</v>
      </c>
      <c r="C317" s="1076"/>
      <c r="D317" s="1077">
        <v>-201796</v>
      </c>
      <c r="E317" s="1078"/>
      <c r="F317" s="1076"/>
      <c r="G317" s="1076"/>
    </row>
    <row r="318" spans="1:7">
      <c r="A318" s="1074">
        <v>1210</v>
      </c>
      <c r="B318" s="1075">
        <v>201796</v>
      </c>
      <c r="C318" s="1076"/>
      <c r="D318" s="1077">
        <v>-201796</v>
      </c>
      <c r="E318" s="1078"/>
      <c r="F318" s="1076"/>
      <c r="G318" s="1076"/>
    </row>
    <row r="319" spans="1:7">
      <c r="A319" s="1074">
        <v>3300</v>
      </c>
      <c r="B319" s="1076"/>
      <c r="C319" s="1075">
        <v>3122920</v>
      </c>
      <c r="D319" s="1078"/>
      <c r="E319" s="1077">
        <v>-201796</v>
      </c>
      <c r="F319" s="1076"/>
      <c r="G319" s="1075">
        <v>2921124</v>
      </c>
    </row>
    <row r="320" spans="1:7" ht="13.5" thickBot="1">
      <c r="A320" s="1074">
        <v>3310</v>
      </c>
      <c r="B320" s="1076"/>
      <c r="C320" s="1075">
        <v>3122920</v>
      </c>
      <c r="D320" s="1078"/>
      <c r="E320" s="1077">
        <v>-201796</v>
      </c>
      <c r="F320" s="1076"/>
      <c r="G320" s="1075">
        <v>2921124</v>
      </c>
    </row>
    <row r="321" spans="1:8">
      <c r="A321" s="1071" t="s">
        <v>910</v>
      </c>
      <c r="B321" s="1072"/>
      <c r="C321" s="1082">
        <v>35734.57</v>
      </c>
      <c r="D321" s="1088">
        <v>-5.29</v>
      </c>
      <c r="E321" s="1088">
        <v>-5.29</v>
      </c>
      <c r="F321" s="1072"/>
      <c r="G321" s="1082">
        <v>35734.57</v>
      </c>
    </row>
    <row r="322" spans="1:8">
      <c r="A322" s="1074">
        <v>1200</v>
      </c>
      <c r="B322" s="1090">
        <v>5.29</v>
      </c>
      <c r="C322" s="1076"/>
      <c r="D322" s="1089">
        <v>-5.29</v>
      </c>
      <c r="E322" s="1078"/>
      <c r="F322" s="1076"/>
      <c r="G322" s="1076"/>
    </row>
    <row r="323" spans="1:8">
      <c r="A323" s="1074">
        <v>1280</v>
      </c>
      <c r="B323" s="1090">
        <v>5.29</v>
      </c>
      <c r="C323" s="1076"/>
      <c r="D323" s="1089">
        <v>-5.29</v>
      </c>
      <c r="E323" s="1078"/>
      <c r="F323" s="1076"/>
      <c r="G323" s="1076"/>
    </row>
    <row r="324" spans="1:8">
      <c r="A324" s="1074">
        <v>3300</v>
      </c>
      <c r="B324" s="1076"/>
      <c r="C324" s="1083">
        <v>35739.86</v>
      </c>
      <c r="D324" s="1078"/>
      <c r="E324" s="1089">
        <v>-5.29</v>
      </c>
      <c r="F324" s="1076"/>
      <c r="G324" s="1083">
        <v>35734.57</v>
      </c>
    </row>
    <row r="325" spans="1:8" ht="13.5" thickBot="1">
      <c r="A325" s="1074">
        <v>3390</v>
      </c>
      <c r="B325" s="1076"/>
      <c r="C325" s="1083">
        <v>35739.86</v>
      </c>
      <c r="D325" s="1078"/>
      <c r="E325" s="1089">
        <v>-5.29</v>
      </c>
      <c r="F325" s="1076"/>
      <c r="G325" s="1083">
        <v>35734.57</v>
      </c>
    </row>
    <row r="326" spans="1:8">
      <c r="A326" s="1071" t="s">
        <v>911</v>
      </c>
      <c r="B326" s="1082">
        <v>2245860.87</v>
      </c>
      <c r="C326" s="1072"/>
      <c r="D326" s="1079">
        <v>-1</v>
      </c>
      <c r="E326" s="1079">
        <v>-1</v>
      </c>
      <c r="F326" s="1082">
        <v>2245860.87</v>
      </c>
      <c r="G326" s="1072"/>
    </row>
    <row r="327" spans="1:8">
      <c r="A327" s="1074">
        <v>1600</v>
      </c>
      <c r="B327" s="1083">
        <v>2245861.87</v>
      </c>
      <c r="C327" s="1076"/>
      <c r="D327" s="1080">
        <v>-1</v>
      </c>
      <c r="E327" s="1078"/>
      <c r="F327" s="1083">
        <v>2245860.87</v>
      </c>
      <c r="G327" s="1076"/>
    </row>
    <row r="328" spans="1:8">
      <c r="A328" s="1074">
        <v>1610</v>
      </c>
      <c r="B328" s="1083">
        <v>2245861.87</v>
      </c>
      <c r="C328" s="1076"/>
      <c r="D328" s="1080">
        <v>-1</v>
      </c>
      <c r="E328" s="1078"/>
      <c r="F328" s="1083">
        <v>2245860.87</v>
      </c>
      <c r="G328" s="1076"/>
    </row>
    <row r="329" spans="1:8">
      <c r="A329" s="1074">
        <v>1612</v>
      </c>
      <c r="B329" s="1083">
        <v>2245861.87</v>
      </c>
      <c r="C329" s="1076"/>
      <c r="D329" s="1080">
        <v>-1</v>
      </c>
      <c r="E329" s="1078"/>
      <c r="F329" s="1083">
        <v>2245860.87</v>
      </c>
      <c r="G329" s="1076"/>
    </row>
    <row r="330" spans="1:8">
      <c r="A330" s="1074">
        <v>3300</v>
      </c>
      <c r="B330" s="1076"/>
      <c r="C330" s="1081">
        <v>1</v>
      </c>
      <c r="D330" s="1078"/>
      <c r="E330" s="1080">
        <v>-1</v>
      </c>
      <c r="F330" s="1076"/>
      <c r="G330" s="1076"/>
    </row>
    <row r="331" spans="1:8" ht="13.5" thickBot="1">
      <c r="A331" s="1074">
        <v>3310</v>
      </c>
      <c r="B331" s="1076"/>
      <c r="C331" s="1081">
        <v>1</v>
      </c>
      <c r="D331" s="1078"/>
      <c r="E331" s="1080">
        <v>-1</v>
      </c>
      <c r="F331" s="1076"/>
      <c r="G331" s="1076"/>
    </row>
    <row r="332" spans="1:8">
      <c r="A332" s="1071" t="s">
        <v>912</v>
      </c>
      <c r="B332" s="1082">
        <v>20259330.969999999</v>
      </c>
      <c r="C332" s="1072"/>
      <c r="D332" s="1073">
        <v>-4880</v>
      </c>
      <c r="E332" s="1073">
        <v>-4880</v>
      </c>
      <c r="F332" s="1082">
        <v>20259330.969999999</v>
      </c>
      <c r="G332" s="1072"/>
    </row>
    <row r="333" spans="1:8">
      <c r="A333" s="1074">
        <v>1200</v>
      </c>
      <c r="B333" s="1083">
        <v>20264210.969999999</v>
      </c>
      <c r="C333" s="1076"/>
      <c r="D333" s="1077">
        <v>-4880</v>
      </c>
      <c r="E333" s="1078"/>
      <c r="F333" s="1083">
        <v>20259330.969999999</v>
      </c>
      <c r="G333" s="1076"/>
    </row>
    <row r="334" spans="1:8">
      <c r="A334" s="1074">
        <v>1210</v>
      </c>
      <c r="B334" s="1083">
        <v>20264210.969999999</v>
      </c>
      <c r="C334" s="1076"/>
      <c r="D334" s="1077">
        <v>-4880</v>
      </c>
      <c r="E334" s="1078"/>
      <c r="F334" s="1083">
        <v>20259330.969999999</v>
      </c>
      <c r="G334" s="1076"/>
      <c r="H334" s="779">
        <f>E335</f>
        <v>-4880</v>
      </c>
    </row>
    <row r="335" spans="1:8">
      <c r="A335" s="1074">
        <v>3500</v>
      </c>
      <c r="B335" s="1076"/>
      <c r="C335" s="1075">
        <v>4880</v>
      </c>
      <c r="D335" s="1078"/>
      <c r="E335" s="1077">
        <v>-4880</v>
      </c>
      <c r="F335" s="1076"/>
      <c r="G335" s="1076"/>
    </row>
    <row r="336" spans="1:8" ht="13.5" thickBot="1">
      <c r="A336" s="1074">
        <v>3510</v>
      </c>
      <c r="B336" s="1076"/>
      <c r="C336" s="1075">
        <v>4880</v>
      </c>
      <c r="D336" s="1078"/>
      <c r="E336" s="1077">
        <v>-4880</v>
      </c>
      <c r="F336" s="1076"/>
      <c r="G336" s="1076"/>
    </row>
    <row r="337" spans="1:7">
      <c r="A337" s="1071" t="s">
        <v>913</v>
      </c>
      <c r="B337" s="1082">
        <v>654849.84</v>
      </c>
      <c r="C337" s="1072"/>
      <c r="D337" s="1084">
        <v>-4594442.0999999996</v>
      </c>
      <c r="E337" s="1084">
        <v>-4594442.0999999996</v>
      </c>
      <c r="F337" s="1082">
        <v>654849.84</v>
      </c>
      <c r="G337" s="1072"/>
    </row>
    <row r="338" spans="1:7">
      <c r="A338" s="1074">
        <v>1200</v>
      </c>
      <c r="B338" s="1083">
        <v>5249291.9400000004</v>
      </c>
      <c r="C338" s="1076"/>
      <c r="D338" s="1087">
        <v>-4594442.0999999996</v>
      </c>
      <c r="E338" s="1078"/>
      <c r="F338" s="1083">
        <v>654849.84</v>
      </c>
      <c r="G338" s="1076"/>
    </row>
    <row r="339" spans="1:7">
      <c r="A339" s="1074">
        <v>1210</v>
      </c>
      <c r="B339" s="1083">
        <v>5249291.9400000004</v>
      </c>
      <c r="C339" s="1076"/>
      <c r="D339" s="1087">
        <v>-4594442.0999999996</v>
      </c>
      <c r="E339" s="1078"/>
      <c r="F339" s="1083">
        <v>654849.84</v>
      </c>
      <c r="G339" s="1076"/>
    </row>
    <row r="340" spans="1:7">
      <c r="A340" s="1074">
        <v>3300</v>
      </c>
      <c r="B340" s="1076"/>
      <c r="C340" s="1086">
        <v>4594442.0999999996</v>
      </c>
      <c r="D340" s="1078"/>
      <c r="E340" s="1087">
        <v>-4594442.0999999996</v>
      </c>
      <c r="F340" s="1076"/>
      <c r="G340" s="1076"/>
    </row>
    <row r="341" spans="1:7" ht="13.5" thickBot="1">
      <c r="A341" s="1074">
        <v>3310</v>
      </c>
      <c r="B341" s="1076"/>
      <c r="C341" s="1086">
        <v>4594442.0999999996</v>
      </c>
      <c r="D341" s="1078"/>
      <c r="E341" s="1087">
        <v>-4594442.0999999996</v>
      </c>
      <c r="F341" s="1076"/>
      <c r="G341" s="1076"/>
    </row>
    <row r="342" spans="1:7">
      <c r="A342" s="1071" t="s">
        <v>914</v>
      </c>
      <c r="B342" s="1073">
        <v>147700</v>
      </c>
      <c r="C342" s="1072"/>
      <c r="D342" s="1073">
        <v>-252000</v>
      </c>
      <c r="E342" s="1073">
        <v>-252000</v>
      </c>
      <c r="F342" s="1073">
        <v>147700</v>
      </c>
      <c r="G342" s="1072"/>
    </row>
    <row r="343" spans="1:7">
      <c r="A343" s="1074">
        <v>1600</v>
      </c>
      <c r="B343" s="1075">
        <v>399700</v>
      </c>
      <c r="C343" s="1076"/>
      <c r="D343" s="1077">
        <v>-252000</v>
      </c>
      <c r="E343" s="1078"/>
      <c r="F343" s="1075">
        <v>147700</v>
      </c>
      <c r="G343" s="1076"/>
    </row>
    <row r="344" spans="1:7">
      <c r="A344" s="1074">
        <v>1610</v>
      </c>
      <c r="B344" s="1075">
        <v>399700</v>
      </c>
      <c r="C344" s="1076"/>
      <c r="D344" s="1077">
        <v>-252000</v>
      </c>
      <c r="E344" s="1078"/>
      <c r="F344" s="1075">
        <v>147700</v>
      </c>
      <c r="G344" s="1076"/>
    </row>
    <row r="345" spans="1:7">
      <c r="A345" s="1074">
        <v>1611</v>
      </c>
      <c r="B345" s="1075">
        <v>399700</v>
      </c>
      <c r="C345" s="1076"/>
      <c r="D345" s="1077">
        <v>-252000</v>
      </c>
      <c r="E345" s="1078"/>
      <c r="F345" s="1075">
        <v>147700</v>
      </c>
      <c r="G345" s="1076"/>
    </row>
    <row r="346" spans="1:7">
      <c r="A346" s="1074">
        <v>3300</v>
      </c>
      <c r="B346" s="1076"/>
      <c r="C346" s="1075">
        <v>252000</v>
      </c>
      <c r="D346" s="1078"/>
      <c r="E346" s="1077">
        <v>-252000</v>
      </c>
      <c r="F346" s="1076"/>
      <c r="G346" s="1076"/>
    </row>
    <row r="347" spans="1:7" ht="13.5" thickBot="1">
      <c r="A347" s="1074">
        <v>3310</v>
      </c>
      <c r="B347" s="1076"/>
      <c r="C347" s="1075">
        <v>252000</v>
      </c>
      <c r="D347" s="1078"/>
      <c r="E347" s="1077">
        <v>-252000</v>
      </c>
      <c r="F347" s="1076"/>
      <c r="G347" s="1076"/>
    </row>
    <row r="348" spans="1:7">
      <c r="A348" s="1071" t="s">
        <v>915</v>
      </c>
      <c r="B348" s="1073">
        <v>62876</v>
      </c>
      <c r="C348" s="1072"/>
      <c r="D348" s="1073">
        <v>-23772</v>
      </c>
      <c r="E348" s="1073">
        <v>-23772</v>
      </c>
      <c r="F348" s="1073">
        <v>62876</v>
      </c>
      <c r="G348" s="1072"/>
    </row>
    <row r="349" spans="1:7">
      <c r="A349" s="1074">
        <v>1600</v>
      </c>
      <c r="B349" s="1075">
        <v>86648</v>
      </c>
      <c r="C349" s="1076"/>
      <c r="D349" s="1077">
        <v>-23772</v>
      </c>
      <c r="E349" s="1078"/>
      <c r="F349" s="1075">
        <v>62876</v>
      </c>
      <c r="G349" s="1076"/>
    </row>
    <row r="350" spans="1:7">
      <c r="A350" s="1074">
        <v>1610</v>
      </c>
      <c r="B350" s="1075">
        <v>86648</v>
      </c>
      <c r="C350" s="1076"/>
      <c r="D350" s="1077">
        <v>-23772</v>
      </c>
      <c r="E350" s="1078"/>
      <c r="F350" s="1075">
        <v>62876</v>
      </c>
      <c r="G350" s="1076"/>
    </row>
    <row r="351" spans="1:7">
      <c r="A351" s="1074">
        <v>1612</v>
      </c>
      <c r="B351" s="1075">
        <v>86648</v>
      </c>
      <c r="C351" s="1076"/>
      <c r="D351" s="1077">
        <v>-23772</v>
      </c>
      <c r="E351" s="1078"/>
      <c r="F351" s="1075">
        <v>62876</v>
      </c>
      <c r="G351" s="1076"/>
    </row>
    <row r="352" spans="1:7">
      <c r="A352" s="1074">
        <v>3300</v>
      </c>
      <c r="B352" s="1076"/>
      <c r="C352" s="1075">
        <v>23772</v>
      </c>
      <c r="D352" s="1078"/>
      <c r="E352" s="1077">
        <v>-23772</v>
      </c>
      <c r="F352" s="1076"/>
      <c r="G352" s="1076"/>
    </row>
    <row r="353" spans="1:7" ht="13.5" thickBot="1">
      <c r="A353" s="1074">
        <v>3310</v>
      </c>
      <c r="B353" s="1076"/>
      <c r="C353" s="1075">
        <v>23772</v>
      </c>
      <c r="D353" s="1078"/>
      <c r="E353" s="1077">
        <v>-23772</v>
      </c>
      <c r="F353" s="1076"/>
      <c r="G353" s="1076"/>
    </row>
    <row r="354" spans="1:7">
      <c r="A354" s="1071" t="s">
        <v>916</v>
      </c>
      <c r="B354" s="1072"/>
      <c r="C354" s="1082">
        <v>1069847.94</v>
      </c>
      <c r="D354" s="1082">
        <v>-1074370.17</v>
      </c>
      <c r="E354" s="1082">
        <v>-1074370.17</v>
      </c>
      <c r="F354" s="1072"/>
      <c r="G354" s="1082">
        <v>1069847.94</v>
      </c>
    </row>
    <row r="355" spans="1:7">
      <c r="A355" s="1074">
        <v>1600</v>
      </c>
      <c r="B355" s="1083">
        <v>1074370.17</v>
      </c>
      <c r="C355" s="1076"/>
      <c r="D355" s="1085">
        <v>-1074370.17</v>
      </c>
      <c r="E355" s="1078"/>
      <c r="F355" s="1076"/>
      <c r="G355" s="1076"/>
    </row>
    <row r="356" spans="1:7">
      <c r="A356" s="1074">
        <v>1610</v>
      </c>
      <c r="B356" s="1083">
        <v>1074370.17</v>
      </c>
      <c r="C356" s="1076"/>
      <c r="D356" s="1085">
        <v>-1074370.17</v>
      </c>
      <c r="E356" s="1078"/>
      <c r="F356" s="1076"/>
      <c r="G356" s="1076"/>
    </row>
    <row r="357" spans="1:7">
      <c r="A357" s="1074">
        <v>1612</v>
      </c>
      <c r="B357" s="1083">
        <v>1074370.17</v>
      </c>
      <c r="C357" s="1076"/>
      <c r="D357" s="1085">
        <v>-1074370.17</v>
      </c>
      <c r="E357" s="1078"/>
      <c r="F357" s="1076"/>
      <c r="G357" s="1076"/>
    </row>
    <row r="358" spans="1:7">
      <c r="A358" s="1074">
        <v>3300</v>
      </c>
      <c r="B358" s="1076"/>
      <c r="C358" s="1083">
        <v>2144218.11</v>
      </c>
      <c r="D358" s="1078"/>
      <c r="E358" s="1085">
        <v>-1074370.17</v>
      </c>
      <c r="F358" s="1076"/>
      <c r="G358" s="1083">
        <v>1069847.94</v>
      </c>
    </row>
    <row r="359" spans="1:7" ht="13.5" thickBot="1">
      <c r="A359" s="1074">
        <v>3310</v>
      </c>
      <c r="B359" s="1076"/>
      <c r="C359" s="1083">
        <v>2144218.11</v>
      </c>
      <c r="D359" s="1078"/>
      <c r="E359" s="1085">
        <v>-1074370.17</v>
      </c>
      <c r="F359" s="1076"/>
      <c r="G359" s="1083">
        <v>1069847.94</v>
      </c>
    </row>
    <row r="360" spans="1:7">
      <c r="A360" s="1071" t="s">
        <v>917</v>
      </c>
      <c r="B360" s="1072"/>
      <c r="C360" s="1084">
        <v>13133.9</v>
      </c>
      <c r="D360" s="1072"/>
      <c r="E360" s="1072"/>
      <c r="F360" s="1072"/>
      <c r="G360" s="1084">
        <v>13133.9</v>
      </c>
    </row>
    <row r="361" spans="1:7">
      <c r="A361" s="1074">
        <v>3300</v>
      </c>
      <c r="B361" s="1091">
        <v>0.1</v>
      </c>
      <c r="C361" s="1076"/>
      <c r="D361" s="1078"/>
      <c r="E361" s="1078"/>
      <c r="F361" s="1091">
        <v>0.1</v>
      </c>
      <c r="G361" s="1076"/>
    </row>
    <row r="362" spans="1:7">
      <c r="A362" s="1074">
        <v>3310</v>
      </c>
      <c r="B362" s="1091">
        <v>0.1</v>
      </c>
      <c r="C362" s="1076"/>
      <c r="D362" s="1078"/>
      <c r="E362" s="1078"/>
      <c r="F362" s="1091">
        <v>0.1</v>
      </c>
      <c r="G362" s="1076"/>
    </row>
    <row r="363" spans="1:7">
      <c r="A363" s="1074">
        <v>3500</v>
      </c>
      <c r="B363" s="1076"/>
      <c r="C363" s="1075">
        <v>13134</v>
      </c>
      <c r="D363" s="1078"/>
      <c r="E363" s="1078"/>
      <c r="F363" s="1076"/>
      <c r="G363" s="1075">
        <v>13134</v>
      </c>
    </row>
    <row r="364" spans="1:7" ht="13.5" thickBot="1">
      <c r="A364" s="1074">
        <v>3510</v>
      </c>
      <c r="B364" s="1076"/>
      <c r="C364" s="1075">
        <v>13134</v>
      </c>
      <c r="D364" s="1078"/>
      <c r="E364" s="1078"/>
      <c r="F364" s="1076"/>
      <c r="G364" s="1075">
        <v>13134</v>
      </c>
    </row>
    <row r="365" spans="1:7">
      <c r="A365" s="1071" t="s">
        <v>918</v>
      </c>
      <c r="B365" s="1072"/>
      <c r="C365" s="1084">
        <v>20676769.699999999</v>
      </c>
      <c r="D365" s="1073">
        <v>-277200</v>
      </c>
      <c r="E365" s="1073">
        <v>-277200</v>
      </c>
      <c r="F365" s="1072"/>
      <c r="G365" s="1084">
        <v>20676769.699999999</v>
      </c>
    </row>
    <row r="366" spans="1:7">
      <c r="A366" s="1074">
        <v>1600</v>
      </c>
      <c r="B366" s="1075">
        <v>277200</v>
      </c>
      <c r="C366" s="1076"/>
      <c r="D366" s="1077">
        <v>-277200</v>
      </c>
      <c r="E366" s="1078"/>
      <c r="F366" s="1076"/>
      <c r="G366" s="1076"/>
    </row>
    <row r="367" spans="1:7">
      <c r="A367" s="1074">
        <v>1610</v>
      </c>
      <c r="B367" s="1075">
        <v>277200</v>
      </c>
      <c r="C367" s="1076"/>
      <c r="D367" s="1077">
        <v>-277200</v>
      </c>
      <c r="E367" s="1078"/>
      <c r="F367" s="1076"/>
      <c r="G367" s="1076"/>
    </row>
    <row r="368" spans="1:7">
      <c r="A368" s="1074">
        <v>1611</v>
      </c>
      <c r="B368" s="1075">
        <v>277200</v>
      </c>
      <c r="C368" s="1076"/>
      <c r="D368" s="1077">
        <v>-277200</v>
      </c>
      <c r="E368" s="1078"/>
      <c r="F368" s="1076"/>
      <c r="G368" s="1076"/>
    </row>
    <row r="369" spans="1:7">
      <c r="A369" s="1074">
        <v>3300</v>
      </c>
      <c r="B369" s="1076"/>
      <c r="C369" s="1086">
        <v>20953969.699999999</v>
      </c>
      <c r="D369" s="1078"/>
      <c r="E369" s="1077">
        <v>-277200</v>
      </c>
      <c r="F369" s="1076"/>
      <c r="G369" s="1086">
        <v>20676769.699999999</v>
      </c>
    </row>
    <row r="370" spans="1:7" ht="13.5" thickBot="1">
      <c r="A370" s="1074">
        <v>3310</v>
      </c>
      <c r="B370" s="1076"/>
      <c r="C370" s="1086">
        <v>20953969.699999999</v>
      </c>
      <c r="D370" s="1078"/>
      <c r="E370" s="1077">
        <v>-277200</v>
      </c>
      <c r="F370" s="1076"/>
      <c r="G370" s="1086">
        <v>20676769.699999999</v>
      </c>
    </row>
    <row r="371" spans="1:7">
      <c r="A371" s="1071" t="s">
        <v>919</v>
      </c>
      <c r="B371" s="1073">
        <v>297368</v>
      </c>
      <c r="C371" s="1072"/>
      <c r="D371" s="1073">
        <v>-34204</v>
      </c>
      <c r="E371" s="1073">
        <v>-34204</v>
      </c>
      <c r="F371" s="1073">
        <v>297368</v>
      </c>
      <c r="G371" s="1072"/>
    </row>
    <row r="372" spans="1:7">
      <c r="A372" s="1074">
        <v>1600</v>
      </c>
      <c r="B372" s="1075">
        <v>331572</v>
      </c>
      <c r="C372" s="1076"/>
      <c r="D372" s="1077">
        <v>-34204</v>
      </c>
      <c r="E372" s="1078"/>
      <c r="F372" s="1075">
        <v>297368</v>
      </c>
      <c r="G372" s="1076"/>
    </row>
    <row r="373" spans="1:7">
      <c r="A373" s="1074">
        <v>1610</v>
      </c>
      <c r="B373" s="1075">
        <v>331572</v>
      </c>
      <c r="C373" s="1076"/>
      <c r="D373" s="1077">
        <v>-34204</v>
      </c>
      <c r="E373" s="1078"/>
      <c r="F373" s="1075">
        <v>297368</v>
      </c>
      <c r="G373" s="1076"/>
    </row>
    <row r="374" spans="1:7">
      <c r="A374" s="1074">
        <v>1612</v>
      </c>
      <c r="B374" s="1075">
        <v>331572</v>
      </c>
      <c r="C374" s="1076"/>
      <c r="D374" s="1077">
        <v>-34204</v>
      </c>
      <c r="E374" s="1078"/>
      <c r="F374" s="1075">
        <v>297368</v>
      </c>
      <c r="G374" s="1076"/>
    </row>
    <row r="375" spans="1:7">
      <c r="A375" s="1074">
        <v>3500</v>
      </c>
      <c r="B375" s="1076"/>
      <c r="C375" s="1075">
        <v>34204</v>
      </c>
      <c r="D375" s="1078"/>
      <c r="E375" s="1077">
        <v>-34204</v>
      </c>
      <c r="F375" s="1076"/>
      <c r="G375" s="1076"/>
    </row>
    <row r="376" spans="1:7" ht="13.5" thickBot="1">
      <c r="A376" s="1074">
        <v>3510</v>
      </c>
      <c r="B376" s="1076"/>
      <c r="C376" s="1075">
        <v>34204</v>
      </c>
      <c r="D376" s="1078"/>
      <c r="E376" s="1077">
        <v>-34204</v>
      </c>
      <c r="F376" s="1076"/>
      <c r="G376" s="1076"/>
    </row>
    <row r="377" spans="1:7">
      <c r="A377" s="1071" t="s">
        <v>920</v>
      </c>
      <c r="B377" s="1073">
        <v>604351</v>
      </c>
      <c r="C377" s="1072"/>
      <c r="D377" s="1073">
        <v>-16500</v>
      </c>
      <c r="E377" s="1073">
        <v>-16500</v>
      </c>
      <c r="F377" s="1073">
        <v>604351</v>
      </c>
      <c r="G377" s="1072"/>
    </row>
    <row r="378" spans="1:7">
      <c r="A378" s="1074">
        <v>1600</v>
      </c>
      <c r="B378" s="1075">
        <v>620851</v>
      </c>
      <c r="C378" s="1076"/>
      <c r="D378" s="1077">
        <v>-16500</v>
      </c>
      <c r="E378" s="1078"/>
      <c r="F378" s="1075">
        <v>604351</v>
      </c>
      <c r="G378" s="1076"/>
    </row>
    <row r="379" spans="1:7">
      <c r="A379" s="1074">
        <v>1610</v>
      </c>
      <c r="B379" s="1075">
        <v>620851</v>
      </c>
      <c r="C379" s="1076"/>
      <c r="D379" s="1077">
        <v>-16500</v>
      </c>
      <c r="E379" s="1078"/>
      <c r="F379" s="1075">
        <v>604351</v>
      </c>
      <c r="G379" s="1076"/>
    </row>
    <row r="380" spans="1:7">
      <c r="A380" s="1074">
        <v>1612</v>
      </c>
      <c r="B380" s="1075">
        <v>620851</v>
      </c>
      <c r="C380" s="1076"/>
      <c r="D380" s="1077">
        <v>-16500</v>
      </c>
      <c r="E380" s="1078"/>
      <c r="F380" s="1075">
        <v>604351</v>
      </c>
      <c r="G380" s="1076"/>
    </row>
    <row r="381" spans="1:7">
      <c r="A381" s="1074">
        <v>3500</v>
      </c>
      <c r="B381" s="1076"/>
      <c r="C381" s="1075">
        <v>16500</v>
      </c>
      <c r="D381" s="1078"/>
      <c r="E381" s="1077">
        <v>-16500</v>
      </c>
      <c r="F381" s="1076"/>
      <c r="G381" s="1076"/>
    </row>
    <row r="382" spans="1:7" ht="13.5" thickBot="1">
      <c r="A382" s="1074">
        <v>3510</v>
      </c>
      <c r="B382" s="1076"/>
      <c r="C382" s="1075">
        <v>16500</v>
      </c>
      <c r="D382" s="1078"/>
      <c r="E382" s="1077">
        <v>-16500</v>
      </c>
      <c r="F382" s="1076"/>
      <c r="G382" s="1076"/>
    </row>
    <row r="383" spans="1:7">
      <c r="A383" s="1071" t="s">
        <v>921</v>
      </c>
      <c r="B383" s="1072"/>
      <c r="C383" s="1082">
        <v>6599723.5199999996</v>
      </c>
      <c r="D383" s="1082">
        <v>-10116866.48</v>
      </c>
      <c r="E383" s="1082">
        <v>-10116866.48</v>
      </c>
      <c r="F383" s="1072"/>
      <c r="G383" s="1082">
        <v>6599723.5199999996</v>
      </c>
    </row>
    <row r="384" spans="1:7">
      <c r="A384" s="1074">
        <v>1200</v>
      </c>
      <c r="B384" s="1083">
        <v>10116866.48</v>
      </c>
      <c r="C384" s="1076"/>
      <c r="D384" s="1085">
        <v>-10116866.48</v>
      </c>
      <c r="E384" s="1078"/>
      <c r="F384" s="1076"/>
      <c r="G384" s="1076"/>
    </row>
    <row r="385" spans="1:7">
      <c r="A385" s="1074">
        <v>1280</v>
      </c>
      <c r="B385" s="1083">
        <v>10116866.48</v>
      </c>
      <c r="C385" s="1076"/>
      <c r="D385" s="1085">
        <v>-10116866.48</v>
      </c>
      <c r="E385" s="1078"/>
      <c r="F385" s="1076"/>
      <c r="G385" s="1076"/>
    </row>
    <row r="386" spans="1:7">
      <c r="A386" s="1074">
        <v>3300</v>
      </c>
      <c r="B386" s="1076"/>
      <c r="C386" s="1075">
        <v>16716590</v>
      </c>
      <c r="D386" s="1078"/>
      <c r="E386" s="1085">
        <v>-10116866.48</v>
      </c>
      <c r="F386" s="1076"/>
      <c r="G386" s="1083">
        <v>6599723.5199999996</v>
      </c>
    </row>
    <row r="387" spans="1:7" ht="13.5" thickBot="1">
      <c r="A387" s="1074">
        <v>3310</v>
      </c>
      <c r="B387" s="1076"/>
      <c r="C387" s="1075">
        <v>16716590</v>
      </c>
      <c r="D387" s="1078"/>
      <c r="E387" s="1085">
        <v>-10116866.48</v>
      </c>
      <c r="F387" s="1076"/>
      <c r="G387" s="1083">
        <v>6599723.5199999996</v>
      </c>
    </row>
    <row r="388" spans="1:7">
      <c r="A388" s="1071" t="s">
        <v>637</v>
      </c>
      <c r="B388" s="1072"/>
      <c r="C388" s="1088">
        <v>0.02</v>
      </c>
      <c r="D388" s="1073">
        <v>-600000</v>
      </c>
      <c r="E388" s="1073">
        <v>-600000</v>
      </c>
      <c r="F388" s="1072"/>
      <c r="G388" s="1088">
        <v>0.02</v>
      </c>
    </row>
    <row r="389" spans="1:7">
      <c r="A389" s="1074">
        <v>1600</v>
      </c>
      <c r="B389" s="1075">
        <v>600000</v>
      </c>
      <c r="C389" s="1076"/>
      <c r="D389" s="1077">
        <v>-600000</v>
      </c>
      <c r="E389" s="1078"/>
      <c r="F389" s="1076"/>
      <c r="G389" s="1076"/>
    </row>
    <row r="390" spans="1:7">
      <c r="A390" s="1074">
        <v>1610</v>
      </c>
      <c r="B390" s="1075">
        <v>600000</v>
      </c>
      <c r="C390" s="1076"/>
      <c r="D390" s="1077">
        <v>-600000</v>
      </c>
      <c r="E390" s="1078"/>
      <c r="F390" s="1076"/>
      <c r="G390" s="1076"/>
    </row>
    <row r="391" spans="1:7">
      <c r="A391" s="1074">
        <v>1612</v>
      </c>
      <c r="B391" s="1075">
        <v>600000</v>
      </c>
      <c r="C391" s="1076"/>
      <c r="D391" s="1077">
        <v>-600000</v>
      </c>
      <c r="E391" s="1078"/>
      <c r="F391" s="1076"/>
      <c r="G391" s="1076"/>
    </row>
    <row r="392" spans="1:7">
      <c r="A392" s="1074">
        <v>3300</v>
      </c>
      <c r="B392" s="1076"/>
      <c r="C392" s="1083">
        <v>600000.02</v>
      </c>
      <c r="D392" s="1078"/>
      <c r="E392" s="1077">
        <v>-600000</v>
      </c>
      <c r="F392" s="1076"/>
      <c r="G392" s="1090">
        <v>0.02</v>
      </c>
    </row>
    <row r="393" spans="1:7" ht="13.5" thickBot="1">
      <c r="A393" s="1074">
        <v>3310</v>
      </c>
      <c r="B393" s="1076"/>
      <c r="C393" s="1083">
        <v>600000.02</v>
      </c>
      <c r="D393" s="1078"/>
      <c r="E393" s="1077">
        <v>-600000</v>
      </c>
      <c r="F393" s="1076"/>
      <c r="G393" s="1090">
        <v>0.02</v>
      </c>
    </row>
    <row r="394" spans="1:7">
      <c r="A394" s="1071" t="s">
        <v>922</v>
      </c>
      <c r="B394" s="1072"/>
      <c r="C394" s="1072"/>
      <c r="D394" s="1073">
        <v>-112593</v>
      </c>
      <c r="E394" s="1073">
        <v>-112593</v>
      </c>
      <c r="F394" s="1072"/>
      <c r="G394" s="1072"/>
    </row>
    <row r="395" spans="1:7">
      <c r="A395" s="1074">
        <v>1200</v>
      </c>
      <c r="B395" s="1075">
        <v>112593</v>
      </c>
      <c r="C395" s="1076"/>
      <c r="D395" s="1077">
        <v>-112593</v>
      </c>
      <c r="E395" s="1078"/>
      <c r="F395" s="1076"/>
      <c r="G395" s="1076"/>
    </row>
    <row r="396" spans="1:7">
      <c r="A396" s="1074">
        <v>1280</v>
      </c>
      <c r="B396" s="1075">
        <v>112593</v>
      </c>
      <c r="C396" s="1076"/>
      <c r="D396" s="1077">
        <v>-112593</v>
      </c>
      <c r="E396" s="1078"/>
      <c r="F396" s="1076"/>
      <c r="G396" s="1076"/>
    </row>
    <row r="397" spans="1:7">
      <c r="A397" s="1074">
        <v>3300</v>
      </c>
      <c r="B397" s="1076"/>
      <c r="C397" s="1075">
        <v>112593</v>
      </c>
      <c r="D397" s="1078"/>
      <c r="E397" s="1077">
        <v>-112593</v>
      </c>
      <c r="F397" s="1076"/>
      <c r="G397" s="1076"/>
    </row>
    <row r="398" spans="1:7" ht="13.5" thickBot="1">
      <c r="A398" s="1074">
        <v>3390</v>
      </c>
      <c r="B398" s="1076"/>
      <c r="C398" s="1075">
        <v>112593</v>
      </c>
      <c r="D398" s="1078"/>
      <c r="E398" s="1077">
        <v>-112593</v>
      </c>
      <c r="F398" s="1076"/>
      <c r="G398" s="1076"/>
    </row>
    <row r="399" spans="1:7">
      <c r="A399" s="1071" t="s">
        <v>629</v>
      </c>
      <c r="B399" s="1073">
        <v>553000</v>
      </c>
      <c r="C399" s="1072"/>
      <c r="D399" s="1073">
        <v>-46000</v>
      </c>
      <c r="E399" s="1073">
        <v>-46000</v>
      </c>
      <c r="F399" s="1073">
        <v>553000</v>
      </c>
      <c r="G399" s="1072"/>
    </row>
    <row r="400" spans="1:7">
      <c r="A400" s="1074">
        <v>1600</v>
      </c>
      <c r="B400" s="1075">
        <v>599000</v>
      </c>
      <c r="C400" s="1076"/>
      <c r="D400" s="1077">
        <v>-46000</v>
      </c>
      <c r="E400" s="1078"/>
      <c r="F400" s="1075">
        <v>553000</v>
      </c>
      <c r="G400" s="1076"/>
    </row>
    <row r="401" spans="1:7">
      <c r="A401" s="1074">
        <v>1610</v>
      </c>
      <c r="B401" s="1075">
        <v>599000</v>
      </c>
      <c r="C401" s="1076"/>
      <c r="D401" s="1077">
        <v>-46000</v>
      </c>
      <c r="E401" s="1078"/>
      <c r="F401" s="1075">
        <v>553000</v>
      </c>
      <c r="G401" s="1076"/>
    </row>
    <row r="402" spans="1:7">
      <c r="A402" s="1074">
        <v>1612</v>
      </c>
      <c r="B402" s="1075">
        <v>599000</v>
      </c>
      <c r="C402" s="1076"/>
      <c r="D402" s="1077">
        <v>-46000</v>
      </c>
      <c r="E402" s="1078"/>
      <c r="F402" s="1075">
        <v>553000</v>
      </c>
      <c r="G402" s="1076"/>
    </row>
    <row r="403" spans="1:7">
      <c r="A403" s="1074">
        <v>3300</v>
      </c>
      <c r="B403" s="1076"/>
      <c r="C403" s="1075">
        <v>46000</v>
      </c>
      <c r="D403" s="1078"/>
      <c r="E403" s="1077">
        <v>-46000</v>
      </c>
      <c r="F403" s="1076"/>
      <c r="G403" s="1076"/>
    </row>
    <row r="404" spans="1:7" ht="13.5" thickBot="1">
      <c r="A404" s="1074">
        <v>3310</v>
      </c>
      <c r="B404" s="1076"/>
      <c r="C404" s="1075">
        <v>46000</v>
      </c>
      <c r="D404" s="1078"/>
      <c r="E404" s="1077">
        <v>-46000</v>
      </c>
      <c r="F404" s="1076"/>
      <c r="G404" s="1076"/>
    </row>
    <row r="405" spans="1:7">
      <c r="A405" s="1071" t="s">
        <v>923</v>
      </c>
      <c r="B405" s="1073">
        <v>102520</v>
      </c>
      <c r="C405" s="1072"/>
      <c r="D405" s="1073">
        <v>-16500</v>
      </c>
      <c r="E405" s="1073">
        <v>-16500</v>
      </c>
      <c r="F405" s="1073">
        <v>102520</v>
      </c>
      <c r="G405" s="1072"/>
    </row>
    <row r="406" spans="1:7">
      <c r="A406" s="1074">
        <v>1600</v>
      </c>
      <c r="B406" s="1075">
        <v>119020</v>
      </c>
      <c r="C406" s="1076"/>
      <c r="D406" s="1077">
        <v>-16500</v>
      </c>
      <c r="E406" s="1078"/>
      <c r="F406" s="1075">
        <v>102520</v>
      </c>
      <c r="G406" s="1076"/>
    </row>
    <row r="407" spans="1:7">
      <c r="A407" s="1074">
        <v>1610</v>
      </c>
      <c r="B407" s="1075">
        <v>119020</v>
      </c>
      <c r="C407" s="1076"/>
      <c r="D407" s="1077">
        <v>-16500</v>
      </c>
      <c r="E407" s="1078"/>
      <c r="F407" s="1075">
        <v>102520</v>
      </c>
      <c r="G407" s="1076"/>
    </row>
    <row r="408" spans="1:7">
      <c r="A408" s="1074">
        <v>1612</v>
      </c>
      <c r="B408" s="1075">
        <v>119020</v>
      </c>
      <c r="C408" s="1076"/>
      <c r="D408" s="1077">
        <v>-16500</v>
      </c>
      <c r="E408" s="1078"/>
      <c r="F408" s="1075">
        <v>102520</v>
      </c>
      <c r="G408" s="1076"/>
    </row>
    <row r="409" spans="1:7">
      <c r="A409" s="1074">
        <v>3500</v>
      </c>
      <c r="B409" s="1076"/>
      <c r="C409" s="1075">
        <v>16500</v>
      </c>
      <c r="D409" s="1078"/>
      <c r="E409" s="1077">
        <v>-16500</v>
      </c>
      <c r="F409" s="1076"/>
      <c r="G409" s="1076"/>
    </row>
    <row r="410" spans="1:7" ht="13.5" thickBot="1">
      <c r="A410" s="1074">
        <v>3510</v>
      </c>
      <c r="B410" s="1076"/>
      <c r="C410" s="1075">
        <v>16500</v>
      </c>
      <c r="D410" s="1078"/>
      <c r="E410" s="1077">
        <v>-16500</v>
      </c>
      <c r="F410" s="1076"/>
      <c r="G410" s="1076"/>
    </row>
    <row r="411" spans="1:7">
      <c r="A411" s="1071" t="s">
        <v>924</v>
      </c>
      <c r="B411" s="1082">
        <v>4310487.9800000004</v>
      </c>
      <c r="C411" s="1072"/>
      <c r="D411" s="1073">
        <v>-1622</v>
      </c>
      <c r="E411" s="1073">
        <v>-1622</v>
      </c>
      <c r="F411" s="1082">
        <v>4310487.9800000004</v>
      </c>
      <c r="G411" s="1072"/>
    </row>
    <row r="412" spans="1:7">
      <c r="A412" s="1074">
        <v>1200</v>
      </c>
      <c r="B412" s="1083">
        <v>4312109.9800000004</v>
      </c>
      <c r="C412" s="1076"/>
      <c r="D412" s="1077">
        <v>-1622</v>
      </c>
      <c r="E412" s="1078"/>
      <c r="F412" s="1083">
        <v>4310487.9800000004</v>
      </c>
      <c r="G412" s="1076"/>
    </row>
    <row r="413" spans="1:7">
      <c r="A413" s="1074">
        <v>1210</v>
      </c>
      <c r="B413" s="1083">
        <v>4312109.9800000004</v>
      </c>
      <c r="C413" s="1076"/>
      <c r="D413" s="1077">
        <v>-1622</v>
      </c>
      <c r="E413" s="1078"/>
      <c r="F413" s="1083">
        <v>4310487.9800000004</v>
      </c>
      <c r="G413" s="1076"/>
    </row>
    <row r="414" spans="1:7">
      <c r="A414" s="1074">
        <v>3500</v>
      </c>
      <c r="B414" s="1076"/>
      <c r="C414" s="1075">
        <v>1622</v>
      </c>
      <c r="D414" s="1078"/>
      <c r="E414" s="1077">
        <v>-1622</v>
      </c>
      <c r="F414" s="1076"/>
      <c r="G414" s="1076"/>
    </row>
    <row r="415" spans="1:7" ht="13.5" thickBot="1">
      <c r="A415" s="1074">
        <v>3510</v>
      </c>
      <c r="B415" s="1076"/>
      <c r="C415" s="1075">
        <v>1622</v>
      </c>
      <c r="D415" s="1078"/>
      <c r="E415" s="1077">
        <v>-1622</v>
      </c>
      <c r="F415" s="1076"/>
      <c r="G415" s="1076"/>
    </row>
    <row r="416" spans="1:7">
      <c r="A416" s="1071" t="s">
        <v>925</v>
      </c>
      <c r="B416" s="1072"/>
      <c r="C416" s="1072"/>
      <c r="D416" s="1084">
        <v>-3480092.1</v>
      </c>
      <c r="E416" s="1084">
        <v>-3480092.1</v>
      </c>
      <c r="F416" s="1072"/>
      <c r="G416" s="1072"/>
    </row>
    <row r="417" spans="1:7">
      <c r="A417" s="1074">
        <v>1200</v>
      </c>
      <c r="B417" s="1086">
        <v>3480092.1</v>
      </c>
      <c r="C417" s="1076"/>
      <c r="D417" s="1087">
        <v>-3480092.1</v>
      </c>
      <c r="E417" s="1078"/>
      <c r="F417" s="1076"/>
      <c r="G417" s="1076"/>
    </row>
    <row r="418" spans="1:7">
      <c r="A418" s="1074">
        <v>1210</v>
      </c>
      <c r="B418" s="1086">
        <v>3480092.1</v>
      </c>
      <c r="C418" s="1076"/>
      <c r="D418" s="1087">
        <v>-3480092.1</v>
      </c>
      <c r="E418" s="1078"/>
      <c r="F418" s="1076"/>
      <c r="G418" s="1076"/>
    </row>
    <row r="419" spans="1:7">
      <c r="A419" s="1074">
        <v>3300</v>
      </c>
      <c r="B419" s="1076"/>
      <c r="C419" s="1086">
        <v>3480092.1</v>
      </c>
      <c r="D419" s="1078"/>
      <c r="E419" s="1087">
        <v>-3480092.1</v>
      </c>
      <c r="F419" s="1076"/>
      <c r="G419" s="1076"/>
    </row>
    <row r="420" spans="1:7" ht="13.5" thickBot="1">
      <c r="A420" s="1074">
        <v>3310</v>
      </c>
      <c r="B420" s="1076"/>
      <c r="C420" s="1086">
        <v>3480092.1</v>
      </c>
      <c r="D420" s="1078"/>
      <c r="E420" s="1087">
        <v>-3480092.1</v>
      </c>
      <c r="F420" s="1076"/>
      <c r="G420" s="1076"/>
    </row>
    <row r="421" spans="1:7">
      <c r="A421" s="1071" t="s">
        <v>926</v>
      </c>
      <c r="B421" s="1072"/>
      <c r="C421" s="1072"/>
      <c r="D421" s="1084">
        <v>-3452501.1</v>
      </c>
      <c r="E421" s="1084">
        <v>-3452501.1</v>
      </c>
      <c r="F421" s="1072"/>
      <c r="G421" s="1072"/>
    </row>
    <row r="422" spans="1:7">
      <c r="A422" s="1074">
        <v>1200</v>
      </c>
      <c r="B422" s="1086">
        <v>3452501.1</v>
      </c>
      <c r="C422" s="1076"/>
      <c r="D422" s="1087">
        <v>-3452501.1</v>
      </c>
      <c r="E422" s="1078"/>
      <c r="F422" s="1076"/>
      <c r="G422" s="1076"/>
    </row>
    <row r="423" spans="1:7">
      <c r="A423" s="1074">
        <v>1210</v>
      </c>
      <c r="B423" s="1086">
        <v>3452501.1</v>
      </c>
      <c r="C423" s="1076"/>
      <c r="D423" s="1087">
        <v>-3452501.1</v>
      </c>
      <c r="E423" s="1078"/>
      <c r="F423" s="1076"/>
      <c r="G423" s="1076"/>
    </row>
    <row r="424" spans="1:7">
      <c r="A424" s="1074">
        <v>3300</v>
      </c>
      <c r="B424" s="1076"/>
      <c r="C424" s="1086">
        <v>3452501.1</v>
      </c>
      <c r="D424" s="1078"/>
      <c r="E424" s="1087">
        <v>-3452501.1</v>
      </c>
      <c r="F424" s="1076"/>
      <c r="G424" s="1076"/>
    </row>
    <row r="425" spans="1:7" ht="13.5" thickBot="1">
      <c r="A425" s="1074">
        <v>3310</v>
      </c>
      <c r="B425" s="1076"/>
      <c r="C425" s="1086">
        <v>3452501.1</v>
      </c>
      <c r="D425" s="1078"/>
      <c r="E425" s="1087">
        <v>-3452501.1</v>
      </c>
      <c r="F425" s="1076"/>
      <c r="G425" s="1076"/>
    </row>
    <row r="426" spans="1:7">
      <c r="A426" s="1071" t="s">
        <v>927</v>
      </c>
      <c r="B426" s="1073">
        <v>292620</v>
      </c>
      <c r="C426" s="1072"/>
      <c r="D426" s="1073">
        <v>-16500</v>
      </c>
      <c r="E426" s="1073">
        <v>-16500</v>
      </c>
      <c r="F426" s="1073">
        <v>292620</v>
      </c>
      <c r="G426" s="1072"/>
    </row>
    <row r="427" spans="1:7">
      <c r="A427" s="1074">
        <v>1600</v>
      </c>
      <c r="B427" s="1075">
        <v>309120</v>
      </c>
      <c r="C427" s="1076"/>
      <c r="D427" s="1077">
        <v>-16500</v>
      </c>
      <c r="E427" s="1078"/>
      <c r="F427" s="1075">
        <v>292620</v>
      </c>
      <c r="G427" s="1076"/>
    </row>
    <row r="428" spans="1:7">
      <c r="A428" s="1074">
        <v>1610</v>
      </c>
      <c r="B428" s="1075">
        <v>309120</v>
      </c>
      <c r="C428" s="1076"/>
      <c r="D428" s="1077">
        <v>-16500</v>
      </c>
      <c r="E428" s="1078"/>
      <c r="F428" s="1075">
        <v>292620</v>
      </c>
      <c r="G428" s="1076"/>
    </row>
    <row r="429" spans="1:7">
      <c r="A429" s="1074">
        <v>1612</v>
      </c>
      <c r="B429" s="1075">
        <v>309120</v>
      </c>
      <c r="C429" s="1076"/>
      <c r="D429" s="1077">
        <v>-16500</v>
      </c>
      <c r="E429" s="1078"/>
      <c r="F429" s="1075">
        <v>292620</v>
      </c>
      <c r="G429" s="1076"/>
    </row>
    <row r="430" spans="1:7">
      <c r="A430" s="1074">
        <v>3500</v>
      </c>
      <c r="B430" s="1076"/>
      <c r="C430" s="1075">
        <v>16500</v>
      </c>
      <c r="D430" s="1078"/>
      <c r="E430" s="1077">
        <v>-16500</v>
      </c>
      <c r="F430" s="1076"/>
      <c r="G430" s="1076"/>
    </row>
    <row r="431" spans="1:7" ht="13.5" thickBot="1">
      <c r="A431" s="1074">
        <v>3510</v>
      </c>
      <c r="B431" s="1076"/>
      <c r="C431" s="1075">
        <v>16500</v>
      </c>
      <c r="D431" s="1078"/>
      <c r="E431" s="1077">
        <v>-16500</v>
      </c>
      <c r="F431" s="1076"/>
      <c r="G431" s="1076"/>
    </row>
    <row r="432" spans="1:7">
      <c r="A432" s="1071" t="s">
        <v>428</v>
      </c>
      <c r="B432" s="1082">
        <v>1279100152.4300001</v>
      </c>
      <c r="C432" s="1072"/>
      <c r="D432" s="1073">
        <v>-982000</v>
      </c>
      <c r="E432" s="1073">
        <v>-982000</v>
      </c>
      <c r="F432" s="1082">
        <v>1279100152.4300001</v>
      </c>
      <c r="G432" s="1072"/>
    </row>
    <row r="433" spans="1:8">
      <c r="A433" s="1074">
        <v>1200</v>
      </c>
      <c r="B433" s="1083">
        <v>1280082152.4300001</v>
      </c>
      <c r="C433" s="1076"/>
      <c r="D433" s="1077">
        <v>-982000</v>
      </c>
      <c r="E433" s="1078"/>
      <c r="F433" s="1083">
        <v>1279100152.4300001</v>
      </c>
      <c r="G433" s="1076"/>
    </row>
    <row r="434" spans="1:8">
      <c r="A434" s="1074">
        <v>1210</v>
      </c>
      <c r="B434" s="1083">
        <v>1280082152.4300001</v>
      </c>
      <c r="C434" s="1076"/>
      <c r="D434" s="1077">
        <v>-982000</v>
      </c>
      <c r="E434" s="1078"/>
      <c r="F434" s="1083">
        <v>1279100152.4300001</v>
      </c>
      <c r="G434" s="1076"/>
      <c r="H434" s="1098">
        <f>D434</f>
        <v>-982000</v>
      </c>
    </row>
    <row r="435" spans="1:8">
      <c r="A435" s="1074">
        <v>3500</v>
      </c>
      <c r="B435" s="1076"/>
      <c r="C435" s="1075">
        <v>982000</v>
      </c>
      <c r="D435" s="1078"/>
      <c r="E435" s="1077">
        <v>-982000</v>
      </c>
      <c r="F435" s="1076"/>
      <c r="G435" s="1076"/>
    </row>
    <row r="436" spans="1:8" ht="13.5" thickBot="1">
      <c r="A436" s="1074">
        <v>3510</v>
      </c>
      <c r="B436" s="1076"/>
      <c r="C436" s="1075">
        <v>982000</v>
      </c>
      <c r="D436" s="1078"/>
      <c r="E436" s="1077">
        <v>-982000</v>
      </c>
      <c r="F436" s="1076"/>
      <c r="G436" s="1076"/>
    </row>
    <row r="437" spans="1:8">
      <c r="A437" s="1071" t="s">
        <v>928</v>
      </c>
      <c r="B437" s="1072"/>
      <c r="C437" s="1073">
        <v>436021</v>
      </c>
      <c r="D437" s="1082">
        <v>-346787.84000000003</v>
      </c>
      <c r="E437" s="1082">
        <v>-346787.84000000003</v>
      </c>
      <c r="F437" s="1072"/>
      <c r="G437" s="1073">
        <v>436021</v>
      </c>
    </row>
    <row r="438" spans="1:8">
      <c r="A438" s="1074">
        <v>1600</v>
      </c>
      <c r="B438" s="1083">
        <v>346787.84000000003</v>
      </c>
      <c r="C438" s="1076"/>
      <c r="D438" s="1085">
        <v>-346787.84000000003</v>
      </c>
      <c r="E438" s="1078"/>
      <c r="F438" s="1076"/>
      <c r="G438" s="1076"/>
    </row>
    <row r="439" spans="1:8">
      <c r="A439" s="1074">
        <v>1610</v>
      </c>
      <c r="B439" s="1083">
        <v>346787.84000000003</v>
      </c>
      <c r="C439" s="1076"/>
      <c r="D439" s="1085">
        <v>-346787.84000000003</v>
      </c>
      <c r="E439" s="1078"/>
      <c r="F439" s="1076"/>
      <c r="G439" s="1076"/>
    </row>
    <row r="440" spans="1:8">
      <c r="A440" s="1074">
        <v>1612</v>
      </c>
      <c r="B440" s="1083">
        <v>346787.84000000003</v>
      </c>
      <c r="C440" s="1076"/>
      <c r="D440" s="1085">
        <v>-346787.84000000003</v>
      </c>
      <c r="E440" s="1078"/>
      <c r="F440" s="1076"/>
      <c r="G440" s="1076"/>
    </row>
    <row r="441" spans="1:8">
      <c r="A441" s="1074">
        <v>3300</v>
      </c>
      <c r="B441" s="1076"/>
      <c r="C441" s="1083">
        <v>782808.84</v>
      </c>
      <c r="D441" s="1078"/>
      <c r="E441" s="1085">
        <v>-346787.84000000003</v>
      </c>
      <c r="F441" s="1076"/>
      <c r="G441" s="1075">
        <v>436021</v>
      </c>
    </row>
    <row r="442" spans="1:8" ht="13.5" thickBot="1">
      <c r="A442" s="1074">
        <v>3310</v>
      </c>
      <c r="B442" s="1076"/>
      <c r="C442" s="1083">
        <v>782808.84</v>
      </c>
      <c r="D442" s="1078"/>
      <c r="E442" s="1085">
        <v>-346787.84000000003</v>
      </c>
      <c r="F442" s="1076"/>
      <c r="G442" s="1075">
        <v>436021</v>
      </c>
    </row>
    <row r="443" spans="1:8">
      <c r="A443" s="1071" t="s">
        <v>929</v>
      </c>
      <c r="B443" s="1082">
        <v>34483807.130000003</v>
      </c>
      <c r="C443" s="1072"/>
      <c r="D443" s="1073">
        <v>-285714</v>
      </c>
      <c r="E443" s="1073">
        <v>-285714</v>
      </c>
      <c r="F443" s="1082">
        <v>34483807.130000003</v>
      </c>
      <c r="G443" s="1072"/>
    </row>
    <row r="444" spans="1:8">
      <c r="A444" s="1074">
        <v>1200</v>
      </c>
      <c r="B444" s="1083">
        <v>34769521.130000003</v>
      </c>
      <c r="C444" s="1076"/>
      <c r="D444" s="1077">
        <v>-285714</v>
      </c>
      <c r="E444" s="1078"/>
      <c r="F444" s="1083">
        <v>34483807.130000003</v>
      </c>
      <c r="G444" s="1076"/>
    </row>
    <row r="445" spans="1:8">
      <c r="A445" s="1074">
        <v>1210</v>
      </c>
      <c r="B445" s="1083">
        <v>34769521.130000003</v>
      </c>
      <c r="C445" s="1076"/>
      <c r="D445" s="1077">
        <v>-285714</v>
      </c>
      <c r="E445" s="1078"/>
      <c r="F445" s="1083">
        <v>34483807.130000003</v>
      </c>
      <c r="G445" s="1076"/>
      <c r="H445" s="1098">
        <f>D445</f>
        <v>-285714</v>
      </c>
    </row>
    <row r="446" spans="1:8">
      <c r="A446" s="1074">
        <v>3500</v>
      </c>
      <c r="B446" s="1076"/>
      <c r="C446" s="1075">
        <v>285714</v>
      </c>
      <c r="D446" s="1078"/>
      <c r="E446" s="1077">
        <v>-285714</v>
      </c>
      <c r="F446" s="1076"/>
      <c r="G446" s="1076"/>
    </row>
    <row r="447" spans="1:8" ht="13.5" thickBot="1">
      <c r="A447" s="1074">
        <v>3510</v>
      </c>
      <c r="B447" s="1076"/>
      <c r="C447" s="1075">
        <v>285714</v>
      </c>
      <c r="D447" s="1078"/>
      <c r="E447" s="1077">
        <v>-285714</v>
      </c>
      <c r="F447" s="1076"/>
      <c r="G447" s="1076"/>
    </row>
    <row r="448" spans="1:8">
      <c r="A448" s="1071" t="s">
        <v>930</v>
      </c>
      <c r="B448" s="1082">
        <v>28898.560000000001</v>
      </c>
      <c r="C448" s="1072"/>
      <c r="D448" s="1082">
        <v>-232179.52</v>
      </c>
      <c r="E448" s="1082">
        <v>-232179.52</v>
      </c>
      <c r="F448" s="1082">
        <v>28898.560000000001</v>
      </c>
      <c r="G448" s="1072"/>
    </row>
    <row r="449" spans="1:7">
      <c r="A449" s="1074">
        <v>1600</v>
      </c>
      <c r="B449" s="1083">
        <v>261078.08</v>
      </c>
      <c r="C449" s="1076"/>
      <c r="D449" s="1085">
        <v>-232179.52</v>
      </c>
      <c r="E449" s="1078"/>
      <c r="F449" s="1083">
        <v>28898.560000000001</v>
      </c>
      <c r="G449" s="1076"/>
    </row>
    <row r="450" spans="1:7">
      <c r="A450" s="1074">
        <v>1610</v>
      </c>
      <c r="B450" s="1083">
        <v>261078.08</v>
      </c>
      <c r="C450" s="1076"/>
      <c r="D450" s="1085">
        <v>-232179.52</v>
      </c>
      <c r="E450" s="1078"/>
      <c r="F450" s="1083">
        <v>28898.560000000001</v>
      </c>
      <c r="G450" s="1076"/>
    </row>
    <row r="451" spans="1:7">
      <c r="A451" s="1074">
        <v>1611</v>
      </c>
      <c r="B451" s="1083">
        <v>39957.120000000003</v>
      </c>
      <c r="C451" s="1076"/>
      <c r="D451" s="1085">
        <v>-11058.56</v>
      </c>
      <c r="E451" s="1078"/>
      <c r="F451" s="1083">
        <v>28898.560000000001</v>
      </c>
      <c r="G451" s="1076"/>
    </row>
    <row r="452" spans="1:7">
      <c r="A452" s="1074">
        <v>1612</v>
      </c>
      <c r="B452" s="1083">
        <v>221120.96</v>
      </c>
      <c r="C452" s="1076"/>
      <c r="D452" s="1085">
        <v>-221120.96</v>
      </c>
      <c r="E452" s="1078"/>
      <c r="F452" s="1076"/>
      <c r="G452" s="1076"/>
    </row>
    <row r="453" spans="1:7">
      <c r="A453" s="1074">
        <v>3300</v>
      </c>
      <c r="B453" s="1076"/>
      <c r="C453" s="1083">
        <v>232179.52</v>
      </c>
      <c r="D453" s="1078"/>
      <c r="E453" s="1085">
        <v>-232179.52</v>
      </c>
      <c r="F453" s="1076"/>
      <c r="G453" s="1076"/>
    </row>
    <row r="454" spans="1:7" ht="13.5" thickBot="1">
      <c r="A454" s="1074">
        <v>3310</v>
      </c>
      <c r="B454" s="1076"/>
      <c r="C454" s="1083">
        <v>232179.52</v>
      </c>
      <c r="D454" s="1078"/>
      <c r="E454" s="1085">
        <v>-232179.52</v>
      </c>
      <c r="F454" s="1076"/>
      <c r="G454" s="1076"/>
    </row>
    <row r="455" spans="1:7">
      <c r="A455" s="1071" t="s">
        <v>931</v>
      </c>
      <c r="B455" s="1072"/>
      <c r="C455" s="1073">
        <v>217168</v>
      </c>
      <c r="D455" s="1073">
        <v>-137140</v>
      </c>
      <c r="E455" s="1073">
        <v>-137140</v>
      </c>
      <c r="F455" s="1072"/>
      <c r="G455" s="1073">
        <v>217168</v>
      </c>
    </row>
    <row r="456" spans="1:7">
      <c r="A456" s="1074">
        <v>1600</v>
      </c>
      <c r="B456" s="1075">
        <v>137140</v>
      </c>
      <c r="C456" s="1076"/>
      <c r="D456" s="1077">
        <v>-137140</v>
      </c>
      <c r="E456" s="1078"/>
      <c r="F456" s="1076"/>
      <c r="G456" s="1076"/>
    </row>
    <row r="457" spans="1:7">
      <c r="A457" s="1074">
        <v>1610</v>
      </c>
      <c r="B457" s="1075">
        <v>137140</v>
      </c>
      <c r="C457" s="1076"/>
      <c r="D457" s="1077">
        <v>-137140</v>
      </c>
      <c r="E457" s="1078"/>
      <c r="F457" s="1076"/>
      <c r="G457" s="1076"/>
    </row>
    <row r="458" spans="1:7">
      <c r="A458" s="1074">
        <v>1612</v>
      </c>
      <c r="B458" s="1075">
        <v>137140</v>
      </c>
      <c r="C458" s="1076"/>
      <c r="D458" s="1077">
        <v>-137140</v>
      </c>
      <c r="E458" s="1078"/>
      <c r="F458" s="1076"/>
      <c r="G458" s="1076"/>
    </row>
    <row r="459" spans="1:7">
      <c r="A459" s="1074">
        <v>3300</v>
      </c>
      <c r="B459" s="1076"/>
      <c r="C459" s="1075">
        <v>354308</v>
      </c>
      <c r="D459" s="1078"/>
      <c r="E459" s="1077">
        <v>-137140</v>
      </c>
      <c r="F459" s="1076"/>
      <c r="G459" s="1075">
        <v>217168</v>
      </c>
    </row>
    <row r="460" spans="1:7" ht="13.5" thickBot="1">
      <c r="A460" s="1074">
        <v>3310</v>
      </c>
      <c r="B460" s="1076"/>
      <c r="C460" s="1075">
        <v>354308</v>
      </c>
      <c r="D460" s="1078"/>
      <c r="E460" s="1077">
        <v>-137140</v>
      </c>
      <c r="F460" s="1076"/>
      <c r="G460" s="1075">
        <v>217168</v>
      </c>
    </row>
    <row r="461" spans="1:7">
      <c r="A461" s="1071" t="s">
        <v>932</v>
      </c>
      <c r="B461" s="1082">
        <v>9511953.2899999991</v>
      </c>
      <c r="C461" s="1072"/>
      <c r="D461" s="1084">
        <v>-972223.2</v>
      </c>
      <c r="E461" s="1084">
        <v>-972223.2</v>
      </c>
      <c r="F461" s="1082">
        <v>9511953.2899999991</v>
      </c>
      <c r="G461" s="1072"/>
    </row>
    <row r="462" spans="1:7">
      <c r="A462" s="1074">
        <v>1200</v>
      </c>
      <c r="B462" s="1083">
        <v>10484176.49</v>
      </c>
      <c r="C462" s="1076"/>
      <c r="D462" s="1087">
        <v>-972223.2</v>
      </c>
      <c r="E462" s="1078"/>
      <c r="F462" s="1083">
        <v>9511953.2899999991</v>
      </c>
      <c r="G462" s="1076"/>
    </row>
    <row r="463" spans="1:7">
      <c r="A463" s="1074">
        <v>1210</v>
      </c>
      <c r="B463" s="1083">
        <v>10484176.49</v>
      </c>
      <c r="C463" s="1076"/>
      <c r="D463" s="1087">
        <v>-972223.2</v>
      </c>
      <c r="E463" s="1078"/>
      <c r="F463" s="1083">
        <v>9511953.2899999991</v>
      </c>
      <c r="G463" s="1076"/>
    </row>
    <row r="464" spans="1:7">
      <c r="A464" s="1074">
        <v>3300</v>
      </c>
      <c r="B464" s="1076"/>
      <c r="C464" s="1086">
        <v>972223.2</v>
      </c>
      <c r="D464" s="1078"/>
      <c r="E464" s="1087">
        <v>-972223.2</v>
      </c>
      <c r="F464" s="1076"/>
      <c r="G464" s="1076"/>
    </row>
    <row r="465" spans="1:7" ht="13.5" thickBot="1">
      <c r="A465" s="1074">
        <v>3310</v>
      </c>
      <c r="B465" s="1076"/>
      <c r="C465" s="1086">
        <v>972223.2</v>
      </c>
      <c r="D465" s="1078"/>
      <c r="E465" s="1087">
        <v>-972223.2</v>
      </c>
      <c r="F465" s="1076"/>
      <c r="G465" s="1076"/>
    </row>
    <row r="466" spans="1:7">
      <c r="A466" s="1071" t="s">
        <v>933</v>
      </c>
      <c r="B466" s="1072"/>
      <c r="C466" s="1088">
        <v>4.18</v>
      </c>
      <c r="D466" s="1082">
        <v>-6333405.3200000003</v>
      </c>
      <c r="E466" s="1082">
        <v>-6333405.3200000003</v>
      </c>
      <c r="F466" s="1072"/>
      <c r="G466" s="1088">
        <v>4.18</v>
      </c>
    </row>
    <row r="467" spans="1:7">
      <c r="A467" s="1074">
        <v>1200</v>
      </c>
      <c r="B467" s="1083">
        <v>6333405.3200000003</v>
      </c>
      <c r="C467" s="1076"/>
      <c r="D467" s="1085">
        <v>-6333405.3200000003</v>
      </c>
      <c r="E467" s="1078"/>
      <c r="F467" s="1076"/>
      <c r="G467" s="1076"/>
    </row>
    <row r="468" spans="1:7">
      <c r="A468" s="1074">
        <v>1210</v>
      </c>
      <c r="B468" s="1083">
        <v>6333405.3200000003</v>
      </c>
      <c r="C468" s="1076"/>
      <c r="D468" s="1085">
        <v>-6333405.3200000003</v>
      </c>
      <c r="E468" s="1078"/>
      <c r="F468" s="1076"/>
      <c r="G468" s="1076"/>
    </row>
    <row r="469" spans="1:7">
      <c r="A469" s="1074">
        <v>3300</v>
      </c>
      <c r="B469" s="1076"/>
      <c r="C469" s="1086">
        <v>6333409.5</v>
      </c>
      <c r="D469" s="1078"/>
      <c r="E469" s="1085">
        <v>-6333405.3200000003</v>
      </c>
      <c r="F469" s="1076"/>
      <c r="G469" s="1090">
        <v>4.18</v>
      </c>
    </row>
    <row r="470" spans="1:7" ht="13.5" thickBot="1">
      <c r="A470" s="1074">
        <v>3310</v>
      </c>
      <c r="B470" s="1076"/>
      <c r="C470" s="1086">
        <v>6333409.5</v>
      </c>
      <c r="D470" s="1078"/>
      <c r="E470" s="1085">
        <v>-6333405.3200000003</v>
      </c>
      <c r="F470" s="1076"/>
      <c r="G470" s="1090">
        <v>4.18</v>
      </c>
    </row>
    <row r="471" spans="1:7">
      <c r="A471" s="1071" t="s">
        <v>934</v>
      </c>
      <c r="B471" s="1072"/>
      <c r="C471" s="1082">
        <v>3063161.46</v>
      </c>
      <c r="D471" s="1073">
        <v>-2000</v>
      </c>
      <c r="E471" s="1073">
        <v>-2000</v>
      </c>
      <c r="F471" s="1072"/>
      <c r="G471" s="1082">
        <v>3063161.46</v>
      </c>
    </row>
    <row r="472" spans="1:7">
      <c r="A472" s="1074">
        <v>1200</v>
      </c>
      <c r="B472" s="1075">
        <v>2000</v>
      </c>
      <c r="C472" s="1076"/>
      <c r="D472" s="1077">
        <v>-2000</v>
      </c>
      <c r="E472" s="1078"/>
      <c r="F472" s="1076"/>
      <c r="G472" s="1076"/>
    </row>
    <row r="473" spans="1:7">
      <c r="A473" s="1074">
        <v>1210</v>
      </c>
      <c r="B473" s="1075">
        <v>2000</v>
      </c>
      <c r="C473" s="1076"/>
      <c r="D473" s="1077">
        <v>-2000</v>
      </c>
      <c r="E473" s="1078"/>
      <c r="F473" s="1076"/>
      <c r="G473" s="1076"/>
    </row>
    <row r="474" spans="1:7">
      <c r="A474" s="1074">
        <v>3300</v>
      </c>
      <c r="B474" s="1076"/>
      <c r="C474" s="1083">
        <v>3065161.46</v>
      </c>
      <c r="D474" s="1078"/>
      <c r="E474" s="1077">
        <v>-2000</v>
      </c>
      <c r="F474" s="1076"/>
      <c r="G474" s="1083">
        <v>3063161.46</v>
      </c>
    </row>
    <row r="475" spans="1:7" ht="13.5" thickBot="1">
      <c r="A475" s="1074">
        <v>3310</v>
      </c>
      <c r="B475" s="1076"/>
      <c r="C475" s="1083">
        <v>3065161.46</v>
      </c>
      <c r="D475" s="1078"/>
      <c r="E475" s="1077">
        <v>-2000</v>
      </c>
      <c r="F475" s="1076"/>
      <c r="G475" s="1083">
        <v>3063161.46</v>
      </c>
    </row>
    <row r="476" spans="1:7">
      <c r="A476" s="1071" t="s">
        <v>935</v>
      </c>
      <c r="B476" s="1072"/>
      <c r="C476" s="1082">
        <v>8010844.9100000001</v>
      </c>
      <c r="D476" s="1082">
        <v>-872750.88</v>
      </c>
      <c r="E476" s="1082">
        <v>-872750.88</v>
      </c>
      <c r="F476" s="1072"/>
      <c r="G476" s="1082">
        <v>8010844.9100000001</v>
      </c>
    </row>
    <row r="477" spans="1:7">
      <c r="A477" s="1074">
        <v>1600</v>
      </c>
      <c r="B477" s="1083">
        <v>872750.88</v>
      </c>
      <c r="C477" s="1076"/>
      <c r="D477" s="1085">
        <v>-872750.88</v>
      </c>
      <c r="E477" s="1078"/>
      <c r="F477" s="1076"/>
      <c r="G477" s="1076"/>
    </row>
    <row r="478" spans="1:7">
      <c r="A478" s="1074">
        <v>1610</v>
      </c>
      <c r="B478" s="1083">
        <v>872750.88</v>
      </c>
      <c r="C478" s="1076"/>
      <c r="D478" s="1085">
        <v>-872750.88</v>
      </c>
      <c r="E478" s="1078"/>
      <c r="F478" s="1076"/>
      <c r="G478" s="1076"/>
    </row>
    <row r="479" spans="1:7">
      <c r="A479" s="1074">
        <v>1611</v>
      </c>
      <c r="B479" s="1083">
        <v>872750.88</v>
      </c>
      <c r="C479" s="1076"/>
      <c r="D479" s="1085">
        <v>-872750.88</v>
      </c>
      <c r="E479" s="1078"/>
      <c r="F479" s="1076"/>
      <c r="G479" s="1076"/>
    </row>
    <row r="480" spans="1:7">
      <c r="A480" s="1074">
        <v>3300</v>
      </c>
      <c r="B480" s="1076"/>
      <c r="C480" s="1083">
        <v>8883595.7899999991</v>
      </c>
      <c r="D480" s="1078"/>
      <c r="E480" s="1085">
        <v>-872750.88</v>
      </c>
      <c r="F480" s="1076"/>
      <c r="G480" s="1083">
        <v>8010844.9100000001</v>
      </c>
    </row>
    <row r="481" spans="1:7" ht="13.5" thickBot="1">
      <c r="A481" s="1074">
        <v>3310</v>
      </c>
      <c r="B481" s="1076"/>
      <c r="C481" s="1083">
        <v>8883595.7899999991</v>
      </c>
      <c r="D481" s="1078"/>
      <c r="E481" s="1085">
        <v>-872750.88</v>
      </c>
      <c r="F481" s="1076"/>
      <c r="G481" s="1083">
        <v>8010844.9100000001</v>
      </c>
    </row>
    <row r="482" spans="1:7">
      <c r="A482" s="1071" t="s">
        <v>936</v>
      </c>
      <c r="B482" s="1073">
        <v>63350</v>
      </c>
      <c r="C482" s="1072"/>
      <c r="D482" s="1073">
        <v>-240625</v>
      </c>
      <c r="E482" s="1073">
        <v>-240625</v>
      </c>
      <c r="F482" s="1073">
        <v>63350</v>
      </c>
      <c r="G482" s="1072"/>
    </row>
    <row r="483" spans="1:7">
      <c r="A483" s="1074">
        <v>1600</v>
      </c>
      <c r="B483" s="1075">
        <v>303975</v>
      </c>
      <c r="C483" s="1076"/>
      <c r="D483" s="1077">
        <v>-240625</v>
      </c>
      <c r="E483" s="1078"/>
      <c r="F483" s="1075">
        <v>63350</v>
      </c>
      <c r="G483" s="1076"/>
    </row>
    <row r="484" spans="1:7">
      <c r="A484" s="1074">
        <v>1610</v>
      </c>
      <c r="B484" s="1075">
        <v>303975</v>
      </c>
      <c r="C484" s="1076"/>
      <c r="D484" s="1077">
        <v>-240625</v>
      </c>
      <c r="E484" s="1078"/>
      <c r="F484" s="1075">
        <v>63350</v>
      </c>
      <c r="G484" s="1076"/>
    </row>
    <row r="485" spans="1:7">
      <c r="A485" s="1074">
        <v>1611</v>
      </c>
      <c r="B485" s="1075">
        <v>303975</v>
      </c>
      <c r="C485" s="1076"/>
      <c r="D485" s="1077">
        <v>-240625</v>
      </c>
      <c r="E485" s="1078"/>
      <c r="F485" s="1075">
        <v>63350</v>
      </c>
      <c r="G485" s="1076"/>
    </row>
    <row r="486" spans="1:7">
      <c r="A486" s="1074">
        <v>3300</v>
      </c>
      <c r="B486" s="1076"/>
      <c r="C486" s="1075">
        <v>240625</v>
      </c>
      <c r="D486" s="1078"/>
      <c r="E486" s="1077">
        <v>-240625</v>
      </c>
      <c r="F486" s="1076"/>
      <c r="G486" s="1076"/>
    </row>
    <row r="487" spans="1:7" ht="13.5" thickBot="1">
      <c r="A487" s="1074">
        <v>3310</v>
      </c>
      <c r="B487" s="1076"/>
      <c r="C487" s="1075">
        <v>240625</v>
      </c>
      <c r="D487" s="1078"/>
      <c r="E487" s="1077">
        <v>-240625</v>
      </c>
      <c r="F487" s="1076"/>
      <c r="G487" s="1076"/>
    </row>
    <row r="488" spans="1:7">
      <c r="A488" s="1071" t="s">
        <v>937</v>
      </c>
      <c r="B488" s="1072"/>
      <c r="C488" s="1073">
        <v>50315</v>
      </c>
      <c r="D488" s="1073">
        <v>-30123</v>
      </c>
      <c r="E488" s="1073">
        <v>-30123</v>
      </c>
      <c r="F488" s="1072"/>
      <c r="G488" s="1073">
        <v>50315</v>
      </c>
    </row>
    <row r="489" spans="1:7">
      <c r="A489" s="1074">
        <v>1600</v>
      </c>
      <c r="B489" s="1075">
        <v>30123</v>
      </c>
      <c r="C489" s="1076"/>
      <c r="D489" s="1077">
        <v>-30123</v>
      </c>
      <c r="E489" s="1078"/>
      <c r="F489" s="1076"/>
      <c r="G489" s="1076"/>
    </row>
    <row r="490" spans="1:7">
      <c r="A490" s="1074">
        <v>1610</v>
      </c>
      <c r="B490" s="1075">
        <v>30123</v>
      </c>
      <c r="C490" s="1076"/>
      <c r="D490" s="1077">
        <v>-30123</v>
      </c>
      <c r="E490" s="1078"/>
      <c r="F490" s="1076"/>
      <c r="G490" s="1076"/>
    </row>
    <row r="491" spans="1:7">
      <c r="A491" s="1074">
        <v>1612</v>
      </c>
      <c r="B491" s="1075">
        <v>30123</v>
      </c>
      <c r="C491" s="1076"/>
      <c r="D491" s="1077">
        <v>-30123</v>
      </c>
      <c r="E491" s="1078"/>
      <c r="F491" s="1076"/>
      <c r="G491" s="1076"/>
    </row>
    <row r="492" spans="1:7">
      <c r="A492" s="1074">
        <v>3300</v>
      </c>
      <c r="B492" s="1076"/>
      <c r="C492" s="1075">
        <v>80438</v>
      </c>
      <c r="D492" s="1078"/>
      <c r="E492" s="1077">
        <v>-30123</v>
      </c>
      <c r="F492" s="1076"/>
      <c r="G492" s="1075">
        <v>50315</v>
      </c>
    </row>
    <row r="493" spans="1:7" ht="13.5" thickBot="1">
      <c r="A493" s="1074">
        <v>3310</v>
      </c>
      <c r="B493" s="1076"/>
      <c r="C493" s="1075">
        <v>80438</v>
      </c>
      <c r="D493" s="1078"/>
      <c r="E493" s="1077">
        <v>-30123</v>
      </c>
      <c r="F493" s="1076"/>
      <c r="G493" s="1075">
        <v>50315</v>
      </c>
    </row>
    <row r="494" spans="1:7">
      <c r="A494" s="1071" t="s">
        <v>938</v>
      </c>
      <c r="B494" s="1072"/>
      <c r="C494" s="1073">
        <v>143312</v>
      </c>
      <c r="D494" s="1084">
        <v>-82515.100000000006</v>
      </c>
      <c r="E494" s="1084">
        <v>-82515.100000000006</v>
      </c>
      <c r="F494" s="1072"/>
      <c r="G494" s="1073">
        <v>143312</v>
      </c>
    </row>
    <row r="495" spans="1:7">
      <c r="A495" s="1074">
        <v>3300</v>
      </c>
      <c r="B495" s="1086">
        <v>82515.100000000006</v>
      </c>
      <c r="C495" s="1086">
        <v>225827.1</v>
      </c>
      <c r="D495" s="1087">
        <v>-82515.100000000006</v>
      </c>
      <c r="E495" s="1087">
        <v>-82515.100000000006</v>
      </c>
      <c r="F495" s="1076"/>
      <c r="G495" s="1075">
        <v>143312</v>
      </c>
    </row>
    <row r="496" spans="1:7" ht="13.5" thickBot="1">
      <c r="A496" s="1074">
        <v>3310</v>
      </c>
      <c r="B496" s="1086">
        <v>82515.100000000006</v>
      </c>
      <c r="C496" s="1086">
        <v>225827.1</v>
      </c>
      <c r="D496" s="1087">
        <v>-82515.100000000006</v>
      </c>
      <c r="E496" s="1087">
        <v>-82515.100000000006</v>
      </c>
      <c r="F496" s="1076"/>
      <c r="G496" s="1075">
        <v>143312</v>
      </c>
    </row>
    <row r="497" spans="1:7">
      <c r="A497" s="1071" t="s">
        <v>939</v>
      </c>
      <c r="B497" s="1072"/>
      <c r="C497" s="1082">
        <v>356938123.73000002</v>
      </c>
      <c r="D497" s="1082">
        <v>-15469316.220000001</v>
      </c>
      <c r="E497" s="1082">
        <v>-15469316.220000001</v>
      </c>
      <c r="F497" s="1072"/>
      <c r="G497" s="1082">
        <v>356938123.73000002</v>
      </c>
    </row>
    <row r="498" spans="1:7">
      <c r="A498" s="1074">
        <v>1200</v>
      </c>
      <c r="B498" s="1083">
        <v>15469316.220000001</v>
      </c>
      <c r="C498" s="1076"/>
      <c r="D498" s="1085">
        <v>-15469316.220000001</v>
      </c>
      <c r="E498" s="1078"/>
      <c r="F498" s="1076"/>
      <c r="G498" s="1076"/>
    </row>
    <row r="499" spans="1:7">
      <c r="A499" s="1074">
        <v>1280</v>
      </c>
      <c r="B499" s="1083">
        <v>15469316.220000001</v>
      </c>
      <c r="C499" s="1076"/>
      <c r="D499" s="1085">
        <v>-15469316.220000001</v>
      </c>
      <c r="E499" s="1078"/>
      <c r="F499" s="1076"/>
      <c r="G499" s="1076"/>
    </row>
    <row r="500" spans="1:7">
      <c r="A500" s="1074">
        <v>3300</v>
      </c>
      <c r="B500" s="1076"/>
      <c r="C500" s="1083">
        <v>18388.97</v>
      </c>
      <c r="D500" s="1078"/>
      <c r="E500" s="1078"/>
      <c r="F500" s="1076"/>
      <c r="G500" s="1083">
        <v>18388.97</v>
      </c>
    </row>
    <row r="501" spans="1:7">
      <c r="A501" s="1074">
        <v>3310</v>
      </c>
      <c r="B501" s="1076"/>
      <c r="C501" s="1083">
        <v>18388.97</v>
      </c>
      <c r="D501" s="1078"/>
      <c r="E501" s="1078"/>
      <c r="F501" s="1076"/>
      <c r="G501" s="1083">
        <v>18388.97</v>
      </c>
    </row>
    <row r="502" spans="1:7">
      <c r="A502" s="1074">
        <v>3500</v>
      </c>
      <c r="B502" s="1076"/>
      <c r="C502" s="1083">
        <v>372389050.98000002</v>
      </c>
      <c r="D502" s="1078"/>
      <c r="E502" s="1085">
        <v>-15469316.220000001</v>
      </c>
      <c r="F502" s="1076"/>
      <c r="G502" s="1083">
        <v>356919734.75999999</v>
      </c>
    </row>
    <row r="503" spans="1:7" ht="13.5" thickBot="1">
      <c r="A503" s="1074">
        <v>3540</v>
      </c>
      <c r="B503" s="1076"/>
      <c r="C503" s="1083">
        <v>372389050.98000002</v>
      </c>
      <c r="D503" s="1078"/>
      <c r="E503" s="1085">
        <v>-15469316.220000001</v>
      </c>
      <c r="F503" s="1076"/>
      <c r="G503" s="1083">
        <v>356919734.75999999</v>
      </c>
    </row>
    <row r="504" spans="1:7">
      <c r="A504" s="1071" t="s">
        <v>940</v>
      </c>
      <c r="B504" s="1072"/>
      <c r="C504" s="1073">
        <v>86436</v>
      </c>
      <c r="D504" s="1072"/>
      <c r="E504" s="1072"/>
      <c r="F504" s="1072"/>
      <c r="G504" s="1073">
        <v>86436</v>
      </c>
    </row>
    <row r="505" spans="1:7">
      <c r="A505" s="1074">
        <v>3300</v>
      </c>
      <c r="B505" s="1075">
        <v>48647</v>
      </c>
      <c r="C505" s="1076"/>
      <c r="D505" s="1078"/>
      <c r="E505" s="1078"/>
      <c r="F505" s="1075">
        <v>48647</v>
      </c>
      <c r="G505" s="1076"/>
    </row>
    <row r="506" spans="1:7">
      <c r="A506" s="1074">
        <v>3310</v>
      </c>
      <c r="B506" s="1075">
        <v>48647</v>
      </c>
      <c r="C506" s="1076"/>
      <c r="D506" s="1078"/>
      <c r="E506" s="1078"/>
      <c r="F506" s="1075">
        <v>48647</v>
      </c>
      <c r="G506" s="1076"/>
    </row>
    <row r="507" spans="1:7">
      <c r="A507" s="1074">
        <v>3500</v>
      </c>
      <c r="B507" s="1076"/>
      <c r="C507" s="1075">
        <v>135083</v>
      </c>
      <c r="D507" s="1078"/>
      <c r="E507" s="1078"/>
      <c r="F507" s="1076"/>
      <c r="G507" s="1075">
        <v>135083</v>
      </c>
    </row>
    <row r="508" spans="1:7" ht="13.5" thickBot="1">
      <c r="A508" s="1074">
        <v>3510</v>
      </c>
      <c r="B508" s="1076"/>
      <c r="C508" s="1075">
        <v>135083</v>
      </c>
      <c r="D508" s="1078"/>
      <c r="E508" s="1078"/>
      <c r="F508" s="1076"/>
      <c r="G508" s="1075">
        <v>135083</v>
      </c>
    </row>
    <row r="509" spans="1:7">
      <c r="A509" s="1071" t="s">
        <v>941</v>
      </c>
      <c r="B509" s="1072"/>
      <c r="C509" s="1072"/>
      <c r="D509" s="1082">
        <v>-2325992.14</v>
      </c>
      <c r="E509" s="1082">
        <v>-2325992.14</v>
      </c>
      <c r="F509" s="1072"/>
      <c r="G509" s="1072"/>
    </row>
    <row r="510" spans="1:7">
      <c r="A510" s="1074">
        <v>1200</v>
      </c>
      <c r="B510" s="1083">
        <v>2325992.14</v>
      </c>
      <c r="C510" s="1076"/>
      <c r="D510" s="1085">
        <v>-2325992.14</v>
      </c>
      <c r="E510" s="1078"/>
      <c r="F510" s="1076"/>
      <c r="G510" s="1076"/>
    </row>
    <row r="511" spans="1:7">
      <c r="A511" s="1074">
        <v>1210</v>
      </c>
      <c r="B511" s="1083">
        <v>2325992.14</v>
      </c>
      <c r="C511" s="1076"/>
      <c r="D511" s="1085">
        <v>-2325992.14</v>
      </c>
      <c r="E511" s="1078"/>
      <c r="F511" s="1076"/>
      <c r="G511" s="1076"/>
    </row>
    <row r="512" spans="1:7">
      <c r="A512" s="1074">
        <v>3300</v>
      </c>
      <c r="B512" s="1076"/>
      <c r="C512" s="1086">
        <v>2232295.5</v>
      </c>
      <c r="D512" s="1078"/>
      <c r="E512" s="1087">
        <v>-2232295.5</v>
      </c>
      <c r="F512" s="1076"/>
      <c r="G512" s="1076"/>
    </row>
    <row r="513" spans="1:7">
      <c r="A513" s="1074">
        <v>3310</v>
      </c>
      <c r="B513" s="1076"/>
      <c r="C513" s="1086">
        <v>2232295.5</v>
      </c>
      <c r="D513" s="1078"/>
      <c r="E513" s="1087">
        <v>-2232295.5</v>
      </c>
      <c r="F513" s="1076"/>
      <c r="G513" s="1076"/>
    </row>
    <row r="514" spans="1:7">
      <c r="A514" s="1074">
        <v>3500</v>
      </c>
      <c r="B514" s="1076"/>
      <c r="C514" s="1083">
        <v>93696.639999999999</v>
      </c>
      <c r="D514" s="1078"/>
      <c r="E514" s="1085">
        <v>-93696.639999999999</v>
      </c>
      <c r="F514" s="1076"/>
      <c r="G514" s="1076"/>
    </row>
    <row r="515" spans="1:7" ht="13.5" thickBot="1">
      <c r="A515" s="1074">
        <v>3510</v>
      </c>
      <c r="B515" s="1076"/>
      <c r="C515" s="1083">
        <v>93696.639999999999</v>
      </c>
      <c r="D515" s="1078"/>
      <c r="E515" s="1085">
        <v>-93696.639999999999</v>
      </c>
      <c r="F515" s="1076"/>
      <c r="G515" s="1076"/>
    </row>
    <row r="516" spans="1:7">
      <c r="A516" s="1071" t="s">
        <v>942</v>
      </c>
      <c r="B516" s="1072"/>
      <c r="C516" s="1082">
        <v>7497142.8399999999</v>
      </c>
      <c r="D516" s="1082">
        <v>-17857.16</v>
      </c>
      <c r="E516" s="1082">
        <v>-17857.16</v>
      </c>
      <c r="F516" s="1072"/>
      <c r="G516" s="1082">
        <v>7497142.8399999999</v>
      </c>
    </row>
    <row r="517" spans="1:7">
      <c r="A517" s="1074">
        <v>1200</v>
      </c>
      <c r="B517" s="1083">
        <v>17857.16</v>
      </c>
      <c r="C517" s="1076"/>
      <c r="D517" s="1085">
        <v>-17857.16</v>
      </c>
      <c r="E517" s="1078"/>
      <c r="F517" s="1076"/>
      <c r="G517" s="1076"/>
    </row>
    <row r="518" spans="1:7">
      <c r="A518" s="1074">
        <v>1280</v>
      </c>
      <c r="B518" s="1083">
        <v>17857.16</v>
      </c>
      <c r="C518" s="1076"/>
      <c r="D518" s="1085">
        <v>-17857.16</v>
      </c>
      <c r="E518" s="1078"/>
      <c r="F518" s="1076"/>
      <c r="G518" s="1076"/>
    </row>
    <row r="519" spans="1:7">
      <c r="A519" s="1074">
        <v>3300</v>
      </c>
      <c r="B519" s="1076"/>
      <c r="C519" s="1075">
        <v>7515000</v>
      </c>
      <c r="D519" s="1078"/>
      <c r="E519" s="1085">
        <v>-17857.16</v>
      </c>
      <c r="F519" s="1076"/>
      <c r="G519" s="1083">
        <v>7497142.8399999999</v>
      </c>
    </row>
    <row r="520" spans="1:7" ht="13.5" thickBot="1">
      <c r="A520" s="1074">
        <v>3310</v>
      </c>
      <c r="B520" s="1076"/>
      <c r="C520" s="1075">
        <v>7515000</v>
      </c>
      <c r="D520" s="1078"/>
      <c r="E520" s="1085">
        <v>-17857.16</v>
      </c>
      <c r="F520" s="1076"/>
      <c r="G520" s="1083">
        <v>7497142.8399999999</v>
      </c>
    </row>
    <row r="521" spans="1:7">
      <c r="A521" s="1071" t="s">
        <v>943</v>
      </c>
      <c r="B521" s="1073">
        <v>514964</v>
      </c>
      <c r="C521" s="1072"/>
      <c r="D521" s="1082">
        <v>-108677.28</v>
      </c>
      <c r="E521" s="1082">
        <v>-108677.28</v>
      </c>
      <c r="F521" s="1073">
        <v>514964</v>
      </c>
      <c r="G521" s="1072"/>
    </row>
    <row r="522" spans="1:7">
      <c r="A522" s="1074">
        <v>1200</v>
      </c>
      <c r="B522" s="1083">
        <v>623641.28</v>
      </c>
      <c r="C522" s="1076"/>
      <c r="D522" s="1085">
        <v>-108677.28</v>
      </c>
      <c r="E522" s="1078"/>
      <c r="F522" s="1075">
        <v>514964</v>
      </c>
      <c r="G522" s="1076"/>
    </row>
    <row r="523" spans="1:7">
      <c r="A523" s="1074">
        <v>1280</v>
      </c>
      <c r="B523" s="1083">
        <v>623641.28</v>
      </c>
      <c r="C523" s="1076"/>
      <c r="D523" s="1085">
        <v>-108677.28</v>
      </c>
      <c r="E523" s="1078"/>
      <c r="F523" s="1075">
        <v>514964</v>
      </c>
      <c r="G523" s="1076"/>
    </row>
    <row r="524" spans="1:7">
      <c r="A524" s="1074">
        <v>3500</v>
      </c>
      <c r="B524" s="1076"/>
      <c r="C524" s="1083">
        <v>108677.28</v>
      </c>
      <c r="D524" s="1078"/>
      <c r="E524" s="1085">
        <v>-108677.28</v>
      </c>
      <c r="F524" s="1076"/>
      <c r="G524" s="1076"/>
    </row>
    <row r="525" spans="1:7" ht="13.5" thickBot="1">
      <c r="A525" s="1074">
        <v>3540</v>
      </c>
      <c r="B525" s="1076"/>
      <c r="C525" s="1083">
        <v>108677.28</v>
      </c>
      <c r="D525" s="1078"/>
      <c r="E525" s="1085">
        <v>-108677.28</v>
      </c>
      <c r="F525" s="1076"/>
      <c r="G525" s="1076"/>
    </row>
    <row r="526" spans="1:7">
      <c r="A526" s="1071" t="s">
        <v>944</v>
      </c>
      <c r="B526" s="1072"/>
      <c r="C526" s="1082">
        <v>13096192.130000001</v>
      </c>
      <c r="D526" s="1082">
        <v>-8393682.9900000002</v>
      </c>
      <c r="E526" s="1082">
        <v>-8393682.9900000002</v>
      </c>
      <c r="F526" s="1072"/>
      <c r="G526" s="1082">
        <v>13096192.130000001</v>
      </c>
    </row>
    <row r="527" spans="1:7">
      <c r="A527" s="1074">
        <v>1200</v>
      </c>
      <c r="B527" s="1083">
        <v>8393682.9900000002</v>
      </c>
      <c r="C527" s="1076"/>
      <c r="D527" s="1085">
        <v>-8393682.9900000002</v>
      </c>
      <c r="E527" s="1078"/>
      <c r="F527" s="1076"/>
      <c r="G527" s="1076"/>
    </row>
    <row r="528" spans="1:7">
      <c r="A528" s="1074">
        <v>1280</v>
      </c>
      <c r="B528" s="1083">
        <v>8393682.9900000002</v>
      </c>
      <c r="C528" s="1076"/>
      <c r="D528" s="1085">
        <v>-8393682.9900000002</v>
      </c>
      <c r="E528" s="1078"/>
      <c r="F528" s="1076"/>
      <c r="G528" s="1076"/>
    </row>
    <row r="529" spans="1:7">
      <c r="A529" s="1074">
        <v>3300</v>
      </c>
      <c r="B529" s="1076"/>
      <c r="C529" s="1075">
        <v>13339</v>
      </c>
      <c r="D529" s="1078"/>
      <c r="E529" s="1077">
        <v>-13339</v>
      </c>
      <c r="F529" s="1076"/>
      <c r="G529" s="1076"/>
    </row>
    <row r="530" spans="1:7">
      <c r="A530" s="1074">
        <v>3390</v>
      </c>
      <c r="B530" s="1076"/>
      <c r="C530" s="1075">
        <v>13339</v>
      </c>
      <c r="D530" s="1078"/>
      <c r="E530" s="1077">
        <v>-13339</v>
      </c>
      <c r="F530" s="1076"/>
      <c r="G530" s="1076"/>
    </row>
    <row r="531" spans="1:7">
      <c r="A531" s="1074">
        <v>3500</v>
      </c>
      <c r="B531" s="1076"/>
      <c r="C531" s="1083">
        <v>21476536.120000001</v>
      </c>
      <c r="D531" s="1078"/>
      <c r="E531" s="1085">
        <v>-8380343.9900000002</v>
      </c>
      <c r="F531" s="1076"/>
      <c r="G531" s="1083">
        <v>13096192.130000001</v>
      </c>
    </row>
    <row r="532" spans="1:7" ht="13.5" thickBot="1">
      <c r="A532" s="1074">
        <v>3540</v>
      </c>
      <c r="B532" s="1076"/>
      <c r="C532" s="1083">
        <v>21476536.120000001</v>
      </c>
      <c r="D532" s="1078"/>
      <c r="E532" s="1085">
        <v>-8380343.9900000002</v>
      </c>
      <c r="F532" s="1076"/>
      <c r="G532" s="1083">
        <v>13096192.130000001</v>
      </c>
    </row>
    <row r="533" spans="1:7">
      <c r="A533" s="1071" t="s">
        <v>945</v>
      </c>
      <c r="B533" s="1072"/>
      <c r="C533" s="1072"/>
      <c r="D533" s="1084">
        <v>-8160499.7999999998</v>
      </c>
      <c r="E533" s="1084">
        <v>-8160499.7999999998</v>
      </c>
      <c r="F533" s="1072"/>
      <c r="G533" s="1072"/>
    </row>
    <row r="534" spans="1:7">
      <c r="A534" s="1074">
        <v>1200</v>
      </c>
      <c r="B534" s="1086">
        <v>8160499.7999999998</v>
      </c>
      <c r="C534" s="1076"/>
      <c r="D534" s="1087">
        <v>-8160499.7999999998</v>
      </c>
      <c r="E534" s="1078"/>
      <c r="F534" s="1076"/>
      <c r="G534" s="1076"/>
    </row>
    <row r="535" spans="1:7">
      <c r="A535" s="1074">
        <v>1210</v>
      </c>
      <c r="B535" s="1086">
        <v>8160499.7999999998</v>
      </c>
      <c r="C535" s="1076"/>
      <c r="D535" s="1087">
        <v>-8160499.7999999998</v>
      </c>
      <c r="E535" s="1078"/>
      <c r="F535" s="1076"/>
      <c r="G535" s="1076"/>
    </row>
    <row r="536" spans="1:7">
      <c r="A536" s="1074">
        <v>3300</v>
      </c>
      <c r="B536" s="1076"/>
      <c r="C536" s="1086">
        <v>8160499.7999999998</v>
      </c>
      <c r="D536" s="1078"/>
      <c r="E536" s="1087">
        <v>-8160499.7999999998</v>
      </c>
      <c r="F536" s="1076"/>
      <c r="G536" s="1076"/>
    </row>
    <row r="537" spans="1:7" ht="13.5" thickBot="1">
      <c r="A537" s="1074">
        <v>3310</v>
      </c>
      <c r="B537" s="1076"/>
      <c r="C537" s="1086">
        <v>8160499.7999999998</v>
      </c>
      <c r="D537" s="1078"/>
      <c r="E537" s="1087">
        <v>-8160499.7999999998</v>
      </c>
      <c r="F537" s="1076"/>
      <c r="G537" s="1076"/>
    </row>
    <row r="538" spans="1:7">
      <c r="A538" s="1071" t="s">
        <v>946</v>
      </c>
      <c r="B538" s="1072"/>
      <c r="C538" s="1072"/>
      <c r="D538" s="1084">
        <v>-15670892.4</v>
      </c>
      <c r="E538" s="1084">
        <v>-15670892.4</v>
      </c>
      <c r="F538" s="1072"/>
      <c r="G538" s="1072"/>
    </row>
    <row r="539" spans="1:7">
      <c r="A539" s="1074">
        <v>1200</v>
      </c>
      <c r="B539" s="1086">
        <v>15670892.4</v>
      </c>
      <c r="C539" s="1076"/>
      <c r="D539" s="1087">
        <v>-15670892.4</v>
      </c>
      <c r="E539" s="1078"/>
      <c r="F539" s="1076"/>
      <c r="G539" s="1076"/>
    </row>
    <row r="540" spans="1:7">
      <c r="A540" s="1074">
        <v>1210</v>
      </c>
      <c r="B540" s="1086">
        <v>15670892.4</v>
      </c>
      <c r="C540" s="1076"/>
      <c r="D540" s="1087">
        <v>-15670892.4</v>
      </c>
      <c r="E540" s="1078"/>
      <c r="F540" s="1076"/>
      <c r="G540" s="1076"/>
    </row>
    <row r="541" spans="1:7">
      <c r="A541" s="1074">
        <v>3300</v>
      </c>
      <c r="B541" s="1076"/>
      <c r="C541" s="1086">
        <v>15670892.4</v>
      </c>
      <c r="D541" s="1078"/>
      <c r="E541" s="1087">
        <v>-15670892.4</v>
      </c>
      <c r="F541" s="1076"/>
      <c r="G541" s="1076"/>
    </row>
    <row r="542" spans="1:7" ht="13.5" thickBot="1">
      <c r="A542" s="1074">
        <v>3310</v>
      </c>
      <c r="B542" s="1076"/>
      <c r="C542" s="1086">
        <v>15670892.4</v>
      </c>
      <c r="D542" s="1078"/>
      <c r="E542" s="1087">
        <v>-15670892.4</v>
      </c>
      <c r="F542" s="1076"/>
      <c r="G542" s="1076"/>
    </row>
    <row r="543" spans="1:7">
      <c r="A543" s="1071" t="s">
        <v>947</v>
      </c>
      <c r="B543" s="1082">
        <v>185783.72</v>
      </c>
      <c r="C543" s="1072"/>
      <c r="D543" s="1082">
        <v>-257768.17</v>
      </c>
      <c r="E543" s="1082">
        <v>-257768.17</v>
      </c>
      <c r="F543" s="1082">
        <v>185783.72</v>
      </c>
      <c r="G543" s="1072"/>
    </row>
    <row r="544" spans="1:7">
      <c r="A544" s="1074">
        <v>1600</v>
      </c>
      <c r="B544" s="1083">
        <v>443551.89</v>
      </c>
      <c r="C544" s="1076"/>
      <c r="D544" s="1085">
        <v>-257768.17</v>
      </c>
      <c r="E544" s="1078"/>
      <c r="F544" s="1083">
        <v>185783.72</v>
      </c>
      <c r="G544" s="1076"/>
    </row>
    <row r="545" spans="1:8">
      <c r="A545" s="1074">
        <v>1610</v>
      </c>
      <c r="B545" s="1083">
        <v>443551.89</v>
      </c>
      <c r="C545" s="1076"/>
      <c r="D545" s="1085">
        <v>-257768.17</v>
      </c>
      <c r="E545" s="1078"/>
      <c r="F545" s="1083">
        <v>185783.72</v>
      </c>
      <c r="G545" s="1076"/>
    </row>
    <row r="546" spans="1:8">
      <c r="A546" s="1074">
        <v>1612</v>
      </c>
      <c r="B546" s="1083">
        <v>443551.89</v>
      </c>
      <c r="C546" s="1076"/>
      <c r="D546" s="1085">
        <v>-257768.17</v>
      </c>
      <c r="E546" s="1078"/>
      <c r="F546" s="1083">
        <v>185783.72</v>
      </c>
      <c r="G546" s="1076"/>
    </row>
    <row r="547" spans="1:8">
      <c r="A547" s="1074">
        <v>3300</v>
      </c>
      <c r="B547" s="1076"/>
      <c r="C547" s="1083">
        <v>257768.17</v>
      </c>
      <c r="D547" s="1078"/>
      <c r="E547" s="1085">
        <v>-257768.17</v>
      </c>
      <c r="F547" s="1076"/>
      <c r="G547" s="1076"/>
    </row>
    <row r="548" spans="1:8" ht="13.5" thickBot="1">
      <c r="A548" s="1074">
        <v>3310</v>
      </c>
      <c r="B548" s="1076"/>
      <c r="C548" s="1083">
        <v>257768.17</v>
      </c>
      <c r="D548" s="1078"/>
      <c r="E548" s="1085">
        <v>-257768.17</v>
      </c>
      <c r="F548" s="1076"/>
      <c r="G548" s="1076"/>
    </row>
    <row r="549" spans="1:8">
      <c r="A549" s="1071" t="s">
        <v>508</v>
      </c>
      <c r="B549" s="1072"/>
      <c r="C549" s="1082">
        <v>61846.23</v>
      </c>
      <c r="D549" s="1082">
        <v>-25025.65</v>
      </c>
      <c r="E549" s="1082">
        <v>-25025.65</v>
      </c>
      <c r="F549" s="1072"/>
      <c r="G549" s="1082">
        <v>61846.23</v>
      </c>
    </row>
    <row r="550" spans="1:8">
      <c r="A550" s="1074">
        <v>1200</v>
      </c>
      <c r="B550" s="1083">
        <v>25025.65</v>
      </c>
      <c r="C550" s="1076"/>
      <c r="D550" s="1085">
        <v>-25025.65</v>
      </c>
      <c r="E550" s="1078"/>
      <c r="F550" s="1076"/>
      <c r="G550" s="1076"/>
    </row>
    <row r="551" spans="1:8">
      <c r="A551" s="1074">
        <v>1210</v>
      </c>
      <c r="B551" s="1083">
        <v>25025.65</v>
      </c>
      <c r="C551" s="1076"/>
      <c r="D551" s="1085">
        <v>-25025.65</v>
      </c>
      <c r="E551" s="1078"/>
      <c r="F551" s="1076"/>
      <c r="G551" s="1076"/>
      <c r="H551" s="779">
        <f>D551</f>
        <v>-25025.65</v>
      </c>
    </row>
    <row r="552" spans="1:8">
      <c r="A552" s="1074">
        <v>3500</v>
      </c>
      <c r="B552" s="1076"/>
      <c r="C552" s="1083">
        <v>86871.88</v>
      </c>
      <c r="D552" s="1078"/>
      <c r="E552" s="1085">
        <v>-25025.65</v>
      </c>
      <c r="F552" s="1076"/>
      <c r="G552" s="1083">
        <v>61846.23</v>
      </c>
    </row>
    <row r="553" spans="1:8" ht="13.5" thickBot="1">
      <c r="A553" s="1074">
        <v>3510</v>
      </c>
      <c r="B553" s="1076"/>
      <c r="C553" s="1083">
        <v>86871.88</v>
      </c>
      <c r="D553" s="1078"/>
      <c r="E553" s="1085">
        <v>-25025.65</v>
      </c>
      <c r="F553" s="1076"/>
      <c r="G553" s="1083">
        <v>61846.23</v>
      </c>
    </row>
    <row r="554" spans="1:8">
      <c r="A554" s="1071" t="s">
        <v>948</v>
      </c>
      <c r="B554" s="1082">
        <v>15488877.390000001</v>
      </c>
      <c r="C554" s="1072"/>
      <c r="D554" s="1079">
        <v>-79</v>
      </c>
      <c r="E554" s="1079">
        <v>-79</v>
      </c>
      <c r="F554" s="1082">
        <v>15488877.390000001</v>
      </c>
      <c r="G554" s="1072"/>
    </row>
    <row r="555" spans="1:8">
      <c r="A555" s="1074">
        <v>1200</v>
      </c>
      <c r="B555" s="1083">
        <v>15488956.390000001</v>
      </c>
      <c r="C555" s="1076"/>
      <c r="D555" s="1080">
        <v>-79</v>
      </c>
      <c r="E555" s="1078"/>
      <c r="F555" s="1083">
        <v>15488877.390000001</v>
      </c>
      <c r="G555" s="1076"/>
    </row>
    <row r="556" spans="1:8">
      <c r="A556" s="1074">
        <v>1210</v>
      </c>
      <c r="B556" s="1083">
        <v>15488956.390000001</v>
      </c>
      <c r="C556" s="1076"/>
      <c r="D556" s="1080">
        <v>-79</v>
      </c>
      <c r="E556" s="1078"/>
      <c r="F556" s="1083">
        <v>15488877.390000001</v>
      </c>
      <c r="G556" s="1076"/>
      <c r="H556" s="1099">
        <f>D556</f>
        <v>-79</v>
      </c>
    </row>
    <row r="557" spans="1:8">
      <c r="A557" s="1074">
        <v>3500</v>
      </c>
      <c r="B557" s="1076"/>
      <c r="C557" s="1081">
        <v>79</v>
      </c>
      <c r="D557" s="1078"/>
      <c r="E557" s="1080">
        <v>-79</v>
      </c>
      <c r="F557" s="1076"/>
      <c r="G557" s="1076"/>
    </row>
    <row r="558" spans="1:8" ht="13.5" thickBot="1">
      <c r="A558" s="1074">
        <v>3510</v>
      </c>
      <c r="B558" s="1076"/>
      <c r="C558" s="1081">
        <v>79</v>
      </c>
      <c r="D558" s="1078"/>
      <c r="E558" s="1080">
        <v>-79</v>
      </c>
      <c r="F558" s="1076"/>
      <c r="G558" s="1076"/>
    </row>
    <row r="559" spans="1:8">
      <c r="A559" s="1071" t="s">
        <v>949</v>
      </c>
      <c r="B559" s="1072"/>
      <c r="C559" s="1072"/>
      <c r="D559" s="1084">
        <v>-3202805.1</v>
      </c>
      <c r="E559" s="1084">
        <v>-3202805.1</v>
      </c>
      <c r="F559" s="1072"/>
      <c r="G559" s="1072"/>
    </row>
    <row r="560" spans="1:8">
      <c r="A560" s="1074">
        <v>1200</v>
      </c>
      <c r="B560" s="1086">
        <v>3202805.1</v>
      </c>
      <c r="C560" s="1076"/>
      <c r="D560" s="1087">
        <v>-3202805.1</v>
      </c>
      <c r="E560" s="1078"/>
      <c r="F560" s="1076"/>
      <c r="G560" s="1076"/>
    </row>
    <row r="561" spans="1:7">
      <c r="A561" s="1074">
        <v>1210</v>
      </c>
      <c r="B561" s="1086">
        <v>3202805.1</v>
      </c>
      <c r="C561" s="1076"/>
      <c r="D561" s="1087">
        <v>-3202805.1</v>
      </c>
      <c r="E561" s="1078"/>
      <c r="F561" s="1076"/>
      <c r="G561" s="1076"/>
    </row>
    <row r="562" spans="1:7">
      <c r="A562" s="1074">
        <v>3300</v>
      </c>
      <c r="B562" s="1076"/>
      <c r="C562" s="1086">
        <v>3202805.1</v>
      </c>
      <c r="D562" s="1078"/>
      <c r="E562" s="1087">
        <v>-3202805.1</v>
      </c>
      <c r="F562" s="1076"/>
      <c r="G562" s="1076"/>
    </row>
    <row r="563" spans="1:7" ht="13.5" thickBot="1">
      <c r="A563" s="1074">
        <v>3310</v>
      </c>
      <c r="B563" s="1076"/>
      <c r="C563" s="1086">
        <v>3202805.1</v>
      </c>
      <c r="D563" s="1078"/>
      <c r="E563" s="1087">
        <v>-3202805.1</v>
      </c>
      <c r="F563" s="1076"/>
      <c r="G563" s="1076"/>
    </row>
    <row r="564" spans="1:7">
      <c r="A564" s="1071" t="s">
        <v>950</v>
      </c>
      <c r="B564" s="1082">
        <v>250959.53</v>
      </c>
      <c r="C564" s="1072"/>
      <c r="D564" s="1084">
        <v>-1351780.5</v>
      </c>
      <c r="E564" s="1084">
        <v>-1351780.5</v>
      </c>
      <c r="F564" s="1082">
        <v>250959.53</v>
      </c>
      <c r="G564" s="1072"/>
    </row>
    <row r="565" spans="1:7">
      <c r="A565" s="1074">
        <v>1200</v>
      </c>
      <c r="B565" s="1083">
        <v>1602740.03</v>
      </c>
      <c r="C565" s="1076"/>
      <c r="D565" s="1087">
        <v>-1351780.5</v>
      </c>
      <c r="E565" s="1078"/>
      <c r="F565" s="1083">
        <v>250959.53</v>
      </c>
      <c r="G565" s="1076"/>
    </row>
    <row r="566" spans="1:7">
      <c r="A566" s="1074">
        <v>1210</v>
      </c>
      <c r="B566" s="1083">
        <v>1602740.03</v>
      </c>
      <c r="C566" s="1076"/>
      <c r="D566" s="1087">
        <v>-1351780.5</v>
      </c>
      <c r="E566" s="1078"/>
      <c r="F566" s="1083">
        <v>250959.53</v>
      </c>
      <c r="G566" s="1076"/>
    </row>
    <row r="567" spans="1:7">
      <c r="A567" s="1074">
        <v>3300</v>
      </c>
      <c r="B567" s="1076"/>
      <c r="C567" s="1086">
        <v>1351780.5</v>
      </c>
      <c r="D567" s="1078"/>
      <c r="E567" s="1087">
        <v>-1351780.5</v>
      </c>
      <c r="F567" s="1076"/>
      <c r="G567" s="1076"/>
    </row>
    <row r="568" spans="1:7" ht="13.5" thickBot="1">
      <c r="A568" s="1074">
        <v>3310</v>
      </c>
      <c r="B568" s="1076"/>
      <c r="C568" s="1086">
        <v>1351780.5</v>
      </c>
      <c r="D568" s="1078"/>
      <c r="E568" s="1087">
        <v>-1351780.5</v>
      </c>
      <c r="F568" s="1076"/>
      <c r="G568" s="1076"/>
    </row>
    <row r="569" spans="1:7">
      <c r="A569" s="1071" t="s">
        <v>951</v>
      </c>
      <c r="B569" s="1072"/>
      <c r="C569" s="1082">
        <v>52413779.18</v>
      </c>
      <c r="D569" s="1084">
        <v>-1506167.5</v>
      </c>
      <c r="E569" s="1084">
        <v>-1506167.5</v>
      </c>
      <c r="F569" s="1072"/>
      <c r="G569" s="1082">
        <v>52413779.18</v>
      </c>
    </row>
    <row r="570" spans="1:7">
      <c r="A570" s="1074">
        <v>1300</v>
      </c>
      <c r="B570" s="1083">
        <v>1463321.52</v>
      </c>
      <c r="C570" s="1076"/>
      <c r="D570" s="1085">
        <v>-1463321.52</v>
      </c>
      <c r="E570" s="1078"/>
      <c r="F570" s="1076"/>
      <c r="G570" s="1076"/>
    </row>
    <row r="571" spans="1:7">
      <c r="A571" s="1074">
        <v>1310</v>
      </c>
      <c r="B571" s="1083">
        <v>1463321.52</v>
      </c>
      <c r="C571" s="1076"/>
      <c r="D571" s="1085">
        <v>-1463321.52</v>
      </c>
      <c r="E571" s="1078"/>
      <c r="F571" s="1076"/>
      <c r="G571" s="1076"/>
    </row>
    <row r="572" spans="1:7">
      <c r="A572" s="1074">
        <v>3300</v>
      </c>
      <c r="B572" s="1083">
        <v>42845.98</v>
      </c>
      <c r="C572" s="1083">
        <v>53919946.68</v>
      </c>
      <c r="D572" s="1085">
        <v>-42845.98</v>
      </c>
      <c r="E572" s="1087">
        <v>-1506167.5</v>
      </c>
      <c r="F572" s="1076"/>
      <c r="G572" s="1083">
        <v>52413779.18</v>
      </c>
    </row>
    <row r="573" spans="1:7" ht="13.5" thickBot="1">
      <c r="A573" s="1074">
        <v>3310</v>
      </c>
      <c r="B573" s="1083">
        <v>42845.98</v>
      </c>
      <c r="C573" s="1083">
        <v>53919946.68</v>
      </c>
      <c r="D573" s="1085">
        <v>-42845.98</v>
      </c>
      <c r="E573" s="1087">
        <v>-1506167.5</v>
      </c>
      <c r="F573" s="1076"/>
      <c r="G573" s="1083">
        <v>52413779.18</v>
      </c>
    </row>
    <row r="574" spans="1:7">
      <c r="A574" s="1071" t="s">
        <v>952</v>
      </c>
      <c r="B574" s="1072"/>
      <c r="C574" s="1084">
        <v>27943438.5</v>
      </c>
      <c r="D574" s="1073">
        <v>-1370800</v>
      </c>
      <c r="E574" s="1073">
        <v>-1370800</v>
      </c>
      <c r="F574" s="1072"/>
      <c r="G574" s="1084">
        <v>27943438.5</v>
      </c>
    </row>
    <row r="575" spans="1:7">
      <c r="A575" s="1074">
        <v>1600</v>
      </c>
      <c r="B575" s="1075">
        <v>1370800</v>
      </c>
      <c r="C575" s="1076"/>
      <c r="D575" s="1077">
        <v>-1370800</v>
      </c>
      <c r="E575" s="1078"/>
      <c r="F575" s="1076"/>
      <c r="G575" s="1076"/>
    </row>
    <row r="576" spans="1:7">
      <c r="A576" s="1074">
        <v>1610</v>
      </c>
      <c r="B576" s="1075">
        <v>1370800</v>
      </c>
      <c r="C576" s="1076"/>
      <c r="D576" s="1077">
        <v>-1370800</v>
      </c>
      <c r="E576" s="1078"/>
      <c r="F576" s="1076"/>
      <c r="G576" s="1076"/>
    </row>
    <row r="577" spans="1:8">
      <c r="A577" s="1074">
        <v>1611</v>
      </c>
      <c r="B577" s="1075">
        <v>1370800</v>
      </c>
      <c r="C577" s="1076"/>
      <c r="D577" s="1077">
        <v>-1370800</v>
      </c>
      <c r="E577" s="1078"/>
      <c r="F577" s="1076"/>
      <c r="G577" s="1076"/>
    </row>
    <row r="578" spans="1:8">
      <c r="A578" s="1074">
        <v>3300</v>
      </c>
      <c r="B578" s="1076"/>
      <c r="C578" s="1086">
        <v>29314238.5</v>
      </c>
      <c r="D578" s="1078"/>
      <c r="E578" s="1077">
        <v>-1370800</v>
      </c>
      <c r="F578" s="1076"/>
      <c r="G578" s="1086">
        <v>27943438.5</v>
      </c>
    </row>
    <row r="579" spans="1:8" ht="13.5" thickBot="1">
      <c r="A579" s="1074">
        <v>3310</v>
      </c>
      <c r="B579" s="1076"/>
      <c r="C579" s="1086">
        <v>29314238.5</v>
      </c>
      <c r="D579" s="1078"/>
      <c r="E579" s="1077">
        <v>-1370800</v>
      </c>
      <c r="F579" s="1076"/>
      <c r="G579" s="1086">
        <v>27943438.5</v>
      </c>
    </row>
    <row r="580" spans="1:8">
      <c r="A580" s="1071" t="s">
        <v>953</v>
      </c>
      <c r="B580" s="1082">
        <v>95888927.890000001</v>
      </c>
      <c r="C580" s="1072"/>
      <c r="D580" s="1073">
        <v>-1783692</v>
      </c>
      <c r="E580" s="1073">
        <v>-1783692</v>
      </c>
      <c r="F580" s="1082">
        <v>95888927.890000001</v>
      </c>
      <c r="G580" s="1072"/>
    </row>
    <row r="581" spans="1:8">
      <c r="A581" s="1074">
        <v>1200</v>
      </c>
      <c r="B581" s="1083">
        <v>97672619.890000001</v>
      </c>
      <c r="C581" s="1076"/>
      <c r="D581" s="1077">
        <v>-1783692</v>
      </c>
      <c r="E581" s="1078"/>
      <c r="F581" s="1083">
        <v>95888927.890000001</v>
      </c>
      <c r="G581" s="1076"/>
    </row>
    <row r="582" spans="1:8">
      <c r="A582" s="1074">
        <v>1210</v>
      </c>
      <c r="B582" s="1083">
        <v>97672619.890000001</v>
      </c>
      <c r="C582" s="1076"/>
      <c r="D582" s="1077">
        <v>-1783692</v>
      </c>
      <c r="E582" s="1078"/>
      <c r="F582" s="1083">
        <v>95888927.890000001</v>
      </c>
      <c r="G582" s="1076"/>
      <c r="H582" s="1098">
        <f>D582</f>
        <v>-1783692</v>
      </c>
    </row>
    <row r="583" spans="1:8">
      <c r="A583" s="1074">
        <v>3500</v>
      </c>
      <c r="B583" s="1076"/>
      <c r="C583" s="1075">
        <v>1783692</v>
      </c>
      <c r="D583" s="1078"/>
      <c r="E583" s="1077">
        <v>-1783692</v>
      </c>
      <c r="F583" s="1076"/>
      <c r="G583" s="1076"/>
    </row>
    <row r="584" spans="1:8" ht="13.5" thickBot="1">
      <c r="A584" s="1074">
        <v>3510</v>
      </c>
      <c r="B584" s="1076"/>
      <c r="C584" s="1075">
        <v>1783692</v>
      </c>
      <c r="D584" s="1078"/>
      <c r="E584" s="1077">
        <v>-1783692</v>
      </c>
      <c r="F584" s="1076"/>
      <c r="G584" s="1076"/>
    </row>
    <row r="585" spans="1:8">
      <c r="A585" s="1071" t="s">
        <v>954</v>
      </c>
      <c r="B585" s="1079">
        <v>750</v>
      </c>
      <c r="C585" s="1072"/>
      <c r="D585" s="1073">
        <v>-6150</v>
      </c>
      <c r="E585" s="1073">
        <v>-6150</v>
      </c>
      <c r="F585" s="1079">
        <v>750</v>
      </c>
      <c r="G585" s="1072"/>
    </row>
    <row r="586" spans="1:8">
      <c r="A586" s="1074">
        <v>1600</v>
      </c>
      <c r="B586" s="1075">
        <v>6900</v>
      </c>
      <c r="C586" s="1076"/>
      <c r="D586" s="1077">
        <v>-6150</v>
      </c>
      <c r="E586" s="1078"/>
      <c r="F586" s="1081">
        <v>750</v>
      </c>
      <c r="G586" s="1076"/>
    </row>
    <row r="587" spans="1:8">
      <c r="A587" s="1074">
        <v>1610</v>
      </c>
      <c r="B587" s="1075">
        <v>6900</v>
      </c>
      <c r="C587" s="1076"/>
      <c r="D587" s="1077">
        <v>-6150</v>
      </c>
      <c r="E587" s="1078"/>
      <c r="F587" s="1081">
        <v>750</v>
      </c>
      <c r="G587" s="1076"/>
    </row>
    <row r="588" spans="1:8">
      <c r="A588" s="1074">
        <v>1612</v>
      </c>
      <c r="B588" s="1075">
        <v>6900</v>
      </c>
      <c r="C588" s="1076"/>
      <c r="D588" s="1077">
        <v>-6150</v>
      </c>
      <c r="E588" s="1078"/>
      <c r="F588" s="1081">
        <v>750</v>
      </c>
      <c r="G588" s="1076"/>
    </row>
    <row r="589" spans="1:8">
      <c r="A589" s="1074">
        <v>3300</v>
      </c>
      <c r="B589" s="1076"/>
      <c r="C589" s="1075">
        <v>6150</v>
      </c>
      <c r="D589" s="1078"/>
      <c r="E589" s="1077">
        <v>-6150</v>
      </c>
      <c r="F589" s="1076"/>
      <c r="G589" s="1076"/>
    </row>
    <row r="590" spans="1:8" ht="13.5" thickBot="1">
      <c r="A590" s="1074">
        <v>3310</v>
      </c>
      <c r="B590" s="1076"/>
      <c r="C590" s="1075">
        <v>6150</v>
      </c>
      <c r="D590" s="1078"/>
      <c r="E590" s="1077">
        <v>-6150</v>
      </c>
      <c r="F590" s="1076"/>
      <c r="G590" s="1076"/>
    </row>
    <row r="591" spans="1:8">
      <c r="A591" s="1071" t="s">
        <v>955</v>
      </c>
      <c r="B591" s="1082">
        <v>22248837.370000001</v>
      </c>
      <c r="C591" s="1072"/>
      <c r="D591" s="1073">
        <v>-1485900</v>
      </c>
      <c r="E591" s="1073">
        <v>-1485900</v>
      </c>
      <c r="F591" s="1082">
        <v>22248837.370000001</v>
      </c>
      <c r="G591" s="1072"/>
    </row>
    <row r="592" spans="1:8">
      <c r="A592" s="1074">
        <v>1300</v>
      </c>
      <c r="B592" s="1083">
        <v>23734737.370000001</v>
      </c>
      <c r="C592" s="1076"/>
      <c r="D592" s="1077">
        <v>-1485900</v>
      </c>
      <c r="E592" s="1078"/>
      <c r="F592" s="1083">
        <v>22248837.370000001</v>
      </c>
      <c r="G592" s="1076"/>
    </row>
    <row r="593" spans="1:8">
      <c r="A593" s="1074">
        <v>1310</v>
      </c>
      <c r="B593" s="1083">
        <v>23734737.370000001</v>
      </c>
      <c r="C593" s="1076"/>
      <c r="D593" s="1077">
        <v>-1485900</v>
      </c>
      <c r="E593" s="1078"/>
      <c r="F593" s="1083">
        <v>22248837.370000001</v>
      </c>
      <c r="G593" s="1076"/>
    </row>
    <row r="594" spans="1:8">
      <c r="A594" s="1074">
        <v>3300</v>
      </c>
      <c r="B594" s="1076"/>
      <c r="C594" s="1075">
        <v>1485900</v>
      </c>
      <c r="D594" s="1078"/>
      <c r="E594" s="1077">
        <v>-1485900</v>
      </c>
      <c r="F594" s="1076"/>
      <c r="G594" s="1076"/>
    </row>
    <row r="595" spans="1:8" ht="13.5" thickBot="1">
      <c r="A595" s="1074">
        <v>3310</v>
      </c>
      <c r="B595" s="1076"/>
      <c r="C595" s="1075">
        <v>1485900</v>
      </c>
      <c r="D595" s="1078"/>
      <c r="E595" s="1077">
        <v>-1485900</v>
      </c>
      <c r="F595" s="1076"/>
      <c r="G595" s="1076"/>
    </row>
    <row r="596" spans="1:8" ht="13.5" thickBot="1">
      <c r="A596" s="1092" t="s">
        <v>161</v>
      </c>
      <c r="B596" s="1093">
        <v>2097055996.74</v>
      </c>
      <c r="C596" s="1093">
        <v>1267964402.2499998</v>
      </c>
      <c r="D596" s="1094">
        <v>-440404672.82999998</v>
      </c>
      <c r="E596" s="1094">
        <v>-440404672.82999998</v>
      </c>
      <c r="F596" s="1093">
        <v>1656651323.9100001</v>
      </c>
      <c r="G596" s="1093">
        <v>827559729.41999996</v>
      </c>
      <c r="H596" s="779">
        <f>SUM(H334:H595)</f>
        <v>-3081390.65</v>
      </c>
    </row>
    <row r="597" spans="1:8">
      <c r="A597" s="1068"/>
      <c r="B597" s="1068"/>
      <c r="C597" s="1068"/>
      <c r="D597" s="1068"/>
      <c r="E597" s="1068"/>
      <c r="F597" s="1068"/>
      <c r="G597" s="1068"/>
    </row>
    <row r="598" spans="1:8">
      <c r="A598" s="1068"/>
      <c r="B598" s="1068"/>
      <c r="C598" s="1068"/>
      <c r="D598" s="1068"/>
      <c r="E598" s="1068"/>
      <c r="F598" s="1068"/>
      <c r="G598" s="1068"/>
    </row>
    <row r="599" spans="1:8" ht="13.5" thickBot="1">
      <c r="A599" s="1645" t="s">
        <v>956</v>
      </c>
      <c r="B599" s="1645"/>
      <c r="C599" s="1645"/>
      <c r="D599" s="1645"/>
      <c r="E599" s="1645"/>
      <c r="F599" s="1645"/>
      <c r="G599" s="1645"/>
    </row>
    <row r="600" spans="1:8" ht="13.5" thickBot="1">
      <c r="A600" s="1095" t="s">
        <v>124</v>
      </c>
      <c r="B600" s="1643" t="s">
        <v>957</v>
      </c>
      <c r="C600" s="1643"/>
      <c r="D600" s="1643" t="s">
        <v>861</v>
      </c>
      <c r="E600" s="1643"/>
      <c r="F600" s="1643" t="s">
        <v>958</v>
      </c>
      <c r="G600" s="1643"/>
    </row>
    <row r="601" spans="1:8">
      <c r="A601" s="1096">
        <v>1210</v>
      </c>
      <c r="B601" s="1083">
        <v>1530180389.1699998</v>
      </c>
      <c r="C601" s="1076"/>
      <c r="D601" s="1085">
        <v>-59517548.340000004</v>
      </c>
      <c r="E601" s="1078"/>
      <c r="F601" s="1083">
        <v>1470662840.8300002</v>
      </c>
      <c r="G601" s="1076"/>
    </row>
    <row r="602" spans="1:8">
      <c r="A602" s="1096">
        <v>1280</v>
      </c>
      <c r="B602" s="1083">
        <v>287358500.73000002</v>
      </c>
      <c r="C602" s="1076"/>
      <c r="D602" s="1085">
        <v>-47332382.920000002</v>
      </c>
      <c r="E602" s="1078"/>
      <c r="F602" s="1083">
        <v>240026117.81</v>
      </c>
      <c r="G602" s="1076"/>
    </row>
    <row r="603" spans="1:8">
      <c r="A603" s="1096">
        <v>1310</v>
      </c>
      <c r="B603" s="1083">
        <v>128235827.83</v>
      </c>
      <c r="C603" s="1076"/>
      <c r="D603" s="1085">
        <v>-72549488.540000007</v>
      </c>
      <c r="E603" s="1078"/>
      <c r="F603" s="1083">
        <v>55686339.289999999</v>
      </c>
      <c r="G603" s="1076"/>
    </row>
    <row r="604" spans="1:8">
      <c r="A604" s="1096">
        <v>1611</v>
      </c>
      <c r="B604" s="1083">
        <v>564012141.25999999</v>
      </c>
      <c r="C604" s="1076"/>
      <c r="D604" s="1085">
        <v>-248085950.52000001</v>
      </c>
      <c r="E604" s="1078"/>
      <c r="F604" s="1083">
        <v>315926190.74000001</v>
      </c>
      <c r="G604" s="1076"/>
    </row>
    <row r="605" spans="1:8">
      <c r="A605" s="1096">
        <v>1612</v>
      </c>
      <c r="B605" s="1083">
        <v>25315645.620000001</v>
      </c>
      <c r="C605" s="1076"/>
      <c r="D605" s="1085">
        <v>-12582361.43</v>
      </c>
      <c r="E605" s="1078"/>
      <c r="F605" s="1083">
        <v>12733284.189999999</v>
      </c>
      <c r="G605" s="1076"/>
    </row>
    <row r="606" spans="1:8">
      <c r="A606" s="1096">
        <v>3310</v>
      </c>
      <c r="B606" s="1076"/>
      <c r="C606" s="1083">
        <v>1300287413.3299999</v>
      </c>
      <c r="D606" s="1085">
        <v>-336941.08</v>
      </c>
      <c r="E606" s="1085">
        <v>-404987900.73000002</v>
      </c>
      <c r="F606" s="1083">
        <v>-336941.08</v>
      </c>
      <c r="G606" s="1086">
        <v>895299512.60000002</v>
      </c>
    </row>
    <row r="607" spans="1:8">
      <c r="A607" s="1096">
        <v>3390</v>
      </c>
      <c r="B607" s="1076"/>
      <c r="C607" s="1083">
        <v>8224204.3499999996</v>
      </c>
      <c r="D607" s="1078"/>
      <c r="E607" s="1085">
        <v>-8188469.7800000003</v>
      </c>
      <c r="F607" s="1076"/>
      <c r="G607" s="1083">
        <v>35734.57</v>
      </c>
    </row>
    <row r="608" spans="1:8">
      <c r="A608" s="1096">
        <v>3510</v>
      </c>
      <c r="B608" s="1076"/>
      <c r="C608" s="1083">
        <v>3525028.06</v>
      </c>
      <c r="D608" s="1078"/>
      <c r="E608" s="1085">
        <v>-3269964.83</v>
      </c>
      <c r="F608" s="1076"/>
      <c r="G608" s="1083">
        <v>255063.23</v>
      </c>
    </row>
    <row r="609" spans="1:7" ht="13.5" thickBot="1">
      <c r="A609" s="1096">
        <v>3540</v>
      </c>
      <c r="B609" s="1076"/>
      <c r="C609" s="1083">
        <v>393974264.38</v>
      </c>
      <c r="D609" s="1078"/>
      <c r="E609" s="1085">
        <v>-23958337.489999998</v>
      </c>
      <c r="F609" s="1076"/>
      <c r="G609" s="1083">
        <v>370015926.88999999</v>
      </c>
    </row>
    <row r="610" spans="1:7" ht="13.5" thickBot="1">
      <c r="A610" s="1092" t="s">
        <v>161</v>
      </c>
      <c r="B610" s="1097"/>
      <c r="C610" s="1097"/>
      <c r="D610" s="1094">
        <v>-440404672.82999998</v>
      </c>
      <c r="E610" s="1094">
        <v>-440404672.82999998</v>
      </c>
      <c r="F610" s="1097"/>
      <c r="G610" s="1097"/>
    </row>
    <row r="613" spans="1:7" ht="13.5" thickBot="1">
      <c r="A613" s="1645" t="s">
        <v>956</v>
      </c>
      <c r="B613" s="1645"/>
      <c r="C613" s="1645"/>
      <c r="D613" s="1645"/>
      <c r="E613" s="1645"/>
      <c r="F613" s="1645"/>
      <c r="G613" s="1645"/>
    </row>
    <row r="614" spans="1:7" ht="13.5" thickBot="1">
      <c r="A614" s="1095" t="s">
        <v>124</v>
      </c>
      <c r="B614" s="1643" t="s">
        <v>957</v>
      </c>
      <c r="C614" s="1643"/>
      <c r="D614" s="1643" t="s">
        <v>861</v>
      </c>
      <c r="E614" s="1643"/>
      <c r="F614" s="1643" t="s">
        <v>958</v>
      </c>
      <c r="G614" s="1643"/>
    </row>
    <row r="615" spans="1:7">
      <c r="A615" s="1096">
        <v>1210</v>
      </c>
      <c r="B615" s="1083">
        <v>1530180389.1699998</v>
      </c>
      <c r="C615" s="1076"/>
      <c r="D615" s="1085">
        <f>-59517548.34-H596</f>
        <v>-56436157.690000005</v>
      </c>
      <c r="F615" s="1083">
        <v>1470662840.8300002</v>
      </c>
      <c r="G615" s="1076"/>
    </row>
    <row r="616" spans="1:7">
      <c r="A616" s="1096">
        <v>1280</v>
      </c>
      <c r="B616" s="1083">
        <v>287358500.73000002</v>
      </c>
      <c r="C616" s="1076"/>
      <c r="D616" s="1085">
        <v>-47332382.920000002</v>
      </c>
      <c r="F616" s="1083">
        <v>240026117.81</v>
      </c>
      <c r="G616" s="1076"/>
    </row>
    <row r="617" spans="1:7">
      <c r="A617" s="1096">
        <v>1310</v>
      </c>
      <c r="B617" s="1083">
        <v>128235827.83</v>
      </c>
      <c r="C617" s="1076"/>
      <c r="D617" s="1085">
        <f>-72549488.54-D603</f>
        <v>0</v>
      </c>
      <c r="E617" s="1078"/>
      <c r="F617" s="1083">
        <v>55686339.289999999</v>
      </c>
      <c r="G617" s="1076"/>
    </row>
    <row r="618" spans="1:7">
      <c r="A618" s="1096">
        <v>1611</v>
      </c>
      <c r="B618" s="1083">
        <v>564012141.25999999</v>
      </c>
      <c r="C618" s="1076"/>
      <c r="D618" s="1085">
        <v>-248085950.52000001</v>
      </c>
      <c r="E618" s="1078"/>
      <c r="F618" s="1083">
        <v>315926190.74000001</v>
      </c>
      <c r="G618" s="1076"/>
    </row>
    <row r="619" spans="1:7">
      <c r="A619" s="1096">
        <v>1612</v>
      </c>
      <c r="B619" s="1083">
        <v>25315645.620000001</v>
      </c>
      <c r="C619" s="1076"/>
      <c r="D619" s="1085">
        <v>-12582361.43</v>
      </c>
      <c r="E619" s="1078"/>
      <c r="F619" s="1083">
        <v>12733284.189999999</v>
      </c>
      <c r="G619" s="1076"/>
    </row>
    <row r="620" spans="1:7">
      <c r="A620" s="1096">
        <v>3310</v>
      </c>
      <c r="B620" s="1076"/>
      <c r="C620" s="1083">
        <v>1300287413.3299999</v>
      </c>
      <c r="D620" s="1085">
        <f>-336941.08-D606</f>
        <v>0</v>
      </c>
      <c r="E620" s="1085">
        <f>-404987900.73-D606-D603</f>
        <v>-332101471.11000001</v>
      </c>
      <c r="F620" s="1083">
        <v>-336941.08</v>
      </c>
      <c r="G620" s="1086">
        <v>895299512.60000002</v>
      </c>
    </row>
    <row r="621" spans="1:7">
      <c r="A621" s="1096">
        <v>3390</v>
      </c>
      <c r="B621" s="1076"/>
      <c r="C621" s="1083">
        <v>8224204.3499999996</v>
      </c>
      <c r="D621" s="1078"/>
      <c r="E621" s="1085">
        <v>-8188469.7800000003</v>
      </c>
      <c r="F621" s="1076"/>
      <c r="G621" s="1083">
        <v>35734.57</v>
      </c>
    </row>
    <row r="622" spans="1:7">
      <c r="A622" s="1096">
        <v>3510</v>
      </c>
      <c r="B622" s="1076"/>
      <c r="C622" s="1083">
        <v>3525028.06</v>
      </c>
      <c r="D622" s="1078"/>
      <c r="E622" s="1085">
        <f>-3269964.83-H596</f>
        <v>-188574.18000000017</v>
      </c>
      <c r="F622" s="1076"/>
      <c r="G622" s="1083">
        <v>255063.23</v>
      </c>
    </row>
    <row r="623" spans="1:7" ht="13.5" thickBot="1">
      <c r="A623" s="1096">
        <v>3540</v>
      </c>
      <c r="B623" s="1076"/>
      <c r="C623" s="1083">
        <v>393974264.38</v>
      </c>
      <c r="D623" s="1078"/>
      <c r="E623" s="1085">
        <v>-23958337.489999998</v>
      </c>
      <c r="F623" s="1076"/>
      <c r="G623" s="1083">
        <v>370015926.88999999</v>
      </c>
    </row>
    <row r="624" spans="1:7" ht="13.5" thickBot="1">
      <c r="A624" s="1092" t="s">
        <v>161</v>
      </c>
      <c r="B624" s="1097"/>
      <c r="C624" s="1097"/>
      <c r="D624" s="1094">
        <f>SUM(D615:D623)</f>
        <v>-364436852.56</v>
      </c>
      <c r="E624" s="1094">
        <f>SUM(E615:E623)</f>
        <v>-364436852.56</v>
      </c>
      <c r="F624" s="1097"/>
      <c r="G624" s="1097"/>
    </row>
  </sheetData>
  <mergeCells count="15">
    <mergeCell ref="A1:E1"/>
    <mergeCell ref="A2:E2"/>
    <mergeCell ref="A4:E4"/>
    <mergeCell ref="A5:A6"/>
    <mergeCell ref="B5:C5"/>
    <mergeCell ref="D5:E5"/>
    <mergeCell ref="B614:C614"/>
    <mergeCell ref="D614:E614"/>
    <mergeCell ref="F614:G614"/>
    <mergeCell ref="F5:G5"/>
    <mergeCell ref="A599:G599"/>
    <mergeCell ref="B600:C600"/>
    <mergeCell ref="D600:E600"/>
    <mergeCell ref="F600:G600"/>
    <mergeCell ref="A613:G6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B1:Y39"/>
  <sheetViews>
    <sheetView view="pageBreakPreview" topLeftCell="B16" zoomScale="90" zoomScaleSheetLayoutView="90" workbookViewId="0">
      <selection activeCell="D49" sqref="D49"/>
    </sheetView>
  </sheetViews>
  <sheetFormatPr defaultColWidth="9.140625" defaultRowHeight="12.75" outlineLevelCol="1"/>
  <cols>
    <col min="1" max="1" width="1.28515625" style="87" customWidth="1"/>
    <col min="2" max="2" width="24.7109375" style="88" customWidth="1"/>
    <col min="3" max="3" width="15" style="88" customWidth="1"/>
    <col min="4" max="4" width="26.7109375" style="88" customWidth="1"/>
    <col min="5" max="5" width="9" style="87" customWidth="1"/>
    <col min="6" max="6" width="22.42578125" style="1440" customWidth="1"/>
    <col min="7" max="7" width="2.7109375" style="91" customWidth="1"/>
    <col min="8" max="8" width="23" style="215" customWidth="1"/>
    <col min="9" max="9" width="4.28515625" style="91" customWidth="1"/>
    <col min="10" max="10" width="8.85546875" style="181" hidden="1" customWidth="1"/>
    <col min="11" max="11" width="12.5703125" style="87" hidden="1" customWidth="1"/>
    <col min="12" max="12" width="9.5703125" style="87" hidden="1" customWidth="1"/>
    <col min="13" max="13" width="15.85546875" style="214" hidden="1" customWidth="1" outlineLevel="1"/>
    <col min="14" max="14" width="13.28515625" style="87" hidden="1" customWidth="1" outlineLevel="1"/>
    <col min="15" max="15" width="12.28515625" style="87" hidden="1" customWidth="1" outlineLevel="1"/>
    <col min="16" max="16" width="9.85546875" style="87" hidden="1" customWidth="1" outlineLevel="1"/>
    <col min="17" max="17" width="9.28515625" style="87" hidden="1" customWidth="1" outlineLevel="1"/>
    <col min="18" max="18" width="12" style="87" hidden="1" customWidth="1" outlineLevel="1"/>
    <col min="19" max="19" width="17.28515625" style="87" hidden="1" customWidth="1" outlineLevel="1"/>
    <col min="20" max="20" width="11" style="87" hidden="1" customWidth="1" outlineLevel="1"/>
    <col min="21" max="21" width="12.7109375" style="87" hidden="1" customWidth="1" outlineLevel="1"/>
    <col min="22" max="22" width="17.140625" style="87" hidden="1" customWidth="1" outlineLevel="1"/>
    <col min="23" max="23" width="13.5703125" style="87" hidden="1" customWidth="1" collapsed="1"/>
    <col min="24" max="24" width="12.5703125" style="87" hidden="1" customWidth="1"/>
    <col min="25" max="25" width="0" style="87" hidden="1" customWidth="1"/>
    <col min="26" max="16384" width="9.140625" style="87"/>
  </cols>
  <sheetData>
    <row r="1" spans="2:25" ht="46.5" customHeight="1">
      <c r="B1" s="1528" t="s">
        <v>1228</v>
      </c>
      <c r="C1" s="1528"/>
      <c r="D1" s="1528"/>
      <c r="E1" s="1528"/>
      <c r="F1" s="1528"/>
    </row>
    <row r="2" spans="2:25" ht="24.75" customHeight="1">
      <c r="B2" s="1529" t="s">
        <v>1157</v>
      </c>
      <c r="C2" s="1529"/>
      <c r="D2" s="1529"/>
      <c r="E2" s="1529"/>
      <c r="F2" s="1536" t="s">
        <v>1177</v>
      </c>
      <c r="G2" s="1536"/>
      <c r="H2" s="1536"/>
      <c r="I2" s="483"/>
    </row>
    <row r="3" spans="2:25" ht="12.75" customHeight="1">
      <c r="B3" s="1540"/>
      <c r="C3" s="1540"/>
      <c r="D3" s="1540"/>
      <c r="E3" s="111"/>
      <c r="F3" s="112"/>
      <c r="G3" s="112"/>
      <c r="H3" s="484"/>
      <c r="I3" s="112"/>
    </row>
    <row r="4" spans="2:25" s="89" customFormat="1" ht="42.75" customHeight="1">
      <c r="B4" s="1524"/>
      <c r="C4" s="1524"/>
      <c r="D4" s="1524"/>
      <c r="E4" s="1441" t="s">
        <v>312</v>
      </c>
      <c r="F4" s="1651" t="s">
        <v>1155</v>
      </c>
      <c r="G4"/>
      <c r="H4" s="1651" t="s">
        <v>1156</v>
      </c>
      <c r="I4" s="352"/>
      <c r="J4" s="182"/>
      <c r="L4" s="352"/>
      <c r="M4" s="439"/>
      <c r="N4" s="1534" t="s">
        <v>787</v>
      </c>
      <c r="O4" s="1534"/>
      <c r="P4" s="1537"/>
      <c r="Q4" s="1537"/>
      <c r="R4" s="439"/>
      <c r="S4" s="439"/>
      <c r="T4" s="439"/>
    </row>
    <row r="5" spans="2:25" s="89" customFormat="1" ht="21" customHeight="1">
      <c r="B5" s="1541"/>
      <c r="C5" s="1541"/>
      <c r="D5" s="1541"/>
      <c r="E5" s="1442"/>
      <c r="F5" s="1443"/>
      <c r="G5" s="1444"/>
      <c r="H5" s="1445"/>
      <c r="I5" s="185"/>
      <c r="J5" s="183"/>
      <c r="M5" s="439"/>
      <c r="N5" s="439"/>
      <c r="O5" s="213"/>
      <c r="P5" s="529" t="s">
        <v>525</v>
      </c>
      <c r="Q5" s="529" t="s">
        <v>988</v>
      </c>
      <c r="R5" s="530" t="s">
        <v>746</v>
      </c>
      <c r="S5" s="530" t="s">
        <v>780</v>
      </c>
      <c r="T5" s="530" t="s">
        <v>757</v>
      </c>
      <c r="U5" s="898" t="s">
        <v>760</v>
      </c>
      <c r="V5" s="898" t="s">
        <v>763</v>
      </c>
      <c r="W5" s="898" t="s">
        <v>762</v>
      </c>
      <c r="X5" s="898" t="s">
        <v>782</v>
      </c>
      <c r="Y5" s="898" t="s">
        <v>989</v>
      </c>
    </row>
    <row r="6" spans="2:25" s="89" customFormat="1" ht="15.75">
      <c r="B6" s="1535" t="s">
        <v>1158</v>
      </c>
      <c r="C6" s="1535"/>
      <c r="D6" s="1535"/>
      <c r="E6" s="1446">
        <v>4</v>
      </c>
      <c r="F6" s="1445">
        <v>9411789.2699999996</v>
      </c>
      <c r="G6" s="1444"/>
      <c r="H6" s="1447">
        <v>7910541.44130373</v>
      </c>
      <c r="I6" s="213"/>
      <c r="J6" s="391">
        <f>F6/H6-1</f>
        <v>0.1897781384290238</v>
      </c>
      <c r="L6" s="92"/>
      <c r="M6" s="439"/>
      <c r="O6" s="478">
        <f>F6+P6+Q6+R6+S6+T6+U6+V6+W6</f>
        <v>9411789.2699999996</v>
      </c>
      <c r="P6" s="531"/>
      <c r="Q6" s="531"/>
      <c r="R6" s="532"/>
      <c r="S6" s="532"/>
      <c r="T6" s="532"/>
      <c r="U6" s="531"/>
      <c r="V6" s="899">
        <v>0</v>
      </c>
      <c r="W6" s="531"/>
      <c r="X6" s="531"/>
      <c r="Y6" s="531"/>
    </row>
    <row r="7" spans="2:25" s="89" customFormat="1" ht="18.75" customHeight="1">
      <c r="B7" s="1535" t="s">
        <v>1159</v>
      </c>
      <c r="C7" s="1535"/>
      <c r="D7" s="1535"/>
      <c r="E7" s="1446">
        <v>5</v>
      </c>
      <c r="F7" s="1448">
        <v>-5890457.6312499996</v>
      </c>
      <c r="G7" s="1449"/>
      <c r="H7" s="1450">
        <v>-4875429.0096123163</v>
      </c>
      <c r="I7" s="213"/>
      <c r="J7" s="391">
        <f t="shared" ref="J7:J19" si="0">F7/H7-1</f>
        <v>0.20819267794412943</v>
      </c>
      <c r="K7" s="92"/>
      <c r="L7" s="92"/>
      <c r="M7" s="439"/>
      <c r="N7" s="439"/>
      <c r="O7" s="478">
        <f>F7+P7+Q7+R7+S7+T7+U7+V7+W7+X7</f>
        <v>-6027744.4255499998</v>
      </c>
      <c r="P7" s="532"/>
      <c r="Q7" s="532"/>
      <c r="R7" s="532"/>
      <c r="S7" s="532"/>
      <c r="T7" s="532"/>
      <c r="U7" s="531"/>
      <c r="V7" s="531"/>
      <c r="W7" s="899">
        <f>разницы!E43/1000</f>
        <v>-137286.79430000001</v>
      </c>
      <c r="X7" s="531"/>
      <c r="Y7" s="531"/>
    </row>
    <row r="8" spans="2:25" s="89" customFormat="1" ht="26.25" customHeight="1">
      <c r="B8" s="1535" t="s">
        <v>1160</v>
      </c>
      <c r="C8" s="1535"/>
      <c r="D8" s="1535"/>
      <c r="E8" s="1451"/>
      <c r="F8" s="1445">
        <f>SUM(F6,F7)</f>
        <v>3521331.6387499999</v>
      </c>
      <c r="G8" s="1447"/>
      <c r="H8" s="1447">
        <v>3035112.4316914137</v>
      </c>
      <c r="I8" s="213"/>
      <c r="J8" s="391">
        <f t="shared" si="0"/>
        <v>0.16019808755078802</v>
      </c>
      <c r="K8" s="180" t="e">
        <f>F8+'Баланс '!#REF!+'Баланс '!#REF!+'Баланс '!#REF!</f>
        <v>#REF!</v>
      </c>
      <c r="L8" s="432">
        <v>10458261.684362737</v>
      </c>
      <c r="M8" s="534"/>
      <c r="N8" s="534"/>
      <c r="O8" s="478">
        <f>SUM(O6:O7)</f>
        <v>3384044.8444499997</v>
      </c>
      <c r="P8" s="532"/>
      <c r="Q8" s="532"/>
      <c r="R8" s="532"/>
      <c r="S8" s="532"/>
      <c r="T8" s="532"/>
      <c r="U8" s="531"/>
      <c r="V8" s="531"/>
      <c r="W8" s="531"/>
      <c r="X8" s="531"/>
      <c r="Y8" s="531"/>
    </row>
    <row r="9" spans="2:25" s="89" customFormat="1" ht="25.5" customHeight="1">
      <c r="B9" s="1535" t="s">
        <v>1161</v>
      </c>
      <c r="C9" s="1535"/>
      <c r="D9" s="1535"/>
      <c r="E9" s="1446">
        <v>6</v>
      </c>
      <c r="F9" s="1452">
        <v>-1176543</v>
      </c>
      <c r="G9" s="1444"/>
      <c r="H9" s="1453">
        <v>-1733719</v>
      </c>
      <c r="I9" s="213"/>
      <c r="J9" s="391">
        <f t="shared" si="0"/>
        <v>-0.32137618610628371</v>
      </c>
      <c r="K9" s="461"/>
      <c r="L9" s="450"/>
      <c r="M9" s="534"/>
      <c r="O9" s="478">
        <f>F9+P9+Q9+R9+S9+T9+U9+V9+W9+X9</f>
        <v>-1767976.6497300002</v>
      </c>
      <c r="P9" s="533"/>
      <c r="Q9" s="532"/>
      <c r="R9" s="532"/>
      <c r="S9" s="532"/>
      <c r="T9" s="532"/>
      <c r="U9" s="532"/>
      <c r="V9" s="531"/>
      <c r="W9" s="531"/>
      <c r="X9" s="899">
        <f>разницы!E42/1000</f>
        <v>-591433.64973000006</v>
      </c>
      <c r="Y9" s="531"/>
    </row>
    <row r="10" spans="2:25" s="89" customFormat="1" ht="23.25" customHeight="1">
      <c r="B10" s="1535" t="s">
        <v>1162</v>
      </c>
      <c r="C10" s="1535"/>
      <c r="D10" s="1535"/>
      <c r="E10" s="1446">
        <v>7</v>
      </c>
      <c r="F10" s="1448">
        <v>-756962</v>
      </c>
      <c r="G10" s="1444"/>
      <c r="H10" s="1450">
        <v>-729746</v>
      </c>
      <c r="I10" s="213"/>
      <c r="J10" s="391">
        <f>F10/H10-1</f>
        <v>3.7295168455873773E-2</v>
      </c>
      <c r="K10" s="180">
        <f>SUM(F8:F10)</f>
        <v>1587826.6387499999</v>
      </c>
      <c r="L10" s="92" t="s">
        <v>275</v>
      </c>
      <c r="M10" s="535">
        <f>SUM(O8:O10)</f>
        <v>834891.90389999957</v>
      </c>
      <c r="N10" s="535"/>
      <c r="O10" s="478">
        <f>F10+P10+Q10+R10+S10+T10+U10+V10+W10</f>
        <v>-781176.29081999999</v>
      </c>
      <c r="P10" s="899">
        <f>разницы!E135/1000</f>
        <v>-11478.731</v>
      </c>
      <c r="Q10" s="899">
        <f>разницы!E133/1000</f>
        <v>-21740.87182</v>
      </c>
      <c r="R10" s="899">
        <v>0</v>
      </c>
      <c r="S10" s="532"/>
      <c r="T10" s="899">
        <f>разницы!E132/1000</f>
        <v>9005.3119999999999</v>
      </c>
      <c r="U10" s="532"/>
      <c r="V10" s="899">
        <v>0</v>
      </c>
      <c r="W10" s="531"/>
      <c r="X10" s="531"/>
      <c r="Y10" s="531"/>
    </row>
    <row r="11" spans="2:25" s="89" customFormat="1" ht="22.5" customHeight="1">
      <c r="B11" s="1539" t="s">
        <v>1163</v>
      </c>
      <c r="C11" s="1539"/>
      <c r="D11" s="1539"/>
      <c r="E11" s="1446"/>
      <c r="F11" s="1454">
        <f>SUM(F8:F10)</f>
        <v>1587826.6387499999</v>
      </c>
      <c r="G11" s="1455"/>
      <c r="H11" s="1455">
        <v>571647.43169141375</v>
      </c>
      <c r="I11" s="482"/>
      <c r="J11" s="391">
        <f>F11/H11-1</f>
        <v>1.7776327692960567</v>
      </c>
      <c r="K11" s="180"/>
      <c r="L11" s="92"/>
      <c r="M11" s="535"/>
      <c r="N11" s="535"/>
      <c r="O11" s="482">
        <f>SUM(O8:O10)</f>
        <v>834891.90389999957</v>
      </c>
      <c r="P11" s="533"/>
      <c r="Q11" s="533"/>
      <c r="R11" s="533"/>
      <c r="S11" s="533"/>
      <c r="T11" s="533"/>
      <c r="U11" s="532"/>
      <c r="V11" s="531"/>
      <c r="W11" s="531"/>
      <c r="X11" s="531"/>
      <c r="Y11" s="531"/>
    </row>
    <row r="12" spans="2:25" s="89" customFormat="1" ht="19.5" customHeight="1">
      <c r="B12" s="1535" t="s">
        <v>1164</v>
      </c>
      <c r="C12" s="1535"/>
      <c r="D12" s="1535"/>
      <c r="E12" s="1446">
        <v>8</v>
      </c>
      <c r="F12" s="1452">
        <v>-249257.2</v>
      </c>
      <c r="G12" s="1444"/>
      <c r="H12" s="1453">
        <v>-255745.5</v>
      </c>
      <c r="I12" s="213"/>
      <c r="J12" s="391">
        <f t="shared" si="0"/>
        <v>-2.5370143365181397E-2</v>
      </c>
      <c r="K12" s="180" t="e">
        <f>K10+'Баланс '!#REF!</f>
        <v>#REF!</v>
      </c>
      <c r="L12" s="89" t="s">
        <v>276</v>
      </c>
      <c r="M12" s="535"/>
      <c r="N12" s="535"/>
      <c r="O12" s="213">
        <f>F12+P12+Q12+R12+S12+T12+U12+V12+W12</f>
        <v>-249257.2</v>
      </c>
      <c r="P12" s="533"/>
      <c r="Q12" s="532"/>
      <c r="R12" s="532"/>
      <c r="S12" s="532"/>
      <c r="T12" s="532"/>
      <c r="U12" s="532"/>
      <c r="V12" s="531"/>
      <c r="W12" s="531"/>
      <c r="X12" s="531"/>
      <c r="Y12" s="531"/>
    </row>
    <row r="13" spans="2:25" s="89" customFormat="1" ht="16.5" customHeight="1">
      <c r="B13" s="1535" t="s">
        <v>1165</v>
      </c>
      <c r="C13" s="1535"/>
      <c r="D13" s="1535"/>
      <c r="E13" s="1446"/>
      <c r="F13" s="1445">
        <v>92072.799999999814</v>
      </c>
      <c r="G13" s="1444"/>
      <c r="H13" s="1453">
        <v>-69283.799999999988</v>
      </c>
      <c r="I13" s="213"/>
      <c r="J13" s="391">
        <f t="shared" si="0"/>
        <v>-2.3289224898172423</v>
      </c>
      <c r="K13" s="437"/>
      <c r="L13" s="450"/>
      <c r="M13" s="213"/>
      <c r="N13" s="213"/>
      <c r="O13" s="213">
        <f>F13+P13+Q13+R13+S13+T13+U13+V13+W13</f>
        <v>124991.48245999981</v>
      </c>
      <c r="P13" s="532"/>
      <c r="Q13" s="532"/>
      <c r="R13" s="532"/>
      <c r="S13" s="899">
        <f>разницы!E134/1000+разницы!E44/1000</f>
        <v>32918.682459999996</v>
      </c>
      <c r="T13" s="532"/>
      <c r="U13" s="532"/>
      <c r="V13" s="531"/>
      <c r="W13" s="531"/>
      <c r="X13" s="531"/>
      <c r="Y13" s="531"/>
    </row>
    <row r="14" spans="2:25" s="89" customFormat="1" ht="16.5" customHeight="1">
      <c r="B14" s="1535" t="s">
        <v>1166</v>
      </c>
      <c r="C14" s="1535"/>
      <c r="D14" s="1535"/>
      <c r="E14" s="1446"/>
      <c r="F14" s="1445">
        <v>62723.699999999983</v>
      </c>
      <c r="G14" s="1444"/>
      <c r="H14" s="1447">
        <v>4335.1000000000004</v>
      </c>
      <c r="I14" s="213"/>
      <c r="J14" s="391">
        <f t="shared" si="0"/>
        <v>13.468801181056948</v>
      </c>
      <c r="K14" s="213"/>
      <c r="L14" s="92"/>
      <c r="M14" s="439"/>
      <c r="N14" s="439"/>
      <c r="O14" s="213">
        <f>F14+P14+Q14+R14+S14+T14+U14+V14+W14</f>
        <v>62723.699999999983</v>
      </c>
      <c r="P14" s="532"/>
      <c r="Q14" s="532"/>
      <c r="R14" s="532"/>
      <c r="S14" s="532"/>
      <c r="T14" s="532"/>
      <c r="U14" s="532"/>
      <c r="V14" s="531"/>
      <c r="W14" s="531"/>
      <c r="X14" s="531"/>
      <c r="Y14" s="531"/>
    </row>
    <row r="15" spans="2:25" s="89" customFormat="1" ht="18.75" customHeight="1">
      <c r="B15" s="1535" t="s">
        <v>1167</v>
      </c>
      <c r="C15" s="1535"/>
      <c r="D15" s="1535"/>
      <c r="E15" s="1446">
        <v>9</v>
      </c>
      <c r="F15" s="1452">
        <v>-32516.024249681992</v>
      </c>
      <c r="G15" s="1444"/>
      <c r="H15" s="1450">
        <v>-32685.889605610028</v>
      </c>
      <c r="I15" s="213"/>
      <c r="J15" s="391">
        <f t="shared" si="0"/>
        <v>-5.196901720517344E-3</v>
      </c>
      <c r="K15" s="213"/>
      <c r="M15" s="439"/>
      <c r="N15" s="439"/>
      <c r="O15" s="213">
        <f>F15+P15+Q15+R15+S15+T15+U15+V15++X15+W15+Y15</f>
        <v>-32488.524249681992</v>
      </c>
      <c r="P15" s="532"/>
      <c r="Q15" s="532"/>
      <c r="R15" s="532"/>
      <c r="S15" s="532"/>
      <c r="T15" s="532"/>
      <c r="U15" s="899">
        <v>0</v>
      </c>
      <c r="V15" s="531"/>
      <c r="X15" s="899"/>
      <c r="Y15" s="899">
        <f>разницы!E45/1000</f>
        <v>27.5</v>
      </c>
    </row>
    <row r="16" spans="2:25" s="89" customFormat="1" ht="24.75" customHeight="1" thickBot="1">
      <c r="B16" s="1535" t="s">
        <v>1168</v>
      </c>
      <c r="C16" s="1535"/>
      <c r="D16" s="1535"/>
      <c r="E16" s="1446"/>
      <c r="F16" s="1456">
        <f>SUM(F11:F15)</f>
        <v>1460849.9145003178</v>
      </c>
      <c r="G16" s="1457"/>
      <c r="H16" s="1457">
        <v>218267.34208580374</v>
      </c>
      <c r="I16" s="213"/>
      <c r="J16" s="391">
        <f t="shared" si="0"/>
        <v>5.6929385795426901</v>
      </c>
      <c r="K16" s="92"/>
      <c r="M16" s="213"/>
      <c r="N16" s="536">
        <f>F16-O16</f>
        <v>719988.55239000032</v>
      </c>
      <c r="O16" s="213">
        <f>SUM(O11:O15)</f>
        <v>740861.36211031745</v>
      </c>
      <c r="P16" s="532"/>
      <c r="Q16" s="532"/>
      <c r="R16" s="532"/>
      <c r="S16" s="532"/>
      <c r="T16" s="532"/>
      <c r="U16" s="531"/>
      <c r="V16" s="531"/>
      <c r="W16" s="531"/>
      <c r="X16" s="531"/>
      <c r="Y16" s="531"/>
    </row>
    <row r="17" spans="2:25" s="89" customFormat="1" ht="27.75" customHeight="1">
      <c r="B17" s="1538" t="s">
        <v>1169</v>
      </c>
      <c r="C17" s="1538"/>
      <c r="D17" s="1538"/>
      <c r="E17" s="1458"/>
      <c r="F17" s="1452">
        <v>-86657</v>
      </c>
      <c r="G17" s="1459"/>
      <c r="H17" s="1453">
        <v>-77481.399999999994</v>
      </c>
      <c r="I17" s="213"/>
      <c r="J17" s="391"/>
      <c r="K17" s="92"/>
      <c r="M17" s="439"/>
      <c r="N17" s="213"/>
      <c r="O17" s="213">
        <f>F17+P17+Q17+R17+S17+T17+U17+V17+W17</f>
        <v>-86657</v>
      </c>
      <c r="P17" s="532"/>
      <c r="Q17" s="532"/>
      <c r="R17" s="532"/>
      <c r="S17" s="532"/>
      <c r="T17" s="532"/>
      <c r="U17" s="531"/>
      <c r="V17" s="531"/>
      <c r="W17" s="531"/>
      <c r="X17" s="531"/>
      <c r="Y17" s="531"/>
    </row>
    <row r="18" spans="2:25" s="89" customFormat="1" ht="25.5" hidden="1" customHeight="1" thickBot="1">
      <c r="B18" s="1538" t="s">
        <v>444</v>
      </c>
      <c r="C18" s="1538"/>
      <c r="D18" s="1538"/>
      <c r="E18" s="1458"/>
      <c r="F18" s="1460">
        <v>0</v>
      </c>
      <c r="G18" s="1444"/>
      <c r="H18" s="1461">
        <v>0</v>
      </c>
      <c r="I18" s="213"/>
      <c r="J18" s="391"/>
      <c r="K18" s="92"/>
      <c r="M18" s="213"/>
      <c r="N18" s="213"/>
      <c r="O18" s="213">
        <f>F18+P18+Q18+R18+S18+T18+U18+V18+W18</f>
        <v>0</v>
      </c>
      <c r="P18" s="532"/>
      <c r="Q18" s="532"/>
      <c r="R18" s="532"/>
      <c r="S18" s="532"/>
      <c r="T18" s="532"/>
      <c r="U18" s="531"/>
      <c r="V18" s="531"/>
      <c r="W18" s="531"/>
      <c r="X18" s="531"/>
      <c r="Y18" s="531"/>
    </row>
    <row r="19" spans="2:25" s="89" customFormat="1" ht="29.25" customHeight="1">
      <c r="B19" s="1538" t="s">
        <v>1170</v>
      </c>
      <c r="C19" s="1538"/>
      <c r="D19" s="1538"/>
      <c r="E19" s="1446"/>
      <c r="F19" s="1445">
        <f>SUM(F16:F18)</f>
        <v>1374192.9145003178</v>
      </c>
      <c r="G19" s="1447"/>
      <c r="H19" s="1447">
        <v>140785.94208580375</v>
      </c>
      <c r="I19" s="213"/>
      <c r="J19" s="391">
        <f t="shared" si="0"/>
        <v>8.7608674143246397</v>
      </c>
      <c r="K19" s="122"/>
      <c r="M19" s="439"/>
      <c r="N19" s="536">
        <f>F19-O19</f>
        <v>719988.55239000032</v>
      </c>
      <c r="O19" s="213">
        <f>SUM(O16:O18)</f>
        <v>654204.36211031745</v>
      </c>
      <c r="P19" s="532"/>
      <c r="Q19" s="532"/>
      <c r="R19" s="532"/>
      <c r="S19" s="532"/>
      <c r="T19" s="532"/>
      <c r="U19" s="531"/>
      <c r="V19" s="531"/>
      <c r="W19" s="531"/>
      <c r="X19" s="531"/>
      <c r="Y19" s="531"/>
    </row>
    <row r="20" spans="2:25" s="89" customFormat="1" ht="24" hidden="1" customHeight="1">
      <c r="B20" s="1538" t="s">
        <v>355</v>
      </c>
      <c r="C20" s="1538"/>
      <c r="D20" s="1538"/>
      <c r="E20" s="1446"/>
      <c r="F20" s="1445"/>
      <c r="G20" s="1447"/>
      <c r="H20" s="1447"/>
      <c r="I20" s="213"/>
      <c r="J20" s="184"/>
      <c r="K20" s="122"/>
      <c r="M20" s="439"/>
    </row>
    <row r="21" spans="2:25" s="89" customFormat="1" ht="24" customHeight="1">
      <c r="B21" s="1538" t="s">
        <v>1172</v>
      </c>
      <c r="C21" s="1538"/>
      <c r="D21" s="1538"/>
      <c r="E21" s="1446"/>
      <c r="F21" s="1445">
        <v>4737804</v>
      </c>
      <c r="G21" s="1447"/>
      <c r="H21" s="1447">
        <v>0</v>
      </c>
      <c r="I21" s="213"/>
      <c r="J21" s="184"/>
      <c r="K21" s="122"/>
      <c r="M21" s="439"/>
    </row>
    <row r="22" spans="2:25" s="89" customFormat="1" ht="36" hidden="1" customHeight="1">
      <c r="B22" s="1538" t="s">
        <v>443</v>
      </c>
      <c r="C22" s="1538"/>
      <c r="D22" s="1538"/>
      <c r="E22" s="1446"/>
      <c r="F22" s="1445"/>
      <c r="G22" s="1447"/>
      <c r="H22" s="1462"/>
      <c r="I22" s="213"/>
      <c r="J22" s="184"/>
      <c r="K22" s="122"/>
      <c r="M22" s="439"/>
      <c r="N22" s="92"/>
    </row>
    <row r="23" spans="2:25" s="89" customFormat="1" ht="29.25" hidden="1" customHeight="1">
      <c r="B23" s="1535" t="s">
        <v>277</v>
      </c>
      <c r="C23" s="1535"/>
      <c r="D23" s="1535"/>
      <c r="E23" s="1446"/>
      <c r="F23" s="1445">
        <f>СК!M16</f>
        <v>0</v>
      </c>
      <c r="G23" s="1447"/>
      <c r="H23" s="1447">
        <v>0</v>
      </c>
      <c r="I23" s="213"/>
      <c r="J23" s="184"/>
      <c r="K23" s="122"/>
      <c r="M23" s="213"/>
      <c r="N23" s="92"/>
    </row>
    <row r="24" spans="2:25" s="89" customFormat="1" ht="29.25" hidden="1" customHeight="1">
      <c r="B24" s="1535" t="s">
        <v>348</v>
      </c>
      <c r="C24" s="1535"/>
      <c r="D24" s="1535"/>
      <c r="E24" s="1446"/>
      <c r="F24" s="1445"/>
      <c r="G24" s="1447"/>
      <c r="H24" s="1447"/>
      <c r="I24" s="213"/>
      <c r="J24" s="184"/>
      <c r="K24" s="122"/>
      <c r="M24" s="439"/>
    </row>
    <row r="25" spans="2:25" s="89" customFormat="1" ht="25.5" customHeight="1">
      <c r="B25" s="1535" t="s">
        <v>1171</v>
      </c>
      <c r="C25" s="1535"/>
      <c r="D25" s="1535"/>
      <c r="E25" s="1446"/>
      <c r="F25" s="1452">
        <v>-20566.445</v>
      </c>
      <c r="G25" s="1447"/>
      <c r="H25" s="1447">
        <v>14171</v>
      </c>
      <c r="I25" s="213"/>
      <c r="J25" s="184"/>
      <c r="K25" s="122"/>
      <c r="M25" s="439"/>
    </row>
    <row r="26" spans="2:25" s="89" customFormat="1" ht="24.75" customHeight="1">
      <c r="B26" s="1535" t="s">
        <v>90</v>
      </c>
      <c r="C26" s="1535"/>
      <c r="D26" s="1535"/>
      <c r="E26" s="1446"/>
      <c r="F26" s="1445">
        <f>СК!O20</f>
        <v>0</v>
      </c>
      <c r="G26" s="1447"/>
      <c r="H26" s="1447">
        <v>0</v>
      </c>
      <c r="I26" s="213"/>
      <c r="J26" s="184"/>
      <c r="K26" s="605"/>
      <c r="L26" s="605"/>
      <c r="M26" s="391"/>
    </row>
    <row r="27" spans="2:25" s="89" customFormat="1" ht="24.75" customHeight="1" thickBot="1">
      <c r="B27" s="1535" t="s">
        <v>1173</v>
      </c>
      <c r="C27" s="1535"/>
      <c r="D27" s="1535"/>
      <c r="E27" s="1446"/>
      <c r="F27" s="1460">
        <f>SUM(F19:F26)</f>
        <v>6091430.4695003172</v>
      </c>
      <c r="G27" s="1461"/>
      <c r="H27" s="1461">
        <v>154956.94208580375</v>
      </c>
      <c r="I27" s="213"/>
      <c r="J27" s="184"/>
      <c r="K27" s="122"/>
      <c r="M27" s="439"/>
    </row>
    <row r="28" spans="2:25" s="89" customFormat="1" ht="27.75" customHeight="1" thickTop="1">
      <c r="B28" s="1535"/>
      <c r="C28" s="1535"/>
      <c r="D28" s="1535"/>
      <c r="E28" s="1446"/>
      <c r="F28" s="1443"/>
      <c r="G28" s="1444"/>
      <c r="H28" s="1447"/>
      <c r="I28" s="213"/>
      <c r="J28" s="184"/>
      <c r="M28" s="439"/>
    </row>
    <row r="29" spans="2:25" s="89" customFormat="1" ht="20.25" customHeight="1">
      <c r="B29" s="1535" t="s">
        <v>1174</v>
      </c>
      <c r="C29" s="1535"/>
      <c r="D29" s="1535"/>
      <c r="E29" s="1446"/>
      <c r="F29" s="1445">
        <f>F19</f>
        <v>1374192.9145003178</v>
      </c>
      <c r="G29" s="1447"/>
      <c r="H29" s="1447">
        <v>140785.94208580375</v>
      </c>
      <c r="I29" s="213"/>
      <c r="J29" s="212"/>
      <c r="M29" s="439"/>
    </row>
    <row r="30" spans="2:25" s="89" customFormat="1" ht="15.75">
      <c r="B30" s="1522"/>
      <c r="C30" s="1522"/>
      <c r="D30" s="1522"/>
      <c r="E30" s="1446"/>
      <c r="F30" s="1463"/>
      <c r="G30" s="1444"/>
      <c r="H30" s="1464"/>
      <c r="I30" s="213"/>
      <c r="J30" s="184"/>
      <c r="M30" s="439"/>
    </row>
    <row r="31" spans="2:25" s="89" customFormat="1" ht="18" customHeight="1" thickBot="1">
      <c r="B31" s="1522"/>
      <c r="C31" s="1522"/>
      <c r="D31" s="1522"/>
      <c r="E31" s="1446"/>
      <c r="F31" s="1465">
        <f>SUM(F29,F30)</f>
        <v>1374192.9145003178</v>
      </c>
      <c r="G31" s="1466"/>
      <c r="H31" s="1461">
        <v>140785.94208580375</v>
      </c>
      <c r="I31" s="213"/>
      <c r="J31" s="184"/>
      <c r="M31" s="439"/>
    </row>
    <row r="32" spans="2:25" s="89" customFormat="1" ht="24" customHeight="1" thickTop="1">
      <c r="B32" s="1522" t="s">
        <v>1175</v>
      </c>
      <c r="C32" s="1522"/>
      <c r="D32" s="1522"/>
      <c r="E32" s="1446">
        <v>10</v>
      </c>
      <c r="F32" s="1445">
        <f>F31/3144.569</f>
        <v>437.00517129702604</v>
      </c>
      <c r="G32" s="1447"/>
      <c r="H32" s="1445">
        <v>44.558252308383942</v>
      </c>
      <c r="I32" s="213"/>
      <c r="J32" s="438"/>
      <c r="K32" s="439"/>
      <c r="L32" s="439"/>
      <c r="M32" s="439"/>
    </row>
    <row r="33" spans="2:18" s="89" customFormat="1" ht="22.5" customHeight="1">
      <c r="B33" s="81"/>
      <c r="C33" s="81"/>
      <c r="D33" s="81"/>
      <c r="E33" s="90"/>
      <c r="F33" s="185"/>
      <c r="G33" s="92"/>
      <c r="H33" s="213"/>
      <c r="I33" s="92"/>
      <c r="J33" s="184"/>
      <c r="M33" s="439"/>
    </row>
    <row r="34" spans="2:18" ht="26.25" hidden="1" customHeight="1">
      <c r="B34" s="1526" t="s">
        <v>1106</v>
      </c>
      <c r="C34" s="1526"/>
      <c r="D34" s="1526"/>
      <c r="E34" s="214"/>
      <c r="F34" s="215"/>
      <c r="I34" s="1439"/>
      <c r="J34" s="1433"/>
      <c r="K34" s="1433"/>
      <c r="L34" s="1433"/>
      <c r="M34" s="73"/>
      <c r="N34" s="1433"/>
      <c r="O34" s="1542" t="s">
        <v>1102</v>
      </c>
      <c r="P34" s="1542"/>
      <c r="Q34" s="1542"/>
      <c r="R34" s="1542"/>
    </row>
    <row r="35" spans="2:18" hidden="1">
      <c r="B35" s="81"/>
      <c r="C35" s="81"/>
      <c r="D35" s="81"/>
      <c r="E35" s="214"/>
      <c r="F35" s="215"/>
    </row>
    <row r="36" spans="2:18" ht="22.5" hidden="1" customHeight="1">
      <c r="B36" s="350"/>
      <c r="C36" s="350"/>
      <c r="D36" s="1497"/>
      <c r="E36" s="350"/>
      <c r="F36" s="1498"/>
      <c r="G36" s="1500"/>
      <c r="H36" s="370"/>
      <c r="I36" s="1439"/>
    </row>
    <row r="37" spans="2:18" hidden="1">
      <c r="B37" s="1496" t="s">
        <v>1107</v>
      </c>
      <c r="C37" s="1496"/>
      <c r="D37" s="1530" t="s">
        <v>1107</v>
      </c>
      <c r="E37" s="1530"/>
      <c r="F37" s="1502" t="s">
        <v>1108</v>
      </c>
      <c r="G37" s="1503"/>
      <c r="H37" s="1503"/>
      <c r="I37" s="1434"/>
    </row>
    <row r="38" spans="2:18" ht="15.75" hidden="1">
      <c r="B38" s="1500" t="s">
        <v>1105</v>
      </c>
      <c r="C38" s="1428"/>
      <c r="D38" s="1500" t="s">
        <v>1109</v>
      </c>
      <c r="E38" s="350"/>
      <c r="F38" s="414" t="s">
        <v>1104</v>
      </c>
      <c r="G38" s="1500"/>
      <c r="H38" s="370"/>
      <c r="I38" s="1439"/>
    </row>
    <row r="39" spans="2:18" hidden="1">
      <c r="B39" s="1501"/>
      <c r="D39" s="1500" t="s">
        <v>1110</v>
      </c>
      <c r="F39" s="91"/>
    </row>
  </sheetData>
  <mergeCells count="38">
    <mergeCell ref="B13:D13"/>
    <mergeCell ref="O34:R34"/>
    <mergeCell ref="B34:D34"/>
    <mergeCell ref="D37:E37"/>
    <mergeCell ref="B14:D14"/>
    <mergeCell ref="B17:D17"/>
    <mergeCell ref="P4:Q4"/>
    <mergeCell ref="B25:D25"/>
    <mergeCell ref="B12:D12"/>
    <mergeCell ref="B26:D26"/>
    <mergeCell ref="B23:D23"/>
    <mergeCell ref="B10:D10"/>
    <mergeCell ref="B22:D22"/>
    <mergeCell ref="B18:D18"/>
    <mergeCell ref="B19:D19"/>
    <mergeCell ref="B20:D20"/>
    <mergeCell ref="B11:D11"/>
    <mergeCell ref="B16:D16"/>
    <mergeCell ref="B24:D24"/>
    <mergeCell ref="B21:D21"/>
    <mergeCell ref="B15:D15"/>
    <mergeCell ref="B7:D7"/>
    <mergeCell ref="B1:F1"/>
    <mergeCell ref="N4:O4"/>
    <mergeCell ref="B32:D32"/>
    <mergeCell ref="B30:D30"/>
    <mergeCell ref="B27:D27"/>
    <mergeCell ref="B28:D28"/>
    <mergeCell ref="B31:D31"/>
    <mergeCell ref="B29:D29"/>
    <mergeCell ref="F2:H2"/>
    <mergeCell ref="B8:D8"/>
    <mergeCell ref="B9:D9"/>
    <mergeCell ref="B2:E2"/>
    <mergeCell ref="B4:D4"/>
    <mergeCell ref="B3:D3"/>
    <mergeCell ref="B5:D5"/>
    <mergeCell ref="B6:D6"/>
  </mergeCells>
  <phoneticPr fontId="13" type="noConversion"/>
  <pageMargins left="0.74803149606299213" right="0.67" top="0.98425196850393704" bottom="0.98425196850393704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8"/>
  <sheetViews>
    <sheetView view="pageBreakPreview" zoomScaleSheetLayoutView="100" workbookViewId="0">
      <selection activeCell="E83" sqref="E83"/>
    </sheetView>
  </sheetViews>
  <sheetFormatPr defaultRowHeight="12"/>
  <cols>
    <col min="1" max="1" width="3.5703125" style="1158" customWidth="1"/>
    <col min="2" max="2" width="4.85546875" style="1158" customWidth="1"/>
    <col min="3" max="4" width="9.140625" style="1158"/>
    <col min="5" max="5" width="23" style="1158" customWidth="1"/>
    <col min="6" max="6" width="6.7109375" style="1156" customWidth="1"/>
    <col min="7" max="7" width="18" style="588" customWidth="1"/>
    <col min="8" max="8" width="8.140625" style="1158" customWidth="1"/>
    <col min="9" max="9" width="14.28515625" style="588" customWidth="1"/>
    <col min="10" max="11" width="11.7109375" style="1158" bestFit="1" customWidth="1"/>
    <col min="12" max="16384" width="9.140625" style="1158"/>
  </cols>
  <sheetData>
    <row r="1" spans="1:9" ht="31.5" customHeight="1">
      <c r="A1" s="1548" t="s">
        <v>1229</v>
      </c>
      <c r="B1" s="1548"/>
      <c r="C1" s="1548"/>
      <c r="D1" s="1548"/>
      <c r="E1" s="1548"/>
      <c r="F1" s="1548"/>
    </row>
    <row r="2" spans="1:9" ht="32.25" customHeight="1">
      <c r="A2" s="1548" t="s">
        <v>1176</v>
      </c>
      <c r="B2" s="1548"/>
      <c r="C2" s="1548"/>
      <c r="D2" s="1548"/>
      <c r="E2" s="1548"/>
      <c r="F2" s="1548"/>
      <c r="G2" s="1547" t="s">
        <v>1177</v>
      </c>
      <c r="H2" s="1547"/>
      <c r="I2" s="1547"/>
    </row>
    <row r="3" spans="1:9">
      <c r="C3" s="1157"/>
      <c r="D3" s="1157"/>
      <c r="E3" s="1157"/>
    </row>
    <row r="4" spans="1:9" ht="39" customHeight="1">
      <c r="A4" s="1549" t="s">
        <v>1178</v>
      </c>
      <c r="B4" s="1549"/>
      <c r="C4" s="1549"/>
      <c r="D4" s="1549"/>
      <c r="E4" s="1549"/>
      <c r="F4" s="1155" t="s">
        <v>312</v>
      </c>
      <c r="G4" s="367" t="s">
        <v>1094</v>
      </c>
      <c r="H4" s="368"/>
      <c r="I4" s="367" t="s">
        <v>1095</v>
      </c>
    </row>
    <row r="5" spans="1:9" ht="30.75" customHeight="1">
      <c r="B5" s="1545" t="s">
        <v>1179</v>
      </c>
      <c r="C5" s="1545"/>
      <c r="D5" s="1545"/>
      <c r="E5" s="1545"/>
      <c r="F5" s="448"/>
      <c r="G5" s="589">
        <f>ОПУ!F16</f>
        <v>1460849.9145003178</v>
      </c>
      <c r="H5" s="1220"/>
      <c r="I5" s="589">
        <v>218267</v>
      </c>
    </row>
    <row r="6" spans="1:9" ht="16.5" customHeight="1">
      <c r="A6" s="1545" t="s">
        <v>1180</v>
      </c>
      <c r="B6" s="1545"/>
      <c r="C6" s="1545"/>
      <c r="D6" s="1545"/>
      <c r="E6" s="1545"/>
      <c r="F6" s="448"/>
      <c r="G6" s="589"/>
      <c r="H6" s="1220"/>
      <c r="I6" s="589"/>
    </row>
    <row r="7" spans="1:9" ht="15" customHeight="1">
      <c r="C7" s="1545" t="s">
        <v>1181</v>
      </c>
      <c r="D7" s="1545"/>
      <c r="E7" s="1545"/>
      <c r="F7" s="448" t="s">
        <v>313</v>
      </c>
      <c r="G7" s="589">
        <v>385398</v>
      </c>
      <c r="H7" s="1220"/>
      <c r="I7" s="589">
        <v>377072</v>
      </c>
    </row>
    <row r="8" spans="1:9" ht="15" customHeight="1">
      <c r="C8" s="1545" t="s">
        <v>1164</v>
      </c>
      <c r="D8" s="1545"/>
      <c r="E8" s="1545"/>
      <c r="F8" s="95">
        <v>9</v>
      </c>
      <c r="G8" s="962">
        <f>-ОПУ!F12</f>
        <v>249257.2</v>
      </c>
      <c r="H8" s="1220"/>
      <c r="I8" s="962">
        <v>255746</v>
      </c>
    </row>
    <row r="9" spans="1:9" ht="15" customHeight="1">
      <c r="C9" s="1545" t="s">
        <v>1182</v>
      </c>
      <c r="D9" s="1545"/>
      <c r="E9" s="1545"/>
      <c r="F9" s="95"/>
      <c r="G9" s="962">
        <f>-ОПУ!F13</f>
        <v>-92072.799999999814</v>
      </c>
      <c r="H9" s="962"/>
      <c r="I9" s="962">
        <v>69284</v>
      </c>
    </row>
    <row r="10" spans="1:9" ht="15" customHeight="1">
      <c r="C10" s="1545" t="s">
        <v>1183</v>
      </c>
      <c r="D10" s="1545"/>
      <c r="E10" s="1545"/>
      <c r="F10" s="95"/>
      <c r="G10" s="962"/>
      <c r="H10" s="962"/>
      <c r="I10" s="962">
        <v>32685.4</v>
      </c>
    </row>
    <row r="11" spans="1:9" ht="15" customHeight="1">
      <c r="C11" s="1545" t="s">
        <v>1184</v>
      </c>
      <c r="D11" s="1545"/>
      <c r="E11" s="1545"/>
      <c r="F11" s="95"/>
      <c r="G11" s="962">
        <f>-ОПУ!F15</f>
        <v>32516.024249681992</v>
      </c>
      <c r="H11" s="1220"/>
      <c r="I11" s="962"/>
    </row>
    <row r="12" spans="1:9" ht="27" hidden="1" customHeight="1">
      <c r="C12" s="1545" t="s">
        <v>1096</v>
      </c>
      <c r="D12" s="1545"/>
      <c r="E12" s="1545"/>
      <c r="F12" s="95"/>
      <c r="G12" s="962"/>
      <c r="H12" s="1220"/>
      <c r="I12" s="962"/>
    </row>
    <row r="13" spans="1:9" ht="15" customHeight="1">
      <c r="C13" s="1545" t="s">
        <v>1185</v>
      </c>
      <c r="D13" s="1545"/>
      <c r="E13" s="1545"/>
      <c r="F13" s="95">
        <v>7</v>
      </c>
      <c r="G13" s="962">
        <f>590821</f>
        <v>590821</v>
      </c>
      <c r="H13" s="1220"/>
      <c r="I13" s="962">
        <v>-22915</v>
      </c>
    </row>
    <row r="14" spans="1:9" ht="15.75" customHeight="1" thickBot="1">
      <c r="C14" s="1545" t="s">
        <v>1186</v>
      </c>
      <c r="D14" s="1545"/>
      <c r="E14" s="1545"/>
      <c r="F14" s="95"/>
      <c r="G14" s="962">
        <f>-ОПУ!F14</f>
        <v>-62723.699999999983</v>
      </c>
      <c r="H14" s="1220"/>
      <c r="I14" s="962">
        <v>-4335</v>
      </c>
    </row>
    <row r="15" spans="1:9" ht="13.5" hidden="1" customHeight="1">
      <c r="C15" s="1545" t="s">
        <v>280</v>
      </c>
      <c r="D15" s="1545"/>
      <c r="E15" s="1545"/>
      <c r="F15" s="95">
        <v>8</v>
      </c>
      <c r="G15" s="589"/>
      <c r="H15" s="1220"/>
      <c r="I15" s="589"/>
    </row>
    <row r="16" spans="1:9" ht="24.75" hidden="1" customHeight="1">
      <c r="C16" s="1545" t="s">
        <v>395</v>
      </c>
      <c r="D16" s="1545"/>
      <c r="E16" s="1545"/>
      <c r="F16" s="95"/>
      <c r="G16" s="589"/>
      <c r="H16" s="1220"/>
      <c r="I16" s="589"/>
    </row>
    <row r="17" spans="2:9" ht="23.25" hidden="1" customHeight="1">
      <c r="C17" s="1545" t="s">
        <v>314</v>
      </c>
      <c r="D17" s="1545"/>
      <c r="E17" s="1545"/>
      <c r="F17" s="95">
        <v>8</v>
      </c>
      <c r="G17" s="962"/>
      <c r="H17" s="962"/>
      <c r="I17" s="962"/>
    </row>
    <row r="18" spans="2:9" ht="24.75" hidden="1" customHeight="1">
      <c r="C18" s="1545" t="s">
        <v>281</v>
      </c>
      <c r="D18" s="1545"/>
      <c r="E18" s="1545"/>
      <c r="F18" s="95">
        <v>8</v>
      </c>
      <c r="G18" s="962"/>
      <c r="H18" s="1220"/>
      <c r="I18" s="962"/>
    </row>
    <row r="19" spans="2:9" hidden="1">
      <c r="C19" s="1545" t="s">
        <v>282</v>
      </c>
      <c r="D19" s="1545"/>
      <c r="E19" s="1545"/>
      <c r="F19" s="95" t="s">
        <v>315</v>
      </c>
      <c r="G19" s="962"/>
      <c r="H19" s="1220"/>
      <c r="I19" s="962"/>
    </row>
    <row r="20" spans="2:9" hidden="1">
      <c r="C20" s="1545" t="s">
        <v>283</v>
      </c>
      <c r="D20" s="1545"/>
      <c r="E20" s="1545"/>
      <c r="F20" s="95"/>
      <c r="G20" s="589"/>
      <c r="H20" s="1220"/>
      <c r="I20" s="589"/>
    </row>
    <row r="21" spans="2:9" ht="12.75" hidden="1" thickBot="1">
      <c r="C21" s="1545" t="s">
        <v>284</v>
      </c>
      <c r="D21" s="1545"/>
      <c r="E21" s="1545"/>
      <c r="F21" s="95">
        <v>8</v>
      </c>
      <c r="G21" s="962"/>
      <c r="H21" s="1220"/>
      <c r="I21" s="962"/>
    </row>
    <row r="22" spans="2:9" ht="12.75" thickBot="1">
      <c r="B22" s="1545" t="s">
        <v>1187</v>
      </c>
      <c r="C22" s="1545"/>
      <c r="D22" s="1545"/>
      <c r="E22" s="1545"/>
      <c r="F22" s="448"/>
      <c r="G22" s="434">
        <f>SUM(G5:G21)</f>
        <v>2564045.6387499999</v>
      </c>
      <c r="H22" s="434"/>
      <c r="I22" s="434">
        <f>SUM(I5:I21)</f>
        <v>925804.4</v>
      </c>
    </row>
    <row r="23" spans="2:9">
      <c r="C23" s="1550"/>
      <c r="D23" s="1550"/>
      <c r="E23" s="1550"/>
      <c r="F23" s="448"/>
      <c r="G23" s="962"/>
      <c r="H23" s="1220"/>
      <c r="I23" s="959"/>
    </row>
    <row r="24" spans="2:9">
      <c r="C24" s="1545" t="s">
        <v>1188</v>
      </c>
      <c r="D24" s="1545"/>
      <c r="E24" s="1545"/>
      <c r="F24" s="95">
        <v>13</v>
      </c>
      <c r="G24" s="962">
        <f>'Баланс '!H18-'Баланс '!F18</f>
        <v>-1509716.0371198617</v>
      </c>
      <c r="H24" s="1220"/>
      <c r="I24" s="962">
        <v>703691</v>
      </c>
    </row>
    <row r="25" spans="2:9">
      <c r="C25" s="1545" t="s">
        <v>1189</v>
      </c>
      <c r="D25" s="1545"/>
      <c r="E25" s="1545"/>
      <c r="F25" s="95">
        <v>12</v>
      </c>
      <c r="G25" s="962">
        <f>'Баланс '!H19-'Баланс '!F19</f>
        <v>111369.77584000025</v>
      </c>
      <c r="H25" s="1220"/>
      <c r="I25" s="962">
        <v>128039</v>
      </c>
    </row>
    <row r="26" spans="2:9">
      <c r="C26" s="1545" t="s">
        <v>1190</v>
      </c>
      <c r="D26" s="1545"/>
      <c r="E26" s="1545"/>
      <c r="F26" s="95">
        <v>12</v>
      </c>
      <c r="G26" s="962">
        <f>'Баланс '!H20-'Баланс '!F20+'Баланс '!H9-'Баланс '!F9</f>
        <v>-360067.64274000004</v>
      </c>
      <c r="H26" s="1220"/>
      <c r="I26" s="962">
        <v>43923</v>
      </c>
    </row>
    <row r="27" spans="2:9">
      <c r="C27" s="1545" t="s">
        <v>1191</v>
      </c>
      <c r="D27" s="1545"/>
      <c r="E27" s="1545"/>
      <c r="F27" s="95">
        <v>15</v>
      </c>
      <c r="G27" s="962">
        <f>'Баланс '!H21-'Баланс '!F21+'Баланс '!H22-'Баланс '!F22</f>
        <v>-238929.98355999845</v>
      </c>
      <c r="H27" s="1220"/>
      <c r="I27" s="962">
        <v>326581</v>
      </c>
    </row>
    <row r="28" spans="2:9">
      <c r="C28" s="1545" t="s">
        <v>1192</v>
      </c>
      <c r="D28" s="1545"/>
      <c r="E28" s="1545"/>
      <c r="F28" s="95">
        <v>17</v>
      </c>
      <c r="G28" s="962">
        <f>'Баланс '!F52-'Баланс '!H52+'Баланс '!F56-'Баланс '!H56-G13</f>
        <v>320645.92930884194</v>
      </c>
      <c r="H28" s="1220"/>
      <c r="I28" s="962">
        <v>-1522107</v>
      </c>
    </row>
    <row r="29" spans="2:9">
      <c r="C29" s="1545" t="s">
        <v>1193</v>
      </c>
      <c r="D29" s="1545"/>
      <c r="E29" s="1545"/>
      <c r="F29" s="95">
        <v>18</v>
      </c>
      <c r="G29" s="962">
        <f>'Баланс '!F62-'Баланс '!H62</f>
        <v>-723740.77345712902</v>
      </c>
      <c r="H29" s="1220"/>
      <c r="I29" s="962">
        <v>-44231</v>
      </c>
    </row>
    <row r="30" spans="2:9" ht="22.5" customHeight="1" thickBot="1">
      <c r="C30" s="1545" t="s">
        <v>1194</v>
      </c>
      <c r="D30" s="1545"/>
      <c r="E30" s="1545"/>
      <c r="F30" s="95">
        <v>19</v>
      </c>
      <c r="G30" s="347">
        <f>'Баланс '!F64-'Баланс '!H64</f>
        <v>42439.850310292037</v>
      </c>
      <c r="H30" s="1220"/>
      <c r="I30" s="347">
        <v>58296</v>
      </c>
    </row>
    <row r="31" spans="2:9">
      <c r="B31" s="1545" t="s">
        <v>1195</v>
      </c>
      <c r="C31" s="1545"/>
      <c r="D31" s="1545"/>
      <c r="E31" s="1545"/>
      <c r="F31" s="95"/>
      <c r="G31" s="962">
        <f>SUM(G22:G30)</f>
        <v>206046.75733214495</v>
      </c>
      <c r="H31" s="962"/>
      <c r="I31" s="962">
        <f t="shared" ref="I31" si="0">SUM(I22:I30)</f>
        <v>619996.39999999991</v>
      </c>
    </row>
    <row r="32" spans="2:9">
      <c r="C32" s="1545" t="s">
        <v>1196</v>
      </c>
      <c r="D32" s="1545"/>
      <c r="E32" s="1545"/>
      <c r="F32" s="95"/>
      <c r="G32" s="962">
        <v>-374924.24</v>
      </c>
      <c r="H32" s="1220"/>
      <c r="I32" s="962">
        <v>-208240</v>
      </c>
    </row>
    <row r="33" spans="1:10" ht="12.75" thickBot="1">
      <c r="C33" s="1545" t="s">
        <v>1197</v>
      </c>
      <c r="D33" s="1545"/>
      <c r="E33" s="1545"/>
      <c r="F33" s="95"/>
      <c r="G33" s="961">
        <v>-50189</v>
      </c>
      <c r="H33" s="1220"/>
      <c r="I33" s="961"/>
    </row>
    <row r="34" spans="1:10" ht="27" customHeight="1" thickBot="1">
      <c r="A34" s="1546" t="s">
        <v>1198</v>
      </c>
      <c r="B34" s="1546"/>
      <c r="C34" s="1546"/>
      <c r="D34" s="1546"/>
      <c r="E34" s="1546"/>
      <c r="F34" s="448"/>
      <c r="G34" s="961">
        <f>SUM(G31:G33)</f>
        <v>-219066.48266785505</v>
      </c>
      <c r="H34" s="961"/>
      <c r="I34" s="961">
        <f t="shared" ref="I34" si="1">SUM(I31:I33)</f>
        <v>411756.39999999991</v>
      </c>
      <c r="J34" s="1221"/>
    </row>
    <row r="35" spans="1:10">
      <c r="A35" s="1549" t="s">
        <v>1199</v>
      </c>
      <c r="B35" s="1549"/>
      <c r="C35" s="1549"/>
      <c r="D35" s="1549"/>
      <c r="E35" s="1549"/>
      <c r="F35" s="95"/>
      <c r="G35" s="591"/>
      <c r="H35" s="1222"/>
    </row>
    <row r="36" spans="1:10" ht="24" customHeight="1">
      <c r="C36" s="1545" t="s">
        <v>1200</v>
      </c>
      <c r="D36" s="1545"/>
      <c r="E36" s="1545"/>
      <c r="F36" s="95"/>
      <c r="G36" s="962">
        <v>-4353734.5</v>
      </c>
      <c r="H36" s="1220"/>
      <c r="I36" s="962"/>
    </row>
    <row r="37" spans="1:10" ht="36" customHeight="1">
      <c r="C37" s="1545" t="s">
        <v>1201</v>
      </c>
      <c r="D37" s="1545"/>
      <c r="E37" s="1545"/>
      <c r="F37" s="95"/>
      <c r="G37" s="962">
        <v>6683.91</v>
      </c>
      <c r="H37" s="1220"/>
      <c r="I37" s="962">
        <v>-675120</v>
      </c>
    </row>
    <row r="38" spans="1:10" ht="12.75" hidden="1" customHeight="1">
      <c r="C38" s="1543" t="s">
        <v>574</v>
      </c>
      <c r="D38" s="1543"/>
      <c r="E38" s="1543"/>
      <c r="F38" s="95"/>
      <c r="G38" s="962"/>
      <c r="H38" s="1220"/>
      <c r="I38" s="962"/>
    </row>
    <row r="39" spans="1:10" ht="24.75" hidden="1" customHeight="1">
      <c r="C39" s="1551" t="s">
        <v>575</v>
      </c>
      <c r="D39" s="1551"/>
      <c r="E39" s="1551"/>
      <c r="F39" s="95"/>
      <c r="G39" s="962"/>
      <c r="H39" s="1220"/>
      <c r="I39" s="962"/>
    </row>
    <row r="40" spans="1:10" ht="24.75" customHeight="1">
      <c r="C40" s="1551" t="s">
        <v>1202</v>
      </c>
      <c r="D40" s="1551"/>
      <c r="E40" s="1551"/>
      <c r="F40" s="95"/>
      <c r="G40" s="962">
        <v>4439148.05</v>
      </c>
      <c r="H40" s="1220"/>
      <c r="I40" s="962"/>
    </row>
    <row r="41" spans="1:10" ht="24" hidden="1" customHeight="1">
      <c r="C41" s="1543" t="s">
        <v>1097</v>
      </c>
      <c r="D41" s="1543"/>
      <c r="E41" s="1543"/>
      <c r="F41" s="130"/>
      <c r="G41" s="962"/>
      <c r="H41" s="1220"/>
      <c r="I41" s="962"/>
    </row>
    <row r="42" spans="1:10" s="588" customFormat="1" ht="12" hidden="1" customHeight="1">
      <c r="C42" s="1545" t="s">
        <v>576</v>
      </c>
      <c r="D42" s="1545"/>
      <c r="E42" s="1545"/>
      <c r="F42" s="130"/>
      <c r="G42" s="962"/>
      <c r="H42" s="962"/>
      <c r="I42" s="962"/>
    </row>
    <row r="43" spans="1:10" s="588" customFormat="1" ht="12.75" hidden="1">
      <c r="C43" s="1554" t="s">
        <v>514</v>
      </c>
      <c r="D43" s="1554"/>
      <c r="E43" s="1554"/>
      <c r="F43" s="130"/>
      <c r="G43" s="962"/>
      <c r="H43" s="962"/>
    </row>
    <row r="44" spans="1:10" s="588" customFormat="1" ht="12.75" hidden="1">
      <c r="C44" s="370" t="s">
        <v>578</v>
      </c>
      <c r="D44" s="960"/>
      <c r="E44" s="960"/>
      <c r="F44" s="130"/>
      <c r="G44" s="962"/>
      <c r="H44" s="962"/>
    </row>
    <row r="45" spans="1:10" hidden="1">
      <c r="C45" s="1545" t="s">
        <v>579</v>
      </c>
      <c r="D45" s="1545"/>
      <c r="E45" s="1545"/>
      <c r="F45" s="95">
        <v>22</v>
      </c>
      <c r="G45" s="962"/>
      <c r="H45" s="1220"/>
      <c r="I45" s="962"/>
    </row>
    <row r="46" spans="1:10" hidden="1">
      <c r="C46" s="1545" t="s">
        <v>515</v>
      </c>
      <c r="D46" s="1545"/>
      <c r="E46" s="1545"/>
      <c r="F46" s="95"/>
      <c r="G46" s="962"/>
      <c r="H46" s="1220"/>
      <c r="I46" s="962"/>
    </row>
    <row r="47" spans="1:10" ht="12" hidden="1" customHeight="1">
      <c r="C47" s="1545" t="s">
        <v>516</v>
      </c>
      <c r="D47" s="1545"/>
      <c r="E47" s="1545"/>
      <c r="F47" s="95"/>
      <c r="G47" s="962"/>
      <c r="H47" s="1220"/>
      <c r="I47" s="962"/>
    </row>
    <row r="48" spans="1:10" ht="12.75" thickBot="1">
      <c r="C48" s="1543" t="s">
        <v>1203</v>
      </c>
      <c r="D48" s="1543"/>
      <c r="E48" s="1543"/>
      <c r="F48" s="95">
        <v>11</v>
      </c>
      <c r="G48" s="962">
        <v>-288504.09999999998</v>
      </c>
      <c r="H48" s="1220"/>
      <c r="I48" s="962"/>
    </row>
    <row r="49" spans="1:10">
      <c r="C49" s="1545"/>
      <c r="D49" s="1545"/>
      <c r="E49" s="1545"/>
      <c r="F49" s="95"/>
      <c r="G49" s="1552">
        <f>SUM(G36:G48)</f>
        <v>-196406.64</v>
      </c>
      <c r="H49" s="1552"/>
      <c r="I49" s="1552">
        <f t="shared" ref="I49" si="2">SUM(I36:I48)</f>
        <v>-675120</v>
      </c>
      <c r="J49" s="588"/>
    </row>
    <row r="50" spans="1:10" ht="12.75" thickBot="1">
      <c r="C50" s="1546" t="s">
        <v>1204</v>
      </c>
      <c r="D50" s="1546"/>
      <c r="E50" s="1546"/>
      <c r="F50" s="95"/>
      <c r="G50" s="1553"/>
      <c r="H50" s="1553"/>
      <c r="I50" s="1553"/>
      <c r="J50" s="588"/>
    </row>
    <row r="51" spans="1:10">
      <c r="A51" s="1555" t="s">
        <v>1205</v>
      </c>
      <c r="B51" s="1555"/>
      <c r="C51" s="1555"/>
      <c r="D51" s="1555"/>
      <c r="E51" s="1555"/>
      <c r="F51" s="448"/>
      <c r="G51" s="962"/>
      <c r="H51" s="1220"/>
      <c r="J51" s="588"/>
    </row>
    <row r="52" spans="1:10">
      <c r="A52" s="1223"/>
      <c r="B52" s="1223"/>
      <c r="C52" s="1556"/>
      <c r="D52" s="1556"/>
      <c r="E52" s="1556"/>
      <c r="F52" s="95"/>
      <c r="G52" s="962"/>
      <c r="H52" s="1220"/>
      <c r="J52" s="588"/>
    </row>
    <row r="53" spans="1:10">
      <c r="C53" s="1543" t="s">
        <v>1206</v>
      </c>
      <c r="D53" s="1543"/>
      <c r="E53" s="1543"/>
      <c r="F53" s="95">
        <v>16</v>
      </c>
      <c r="G53" s="962">
        <v>-2539767.5440000002</v>
      </c>
      <c r="H53" s="1220"/>
      <c r="I53" s="962">
        <v>-1097882.5</v>
      </c>
      <c r="J53" s="588"/>
    </row>
    <row r="54" spans="1:10">
      <c r="C54" s="1543" t="s">
        <v>1207</v>
      </c>
      <c r="D54" s="1543"/>
      <c r="E54" s="1543"/>
      <c r="F54" s="95"/>
      <c r="G54" s="962"/>
      <c r="H54" s="1220"/>
      <c r="I54" s="962">
        <v>-17077</v>
      </c>
      <c r="J54" s="588"/>
    </row>
    <row r="55" spans="1:10" hidden="1">
      <c r="C55" s="1543" t="s">
        <v>581</v>
      </c>
      <c r="D55" s="1543"/>
      <c r="E55" s="1543"/>
      <c r="F55" s="95">
        <v>28</v>
      </c>
      <c r="G55" s="962"/>
      <c r="H55" s="1220"/>
      <c r="I55" s="962"/>
      <c r="J55" s="588"/>
    </row>
    <row r="56" spans="1:10" hidden="1">
      <c r="C56" s="1543" t="s">
        <v>1098</v>
      </c>
      <c r="D56" s="1543"/>
      <c r="E56" s="1543"/>
      <c r="F56" s="95"/>
      <c r="G56" s="962"/>
      <c r="H56" s="1220"/>
      <c r="I56" s="962"/>
      <c r="J56" s="588"/>
    </row>
    <row r="57" spans="1:10" ht="24.75" hidden="1" customHeight="1">
      <c r="C57" s="1543" t="s">
        <v>1099</v>
      </c>
      <c r="D57" s="1543"/>
      <c r="E57" s="1543"/>
      <c r="F57" s="95"/>
      <c r="G57" s="962"/>
      <c r="H57" s="1220"/>
      <c r="I57" s="962"/>
      <c r="J57" s="588"/>
    </row>
    <row r="58" spans="1:10">
      <c r="C58" s="1543" t="s">
        <v>1208</v>
      </c>
      <c r="D58" s="1543"/>
      <c r="E58" s="1543"/>
      <c r="F58" s="95"/>
      <c r="G58" s="962">
        <v>-1199998.97</v>
      </c>
      <c r="H58" s="1220"/>
      <c r="I58" s="962"/>
      <c r="J58" s="588"/>
    </row>
    <row r="59" spans="1:10" hidden="1">
      <c r="C59" s="1543" t="s">
        <v>1068</v>
      </c>
      <c r="D59" s="1543"/>
      <c r="E59" s="1543"/>
      <c r="F59" s="95"/>
      <c r="G59" s="962"/>
      <c r="H59" s="1220"/>
      <c r="I59" s="962"/>
      <c r="J59" s="588"/>
    </row>
    <row r="60" spans="1:10" hidden="1">
      <c r="C60" s="1543" t="str">
        <f>'[1]ОДД прямой'!B42</f>
        <v>Погашение задолженности по облигациям</v>
      </c>
      <c r="D60" s="1543"/>
      <c r="E60" s="1543"/>
      <c r="F60" s="95"/>
      <c r="G60" s="962"/>
      <c r="H60" s="1220"/>
      <c r="I60" s="962"/>
      <c r="J60" s="588"/>
    </row>
    <row r="61" spans="1:10" hidden="1">
      <c r="C61" s="1543" t="s">
        <v>356</v>
      </c>
      <c r="D61" s="1543"/>
      <c r="E61" s="1543"/>
      <c r="F61" s="95"/>
      <c r="G61" s="962"/>
      <c r="H61" s="1220"/>
      <c r="I61" s="962"/>
      <c r="J61" s="588"/>
    </row>
    <row r="62" spans="1:10" ht="12.75" thickBot="1">
      <c r="C62" s="1543" t="s">
        <v>1209</v>
      </c>
      <c r="D62" s="1543"/>
      <c r="E62" s="1543"/>
      <c r="F62" s="95">
        <v>16</v>
      </c>
      <c r="G62" s="962">
        <v>1888165.612</v>
      </c>
      <c r="H62" s="1220"/>
      <c r="I62" s="962">
        <v>3720780</v>
      </c>
      <c r="J62" s="588"/>
    </row>
    <row r="63" spans="1:10">
      <c r="C63" s="1545"/>
      <c r="D63" s="1545"/>
      <c r="E63" s="1545"/>
      <c r="F63" s="1550"/>
      <c r="G63" s="1552">
        <f>SUM(G52:G62)</f>
        <v>-1851600.9020000005</v>
      </c>
      <c r="H63" s="1552"/>
      <c r="I63" s="1552">
        <f>SUM(I52:I62)</f>
        <v>2605820.5</v>
      </c>
      <c r="J63" s="588"/>
    </row>
    <row r="64" spans="1:10" ht="12.75" thickBot="1">
      <c r="C64" s="1559" t="s">
        <v>1210</v>
      </c>
      <c r="D64" s="1559"/>
      <c r="E64" s="1559"/>
      <c r="F64" s="1550"/>
      <c r="G64" s="1557"/>
      <c r="H64" s="1558"/>
      <c r="I64" s="1558"/>
      <c r="J64" s="588"/>
    </row>
    <row r="65" spans="1:11" ht="25.5" customHeight="1" thickBot="1">
      <c r="C65" s="1544" t="s">
        <v>1211</v>
      </c>
      <c r="D65" s="1544"/>
      <c r="E65" s="1544"/>
      <c r="F65" s="448"/>
      <c r="G65" s="961">
        <v>262386</v>
      </c>
      <c r="H65" s="1220"/>
      <c r="I65" s="961"/>
      <c r="J65" s="588"/>
    </row>
    <row r="66" spans="1:11" ht="33" customHeight="1" thickBot="1">
      <c r="A66" s="1545" t="s">
        <v>1212</v>
      </c>
      <c r="B66" s="1545"/>
      <c r="C66" s="1545"/>
      <c r="D66" s="1545"/>
      <c r="E66" s="1545"/>
      <c r="F66" s="448"/>
      <c r="G66" s="434">
        <f>G63+G49+G34+G65</f>
        <v>-2004688.0246678554</v>
      </c>
      <c r="H66" s="434"/>
      <c r="I66" s="434">
        <f t="shared" ref="I66" si="3">I63+I49+I34+I65</f>
        <v>2342456.9</v>
      </c>
    </row>
    <row r="67" spans="1:11" ht="32.450000000000003" customHeight="1" thickBot="1">
      <c r="A67" s="1545" t="s">
        <v>1213</v>
      </c>
      <c r="B67" s="1545"/>
      <c r="C67" s="1545"/>
      <c r="D67" s="1545"/>
      <c r="E67" s="1545"/>
      <c r="F67" s="95"/>
      <c r="G67" s="961">
        <v>10541082</v>
      </c>
      <c r="H67" s="1220"/>
      <c r="I67" s="961">
        <v>1907359</v>
      </c>
    </row>
    <row r="68" spans="1:11" ht="15.75" customHeight="1" thickBot="1">
      <c r="A68" s="1545" t="s">
        <v>1214</v>
      </c>
      <c r="B68" s="1545"/>
      <c r="C68" s="1545"/>
      <c r="D68" s="1545"/>
      <c r="E68" s="1545"/>
      <c r="F68" s="95"/>
      <c r="G68" s="435">
        <f>SUM(G66:G67)</f>
        <v>8536393.9753321446</v>
      </c>
      <c r="H68" s="435"/>
      <c r="I68" s="435">
        <f>SUM(I66:I67)</f>
        <v>4249815.9000000004</v>
      </c>
    </row>
    <row r="69" spans="1:11" ht="15.75" customHeight="1" thickTop="1">
      <c r="A69" s="1429"/>
      <c r="B69" s="1429"/>
      <c r="C69" s="1429"/>
      <c r="D69" s="1429"/>
      <c r="E69" s="1429"/>
      <c r="F69" s="95"/>
      <c r="G69" s="962"/>
      <c r="H69" s="962"/>
      <c r="I69" s="962"/>
    </row>
    <row r="70" spans="1:11" ht="15.75" hidden="1" customHeight="1">
      <c r="A70" s="1429"/>
      <c r="B70" s="1526" t="s">
        <v>1106</v>
      </c>
      <c r="C70" s="1526"/>
      <c r="D70" s="1526"/>
      <c r="E70" s="1526"/>
      <c r="F70" s="1526"/>
      <c r="G70" s="1526"/>
      <c r="H70" s="91"/>
      <c r="I70" s="215"/>
      <c r="J70" s="1506"/>
      <c r="K70" s="1507"/>
    </row>
    <row r="71" spans="1:11" s="1224" customFormat="1" ht="12.75" hidden="1" customHeight="1">
      <c r="B71" s="81"/>
      <c r="C71" s="81"/>
      <c r="D71" s="81"/>
      <c r="E71" s="214"/>
      <c r="F71" s="214"/>
      <c r="G71" s="215"/>
      <c r="H71" s="91"/>
      <c r="I71" s="215"/>
      <c r="J71" s="1506"/>
      <c r="K71" s="1507"/>
    </row>
    <row r="72" spans="1:11" ht="12.75" hidden="1">
      <c r="B72" s="1497"/>
      <c r="C72" s="1497"/>
      <c r="D72" s="1497"/>
      <c r="E72" s="350"/>
      <c r="F72" s="1510"/>
      <c r="G72" s="1497"/>
      <c r="H72" s="350"/>
      <c r="I72" s="1498"/>
      <c r="J72" s="1500"/>
      <c r="K72" s="370"/>
    </row>
    <row r="73" spans="1:11" ht="18.75" hidden="1" customHeight="1">
      <c r="B73" s="1561" t="s">
        <v>1107</v>
      </c>
      <c r="C73" s="1561"/>
      <c r="D73" s="1561"/>
      <c r="E73" s="1509"/>
      <c r="F73" s="1530" t="s">
        <v>1107</v>
      </c>
      <c r="G73" s="1530"/>
      <c r="H73" s="1509"/>
      <c r="I73" s="1505" t="s">
        <v>1108</v>
      </c>
      <c r="J73" s="1508"/>
      <c r="K73" s="1508"/>
    </row>
    <row r="74" spans="1:11" ht="20.25" hidden="1" customHeight="1">
      <c r="B74" s="1500" t="s">
        <v>1105</v>
      </c>
      <c r="C74" s="1428"/>
      <c r="D74" s="1506"/>
      <c r="E74" s="1506"/>
      <c r="F74" s="1560" t="s">
        <v>1109</v>
      </c>
      <c r="G74" s="1560"/>
      <c r="H74" s="350"/>
      <c r="I74" s="414" t="s">
        <v>1104</v>
      </c>
      <c r="J74" s="1500"/>
      <c r="K74" s="370"/>
    </row>
    <row r="75" spans="1:11" ht="18.75" hidden="1" customHeight="1">
      <c r="B75" s="1501"/>
      <c r="C75" s="88"/>
      <c r="D75" s="1506"/>
      <c r="E75" s="1506"/>
      <c r="F75" s="1560" t="s">
        <v>1110</v>
      </c>
      <c r="G75" s="1560"/>
      <c r="H75" s="87"/>
      <c r="I75" s="91"/>
      <c r="J75" s="91"/>
      <c r="K75" s="215"/>
    </row>
    <row r="76" spans="1:11" ht="18.75" customHeight="1"/>
    <row r="77" spans="1:11" ht="18.75" customHeight="1"/>
    <row r="78" spans="1:11" ht="18.75" customHeight="1"/>
    <row r="79" spans="1:11" ht="18.75" customHeight="1"/>
    <row r="80" spans="1:11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</sheetData>
  <mergeCells count="79">
    <mergeCell ref="A1:F1"/>
    <mergeCell ref="F74:G74"/>
    <mergeCell ref="F75:G75"/>
    <mergeCell ref="B70:G70"/>
    <mergeCell ref="B73:D73"/>
    <mergeCell ref="F73:G73"/>
    <mergeCell ref="F63:F64"/>
    <mergeCell ref="G63:G64"/>
    <mergeCell ref="H63:H64"/>
    <mergeCell ref="I63:I64"/>
    <mergeCell ref="C64:E64"/>
    <mergeCell ref="C63:E63"/>
    <mergeCell ref="H49:H50"/>
    <mergeCell ref="I49:I50"/>
    <mergeCell ref="A51:E51"/>
    <mergeCell ref="C60:E60"/>
    <mergeCell ref="C61:E61"/>
    <mergeCell ref="C59:E59"/>
    <mergeCell ref="C53:E53"/>
    <mergeCell ref="C52:E52"/>
    <mergeCell ref="C55:E55"/>
    <mergeCell ref="C54:E54"/>
    <mergeCell ref="C57:E57"/>
    <mergeCell ref="C58:E58"/>
    <mergeCell ref="C56:E56"/>
    <mergeCell ref="G49:G50"/>
    <mergeCell ref="C38:E38"/>
    <mergeCell ref="C36:E36"/>
    <mergeCell ref="C37:E37"/>
    <mergeCell ref="C39:E39"/>
    <mergeCell ref="C42:E42"/>
    <mergeCell ref="C43:E43"/>
    <mergeCell ref="C45:E45"/>
    <mergeCell ref="C49:E49"/>
    <mergeCell ref="C47:E47"/>
    <mergeCell ref="C46:E46"/>
    <mergeCell ref="C19:E19"/>
    <mergeCell ref="C23:E23"/>
    <mergeCell ref="C24:E24"/>
    <mergeCell ref="C25:E25"/>
    <mergeCell ref="C20:E20"/>
    <mergeCell ref="B22:E22"/>
    <mergeCell ref="C21:E21"/>
    <mergeCell ref="C17:E17"/>
    <mergeCell ref="C16:E16"/>
    <mergeCell ref="C13:E13"/>
    <mergeCell ref="C14:E14"/>
    <mergeCell ref="C18:E18"/>
    <mergeCell ref="G2:I2"/>
    <mergeCell ref="C15:E15"/>
    <mergeCell ref="C8:E8"/>
    <mergeCell ref="C9:E9"/>
    <mergeCell ref="C10:E10"/>
    <mergeCell ref="C11:E11"/>
    <mergeCell ref="C12:E12"/>
    <mergeCell ref="A2:F2"/>
    <mergeCell ref="A4:E4"/>
    <mergeCell ref="B5:E5"/>
    <mergeCell ref="A6:E6"/>
    <mergeCell ref="C7:E7"/>
    <mergeCell ref="C26:E26"/>
    <mergeCell ref="C27:E27"/>
    <mergeCell ref="C28:E28"/>
    <mergeCell ref="C30:E30"/>
    <mergeCell ref="C50:E50"/>
    <mergeCell ref="C29:E29"/>
    <mergeCell ref="B31:E31"/>
    <mergeCell ref="C32:E32"/>
    <mergeCell ref="C33:E33"/>
    <mergeCell ref="A34:E34"/>
    <mergeCell ref="A35:E35"/>
    <mergeCell ref="C40:E40"/>
    <mergeCell ref="C41:E41"/>
    <mergeCell ref="C48:E48"/>
    <mergeCell ref="C62:E62"/>
    <mergeCell ref="C65:E65"/>
    <mergeCell ref="A66:E66"/>
    <mergeCell ref="A67:E67"/>
    <mergeCell ref="A68:E6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/>
  <dimension ref="B1:AC33"/>
  <sheetViews>
    <sheetView workbookViewId="0">
      <selection activeCell="G40" sqref="G40"/>
    </sheetView>
  </sheetViews>
  <sheetFormatPr defaultColWidth="9.140625" defaultRowHeight="12.75"/>
  <cols>
    <col min="1" max="1" width="1.42578125" style="73" customWidth="1"/>
    <col min="2" max="2" width="31.42578125" style="73" customWidth="1"/>
    <col min="3" max="3" width="12.28515625" style="73" customWidth="1"/>
    <col min="4" max="4" width="1.42578125" style="79" customWidth="1"/>
    <col min="5" max="5" width="12.28515625" style="79" customWidth="1"/>
    <col min="6" max="6" width="1.42578125" style="79" customWidth="1"/>
    <col min="7" max="7" width="12.28515625" style="79" customWidth="1"/>
    <col min="8" max="8" width="0.140625" style="79" customWidth="1"/>
    <col min="9" max="9" width="12.28515625" style="79" hidden="1" customWidth="1"/>
    <col min="10" max="10" width="1.42578125" style="79" hidden="1" customWidth="1"/>
    <col min="11" max="11" width="12.5703125" style="79" hidden="1" customWidth="1"/>
    <col min="12" max="12" width="1.42578125" style="79" hidden="1" customWidth="1"/>
    <col min="13" max="13" width="12.28515625" style="73" hidden="1" customWidth="1"/>
    <col min="14" max="14" width="1.85546875" style="79" customWidth="1"/>
    <col min="15" max="15" width="12.28515625" style="79" customWidth="1"/>
    <col min="16" max="16" width="0.140625" style="79" customWidth="1"/>
    <col min="17" max="17" width="14.5703125" style="73" hidden="1" customWidth="1"/>
    <col min="18" max="18" width="2" style="73" customWidth="1"/>
    <col min="19" max="19" width="14.5703125" style="73" customWidth="1"/>
    <col min="20" max="20" width="1.7109375" style="79" customWidth="1"/>
    <col min="21" max="21" width="12.140625" style="73" customWidth="1"/>
    <col min="22" max="22" width="2.7109375" style="79" customWidth="1"/>
    <col min="23" max="23" width="13.5703125" style="73" customWidth="1"/>
    <col min="24" max="24" width="1.42578125" style="79" customWidth="1"/>
    <col min="25" max="25" width="12.7109375" style="73" hidden="1" customWidth="1"/>
    <col min="26" max="26" width="1.5703125" style="79" hidden="1" customWidth="1"/>
    <col min="27" max="27" width="14.28515625" style="73" customWidth="1"/>
    <col min="28" max="28" width="13" style="351" customWidth="1"/>
    <col min="29" max="29" width="9.140625" style="351"/>
    <col min="30" max="16384" width="9.140625" style="73"/>
  </cols>
  <sheetData>
    <row r="1" spans="2:29">
      <c r="B1" s="1528" t="s">
        <v>1229</v>
      </c>
      <c r="C1" s="1528"/>
      <c r="D1" s="1528"/>
      <c r="E1" s="1528"/>
      <c r="F1" s="1528"/>
      <c r="G1" s="1528"/>
      <c r="H1" s="1528"/>
      <c r="I1" s="1528"/>
      <c r="J1" s="1528"/>
      <c r="K1" s="1528"/>
      <c r="L1" s="1528"/>
      <c r="M1" s="1528"/>
      <c r="N1" s="1528"/>
      <c r="O1" s="1528"/>
      <c r="P1" s="73"/>
      <c r="T1" s="73"/>
      <c r="V1" s="73"/>
      <c r="X1" s="73"/>
      <c r="Z1" s="73"/>
    </row>
    <row r="2" spans="2:29" ht="26.25" customHeight="1">
      <c r="B2" s="1565" t="s">
        <v>1215</v>
      </c>
      <c r="C2" s="1565"/>
      <c r="D2" s="1565"/>
      <c r="E2" s="1565"/>
      <c r="F2" s="1565"/>
      <c r="G2" s="1565"/>
      <c r="H2" s="1565"/>
      <c r="I2" s="1565"/>
      <c r="J2" s="1565"/>
      <c r="K2" s="1565"/>
      <c r="L2" s="1565"/>
      <c r="M2" s="1565"/>
      <c r="N2" s="1565"/>
      <c r="O2" s="1565"/>
      <c r="P2" s="1565"/>
      <c r="Q2" s="1565"/>
      <c r="R2" s="1565"/>
      <c r="S2" s="1565"/>
      <c r="T2" s="1565"/>
      <c r="U2" s="1565"/>
      <c r="V2" s="1565"/>
      <c r="W2" s="1565"/>
      <c r="X2" s="354"/>
      <c r="Y2" s="354"/>
      <c r="Z2" s="354"/>
      <c r="AA2" s="1511" t="s">
        <v>1177</v>
      </c>
    </row>
    <row r="3" spans="2:29" ht="49.5" customHeight="1" thickBot="1">
      <c r="B3" s="94"/>
      <c r="C3" s="1655" t="s">
        <v>1131</v>
      </c>
      <c r="D3" s="107"/>
      <c r="E3" s="1656" t="s">
        <v>1216</v>
      </c>
      <c r="F3" s="107"/>
      <c r="G3" s="1656" t="s">
        <v>1132</v>
      </c>
      <c r="H3" s="107"/>
      <c r="I3" s="107" t="s">
        <v>429</v>
      </c>
      <c r="J3" s="107"/>
      <c r="K3" s="107" t="s">
        <v>392</v>
      </c>
      <c r="L3" s="107"/>
      <c r="M3" s="93" t="s">
        <v>64</v>
      </c>
      <c r="N3" s="107"/>
      <c r="O3" s="1655" t="s">
        <v>1217</v>
      </c>
      <c r="P3" s="107"/>
      <c r="Q3" s="93" t="s">
        <v>112</v>
      </c>
      <c r="R3" s="93"/>
      <c r="S3" s="1655" t="s">
        <v>1218</v>
      </c>
      <c r="T3" s="107"/>
      <c r="U3" s="1655" t="s">
        <v>1219</v>
      </c>
      <c r="V3" s="107"/>
      <c r="W3" s="1655" t="s">
        <v>1135</v>
      </c>
      <c r="X3" s="107"/>
      <c r="Y3" s="93" t="s">
        <v>113</v>
      </c>
      <c r="Z3" s="107"/>
      <c r="AA3" s="1655" t="s">
        <v>1220</v>
      </c>
    </row>
    <row r="4" spans="2:29" ht="17.25" customHeight="1" thickBot="1">
      <c r="B4" s="94" t="s">
        <v>1230</v>
      </c>
      <c r="C4" s="1468">
        <v>2787695.9238849999</v>
      </c>
      <c r="D4" s="107"/>
      <c r="E4" s="1470">
        <v>-152427</v>
      </c>
      <c r="F4" s="107"/>
      <c r="G4" s="1470">
        <v>-947400</v>
      </c>
      <c r="H4" s="107"/>
      <c r="I4" s="107"/>
      <c r="J4" s="107"/>
      <c r="K4" s="107"/>
      <c r="L4" s="107"/>
      <c r="M4" s="93"/>
      <c r="N4" s="107"/>
      <c r="O4" s="1468">
        <v>1419392</v>
      </c>
      <c r="P4" s="107"/>
      <c r="Q4" s="93"/>
      <c r="R4" s="93"/>
      <c r="S4" s="1468">
        <v>944599</v>
      </c>
      <c r="T4" s="107"/>
      <c r="U4" s="1470">
        <v>-6941</v>
      </c>
      <c r="V4" s="107"/>
      <c r="W4" s="1468">
        <v>5238219</v>
      </c>
      <c r="X4" s="107"/>
      <c r="Y4" s="93"/>
      <c r="Z4" s="107"/>
      <c r="AA4" s="1471">
        <f>SUM(C4:Z4)</f>
        <v>9283137.923884999</v>
      </c>
    </row>
    <row r="5" spans="2:29" ht="17.25" customHeight="1">
      <c r="B5" s="94" t="s">
        <v>1222</v>
      </c>
      <c r="C5" s="1655"/>
      <c r="D5" s="107"/>
      <c r="E5" s="1656"/>
      <c r="F5" s="107"/>
      <c r="G5" s="1656"/>
      <c r="H5" s="107"/>
      <c r="I5" s="107"/>
      <c r="J5" s="107"/>
      <c r="K5" s="107"/>
      <c r="L5" s="107"/>
      <c r="M5" s="93"/>
      <c r="N5" s="107"/>
      <c r="O5" s="1655"/>
      <c r="P5" s="107"/>
      <c r="Q5" s="93"/>
      <c r="R5" s="93"/>
      <c r="S5" s="93"/>
      <c r="T5" s="107"/>
      <c r="U5" s="1655"/>
      <c r="V5" s="107"/>
      <c r="W5" s="1482">
        <v>1696602</v>
      </c>
      <c r="X5" s="107"/>
      <c r="Y5" s="93"/>
      <c r="Z5" s="107"/>
      <c r="AA5" s="1655"/>
    </row>
    <row r="6" spans="2:29" ht="17.25" customHeight="1">
      <c r="B6" s="94" t="s">
        <v>1208</v>
      </c>
      <c r="C6" s="1655"/>
      <c r="D6" s="107"/>
      <c r="E6" s="1656"/>
      <c r="F6" s="107"/>
      <c r="G6" s="1656"/>
      <c r="H6" s="107"/>
      <c r="I6" s="107"/>
      <c r="J6" s="107"/>
      <c r="K6" s="107"/>
      <c r="L6" s="107"/>
      <c r="M6" s="93"/>
      <c r="N6" s="107"/>
      <c r="O6" s="1655"/>
      <c r="P6" s="107"/>
      <c r="Q6" s="93"/>
      <c r="R6" s="93"/>
      <c r="S6" s="93"/>
      <c r="T6" s="107"/>
      <c r="U6" s="1655"/>
      <c r="V6" s="107"/>
      <c r="W6" s="1492">
        <v>-2073626</v>
      </c>
      <c r="X6" s="107"/>
      <c r="Y6" s="93"/>
      <c r="Z6" s="107"/>
      <c r="AA6" s="1655"/>
    </row>
    <row r="7" spans="2:29" ht="17.25" customHeight="1">
      <c r="B7" s="94" t="s">
        <v>1231</v>
      </c>
      <c r="C7" s="1655"/>
      <c r="D7" s="107"/>
      <c r="E7" s="1492">
        <v>-9</v>
      </c>
      <c r="F7" s="107"/>
      <c r="G7" s="1656"/>
      <c r="H7" s="107"/>
      <c r="I7" s="107"/>
      <c r="J7" s="107"/>
      <c r="K7" s="107"/>
      <c r="L7" s="107"/>
      <c r="M7" s="93"/>
      <c r="N7" s="107"/>
      <c r="O7" s="1655"/>
      <c r="P7" s="107"/>
      <c r="Q7" s="93"/>
      <c r="R7" s="93"/>
      <c r="S7" s="93"/>
      <c r="T7" s="107"/>
      <c r="U7" s="1655"/>
      <c r="V7" s="107"/>
      <c r="W7" s="1492">
        <v>-21863</v>
      </c>
      <c r="X7" s="107"/>
      <c r="Y7" s="93"/>
      <c r="Z7" s="107"/>
      <c r="AA7" s="1655"/>
    </row>
    <row r="8" spans="2:29" ht="17.25" customHeight="1">
      <c r="B8" s="94" t="s">
        <v>1232</v>
      </c>
      <c r="C8" s="1655"/>
      <c r="D8" s="107"/>
      <c r="E8" s="1656"/>
      <c r="F8" s="107"/>
      <c r="G8" s="1656"/>
      <c r="H8" s="107"/>
      <c r="I8" s="107"/>
      <c r="J8" s="107"/>
      <c r="K8" s="107"/>
      <c r="L8" s="107"/>
      <c r="M8" s="93"/>
      <c r="N8" s="107"/>
      <c r="O8" s="1655"/>
      <c r="P8" s="107"/>
      <c r="Q8" s="93"/>
      <c r="R8" s="93"/>
      <c r="S8" s="93"/>
      <c r="T8" s="107"/>
      <c r="U8" s="1655"/>
      <c r="V8" s="107"/>
      <c r="W8" s="1492">
        <v>-17979</v>
      </c>
      <c r="X8" s="107"/>
      <c r="Y8" s="93"/>
      <c r="Z8" s="107"/>
      <c r="AA8" s="1655"/>
    </row>
    <row r="9" spans="2:29" ht="28.5" customHeight="1">
      <c r="B9" s="94" t="s">
        <v>1225</v>
      </c>
      <c r="C9" s="1655"/>
      <c r="D9" s="107"/>
      <c r="E9" s="1656"/>
      <c r="F9" s="107"/>
      <c r="G9" s="1656"/>
      <c r="H9" s="107"/>
      <c r="I9" s="107"/>
      <c r="J9" s="107"/>
      <c r="K9" s="107"/>
      <c r="L9" s="107"/>
      <c r="M9" s="93"/>
      <c r="N9" s="107"/>
      <c r="O9" s="1655"/>
      <c r="P9" s="107"/>
      <c r="Q9" s="93"/>
      <c r="R9" s="93"/>
      <c r="S9" s="93"/>
      <c r="T9" s="107"/>
      <c r="U9" s="1657">
        <v>-288334</v>
      </c>
      <c r="V9" s="107"/>
      <c r="X9" s="107"/>
      <c r="Y9" s="93"/>
      <c r="Z9" s="107"/>
      <c r="AA9" s="1655"/>
    </row>
    <row r="10" spans="2:29" ht="17.25" customHeight="1" thickBot="1">
      <c r="B10" s="94" t="s">
        <v>1226</v>
      </c>
      <c r="C10" s="1655"/>
      <c r="D10" s="107"/>
      <c r="E10" s="1656"/>
      <c r="F10" s="107"/>
      <c r="G10" s="1656"/>
      <c r="H10" s="107"/>
      <c r="I10" s="107"/>
      <c r="J10" s="107"/>
      <c r="K10" s="107"/>
      <c r="L10" s="107"/>
      <c r="M10" s="93"/>
      <c r="N10" s="107"/>
      <c r="O10" s="1492">
        <v>-213485</v>
      </c>
      <c r="P10" s="107"/>
      <c r="Q10" s="93"/>
      <c r="R10" s="93"/>
      <c r="S10" s="1657">
        <f>-S4</f>
        <v>-944599</v>
      </c>
      <c r="T10" s="107"/>
      <c r="U10" s="1655"/>
      <c r="V10" s="107"/>
      <c r="W10" s="1482">
        <v>1158084</v>
      </c>
      <c r="X10" s="107"/>
      <c r="Y10" s="93"/>
      <c r="Z10" s="107"/>
      <c r="AA10" s="1655"/>
    </row>
    <row r="11" spans="2:29" s="1474" customFormat="1" ht="18" customHeight="1" thickBot="1">
      <c r="B11" s="94" t="s">
        <v>1221</v>
      </c>
      <c r="C11" s="1468">
        <v>2787695.9238849999</v>
      </c>
      <c r="D11" s="1469"/>
      <c r="E11" s="1470">
        <v>-152436</v>
      </c>
      <c r="F11" s="1469">
        <v>0</v>
      </c>
      <c r="G11" s="1470">
        <v>-947400</v>
      </c>
      <c r="H11" s="1469">
        <v>0</v>
      </c>
      <c r="I11" s="1470">
        <v>0</v>
      </c>
      <c r="J11" s="1469"/>
      <c r="K11" s="1468">
        <v>0.1088000000017928</v>
      </c>
      <c r="L11" s="1469"/>
      <c r="M11" s="1468">
        <v>0</v>
      </c>
      <c r="N11" s="1469"/>
      <c r="O11" s="1468">
        <v>1205907</v>
      </c>
      <c r="P11" s="1469"/>
      <c r="Q11" s="1468"/>
      <c r="R11" s="1469"/>
      <c r="S11" s="1470" t="s">
        <v>1233</v>
      </c>
      <c r="T11" s="1469"/>
      <c r="U11" s="1470">
        <v>-295275</v>
      </c>
      <c r="V11" s="1469"/>
      <c r="W11" s="1468">
        <v>5979437</v>
      </c>
      <c r="X11" s="1469">
        <v>0</v>
      </c>
      <c r="Y11" s="1471">
        <f>SUM(C11:X11)</f>
        <v>8577929.0326850004</v>
      </c>
      <c r="Z11" s="1469"/>
      <c r="AA11" s="1471">
        <f>Y11</f>
        <v>8577929.0326850004</v>
      </c>
      <c r="AB11" s="1472">
        <f>AA11-'Баланс '!H42</f>
        <v>-0.17036709934473038</v>
      </c>
      <c r="AC11" s="1473">
        <f>AA11-'Баланс '!H42</f>
        <v>-0.17036709934473038</v>
      </c>
    </row>
    <row r="12" spans="2:29" s="1474" customFormat="1" ht="26.25" customHeight="1">
      <c r="B12" s="94" t="s">
        <v>1222</v>
      </c>
      <c r="C12" s="1475"/>
      <c r="D12" s="1475"/>
      <c r="E12" s="1475"/>
      <c r="F12" s="1475"/>
      <c r="G12" s="1476"/>
      <c r="H12" s="1475"/>
      <c r="I12" s="1476"/>
      <c r="J12" s="1475"/>
      <c r="K12" s="1475"/>
      <c r="L12" s="1475"/>
      <c r="M12" s="1475"/>
      <c r="N12" s="1475"/>
      <c r="O12" s="1475"/>
      <c r="P12" s="1469"/>
      <c r="Q12" s="1475"/>
      <c r="R12" s="1475"/>
      <c r="S12" s="1475"/>
      <c r="T12" s="1475"/>
      <c r="U12" s="1475"/>
      <c r="V12" s="1475"/>
      <c r="W12" s="1477">
        <v>1374192.9145003178</v>
      </c>
      <c r="X12" s="1475"/>
      <c r="Y12" s="1478">
        <f>SUM(C12:W12)</f>
        <v>1374192.9145003178</v>
      </c>
      <c r="Z12" s="1475"/>
      <c r="AA12" s="1478">
        <f t="shared" ref="AA12:AA21" si="0">SUM(Y12:Z12)</f>
        <v>1374192.9145003178</v>
      </c>
      <c r="AB12" s="1479"/>
      <c r="AC12" s="1479"/>
    </row>
    <row r="13" spans="2:29" s="1474" customFormat="1" ht="19.5" customHeight="1">
      <c r="B13" s="94" t="s">
        <v>1208</v>
      </c>
      <c r="C13" s="1475"/>
      <c r="D13" s="1475"/>
      <c r="E13" s="1475"/>
      <c r="F13" s="1475"/>
      <c r="G13" s="1480"/>
      <c r="H13" s="1475"/>
      <c r="I13" s="1480"/>
      <c r="J13" s="1475"/>
      <c r="K13" s="1475"/>
      <c r="L13" s="1475"/>
      <c r="M13" s="1475"/>
      <c r="N13" s="1475"/>
      <c r="O13" s="1475"/>
      <c r="P13" s="1469"/>
      <c r="Q13" s="1475"/>
      <c r="R13" s="1475"/>
      <c r="S13" s="1475"/>
      <c r="T13" s="1475"/>
      <c r="U13" s="1475"/>
      <c r="V13" s="1475"/>
      <c r="W13" s="1492">
        <v>-1199999</v>
      </c>
      <c r="X13" s="1475"/>
      <c r="Y13" s="1492">
        <f>SUM(C13:W13)</f>
        <v>-1199999</v>
      </c>
      <c r="Z13" s="1475"/>
      <c r="AA13" s="1492">
        <f t="shared" si="0"/>
        <v>-1199999</v>
      </c>
      <c r="AB13" s="1479"/>
      <c r="AC13" s="1479"/>
    </row>
    <row r="14" spans="2:29" s="1474" customFormat="1" ht="15">
      <c r="B14" s="94" t="s">
        <v>1223</v>
      </c>
      <c r="D14" s="1475"/>
      <c r="E14" s="1492">
        <f>-975</f>
        <v>-975</v>
      </c>
      <c r="F14" s="1475"/>
      <c r="G14" s="1480"/>
      <c r="H14" s="1475"/>
      <c r="I14" s="1480"/>
      <c r="J14" s="1475"/>
      <c r="K14" s="1482"/>
      <c r="L14" s="1475"/>
      <c r="M14" s="1475"/>
      <c r="N14" s="1475"/>
      <c r="O14" s="1475"/>
      <c r="P14" s="1469"/>
      <c r="Q14" s="1475"/>
      <c r="R14" s="1475"/>
      <c r="S14" s="1475"/>
      <c r="T14" s="1475"/>
      <c r="U14" s="1475"/>
      <c r="V14" s="1475"/>
      <c r="W14" s="1492">
        <v>-16627.074000000001</v>
      </c>
      <c r="X14" s="1475"/>
      <c r="Y14" s="1492">
        <f>SUM(D14:W14)</f>
        <v>-17602.074000000001</v>
      </c>
      <c r="Z14" s="1475"/>
      <c r="AA14" s="1492">
        <f t="shared" si="0"/>
        <v>-17602.074000000001</v>
      </c>
      <c r="AB14" s="1473"/>
      <c r="AC14" s="1479"/>
    </row>
    <row r="15" spans="2:29" s="1474" customFormat="1" ht="15" hidden="1" customHeight="1">
      <c r="B15" s="1484" t="s">
        <v>440</v>
      </c>
      <c r="C15" s="1481"/>
      <c r="D15" s="1475"/>
      <c r="E15" s="1475"/>
      <c r="F15" s="1475"/>
      <c r="G15" s="1480"/>
      <c r="H15" s="1475"/>
      <c r="I15" s="1480"/>
      <c r="J15" s="1475"/>
      <c r="K15" s="1475"/>
      <c r="L15" s="1475"/>
      <c r="M15" s="1475"/>
      <c r="N15" s="1475"/>
      <c r="O15" s="1475"/>
      <c r="P15" s="1469"/>
      <c r="Q15" s="1475"/>
      <c r="R15" s="1475"/>
      <c r="S15" s="1475"/>
      <c r="T15" s="1475"/>
      <c r="U15" s="1475"/>
      <c r="V15" s="1475"/>
      <c r="W15" s="1480"/>
      <c r="X15" s="1475"/>
      <c r="Y15" s="1483">
        <f t="shared" ref="Y15:Y21" si="1">SUM(C15:W15)</f>
        <v>0</v>
      </c>
      <c r="Z15" s="1475"/>
      <c r="AA15" s="1478">
        <f t="shared" si="0"/>
        <v>0</v>
      </c>
      <c r="AB15" s="1473"/>
      <c r="AC15" s="1479"/>
    </row>
    <row r="16" spans="2:29" s="1474" customFormat="1" ht="33.75" hidden="1" customHeight="1">
      <c r="B16" s="1467" t="s">
        <v>222</v>
      </c>
      <c r="C16" s="1481"/>
      <c r="D16" s="1469"/>
      <c r="E16" s="1469"/>
      <c r="F16" s="1469"/>
      <c r="G16" s="1480"/>
      <c r="H16" s="1469"/>
      <c r="I16" s="1480"/>
      <c r="J16" s="1469"/>
      <c r="K16" s="1469"/>
      <c r="L16" s="1469"/>
      <c r="M16" s="1482"/>
      <c r="N16" s="1469"/>
      <c r="O16" s="1481"/>
      <c r="P16" s="1469"/>
      <c r="Q16" s="1481"/>
      <c r="R16" s="1481"/>
      <c r="S16" s="1481"/>
      <c r="T16" s="1469"/>
      <c r="U16" s="1481"/>
      <c r="V16" s="1469"/>
      <c r="W16" s="1481"/>
      <c r="X16" s="1469"/>
      <c r="Y16" s="1478">
        <f t="shared" si="1"/>
        <v>0</v>
      </c>
      <c r="Z16" s="1469"/>
      <c r="AA16" s="1485">
        <f t="shared" si="0"/>
        <v>0</v>
      </c>
      <c r="AB16" s="1479"/>
      <c r="AC16" s="1479"/>
    </row>
    <row r="17" spans="2:29" s="1474" customFormat="1" ht="18" hidden="1" customHeight="1">
      <c r="B17" s="1467" t="s">
        <v>392</v>
      </c>
      <c r="C17" s="1481"/>
      <c r="D17" s="1469"/>
      <c r="E17" s="1469"/>
      <c r="F17" s="1469"/>
      <c r="G17" s="1480"/>
      <c r="H17" s="1469"/>
      <c r="I17" s="1480"/>
      <c r="J17" s="1469"/>
      <c r="K17" s="1469"/>
      <c r="L17" s="1469"/>
      <c r="M17" s="1482"/>
      <c r="N17" s="1469"/>
      <c r="O17" s="1481"/>
      <c r="P17" s="1469"/>
      <c r="Q17" s="1481"/>
      <c r="R17" s="1481"/>
      <c r="S17" s="1481"/>
      <c r="T17" s="1469"/>
      <c r="U17" s="1481"/>
      <c r="V17" s="1469"/>
      <c r="W17" s="1481"/>
      <c r="X17" s="1469"/>
      <c r="Y17" s="1478">
        <f t="shared" si="1"/>
        <v>0</v>
      </c>
      <c r="Z17" s="1469"/>
      <c r="AA17" s="1485">
        <f t="shared" si="0"/>
        <v>0</v>
      </c>
      <c r="AB17" s="1479"/>
      <c r="AC17" s="1479"/>
    </row>
    <row r="18" spans="2:29" s="1474" customFormat="1" ht="18.75" customHeight="1">
      <c r="B18" s="94" t="s">
        <v>1224</v>
      </c>
      <c r="C18" s="1481"/>
      <c r="D18" s="1469"/>
      <c r="E18" s="1469"/>
      <c r="F18" s="1469"/>
      <c r="G18" s="1480"/>
      <c r="H18" s="1469"/>
      <c r="I18" s="1480"/>
      <c r="J18" s="1469"/>
      <c r="K18" s="1469"/>
      <c r="L18" s="1469"/>
      <c r="M18" s="1482"/>
      <c r="N18" s="1469"/>
      <c r="O18" s="1482">
        <v>4737804</v>
      </c>
      <c r="P18" s="1469"/>
      <c r="Q18" s="1481"/>
      <c r="R18" s="1481"/>
      <c r="S18" s="1481"/>
      <c r="T18" s="1469"/>
      <c r="U18" s="1481"/>
      <c r="V18" s="1469"/>
      <c r="W18" s="1481"/>
      <c r="X18" s="1469"/>
      <c r="Y18" s="1483">
        <f t="shared" si="1"/>
        <v>4737804</v>
      </c>
      <c r="Z18" s="1486"/>
      <c r="AA18" s="1487">
        <f t="shared" si="0"/>
        <v>4737804</v>
      </c>
      <c r="AB18" s="1488"/>
      <c r="AC18" s="1479"/>
    </row>
    <row r="19" spans="2:29" s="1474" customFormat="1" ht="24">
      <c r="B19" s="94" t="s">
        <v>1225</v>
      </c>
      <c r="C19" s="1481"/>
      <c r="D19" s="1469"/>
      <c r="E19" s="1469"/>
      <c r="F19" s="1469"/>
      <c r="G19" s="1469"/>
      <c r="H19" s="1469"/>
      <c r="I19" s="1469"/>
      <c r="J19" s="1469"/>
      <c r="K19" s="1486"/>
      <c r="L19" s="1469"/>
      <c r="M19" s="1481"/>
      <c r="N19" s="1469"/>
      <c r="P19" s="1469"/>
      <c r="Q19" s="1481"/>
      <c r="R19" s="1481"/>
      <c r="S19" s="1481"/>
      <c r="T19" s="1469"/>
      <c r="U19" s="1492">
        <v>-20566.445</v>
      </c>
      <c r="V19" s="1469"/>
      <c r="W19" s="1481"/>
      <c r="X19" s="1469"/>
      <c r="Y19" s="1492">
        <f t="shared" si="1"/>
        <v>-20566.445</v>
      </c>
      <c r="Z19" s="1492"/>
      <c r="AA19" s="1492">
        <f t="shared" si="0"/>
        <v>-20566.445</v>
      </c>
      <c r="AB19" s="1479"/>
      <c r="AC19" s="1479"/>
    </row>
    <row r="20" spans="2:29" s="1474" customFormat="1" ht="33.75" hidden="1" customHeight="1">
      <c r="B20" s="1467" t="s">
        <v>90</v>
      </c>
      <c r="C20" s="1481"/>
      <c r="D20" s="1469"/>
      <c r="E20" s="1469"/>
      <c r="F20" s="1469"/>
      <c r="G20" s="1469"/>
      <c r="H20" s="1469"/>
      <c r="I20" s="1469"/>
      <c r="J20" s="1469"/>
      <c r="K20" s="1469"/>
      <c r="L20" s="1469"/>
      <c r="M20" s="1481"/>
      <c r="N20" s="1469"/>
      <c r="O20" s="1482"/>
      <c r="P20" s="1469"/>
      <c r="Q20" s="1481"/>
      <c r="R20" s="1481"/>
      <c r="S20" s="1481"/>
      <c r="T20" s="1469"/>
      <c r="U20" s="1481"/>
      <c r="V20" s="1469"/>
      <c r="W20" s="1481"/>
      <c r="X20" s="1469"/>
      <c r="Y20" s="1478">
        <f t="shared" si="1"/>
        <v>0</v>
      </c>
      <c r="Z20" s="1469"/>
      <c r="AA20" s="1485">
        <f t="shared" si="0"/>
        <v>0</v>
      </c>
      <c r="AB20" s="1479"/>
      <c r="AC20" s="1479"/>
    </row>
    <row r="21" spans="2:29" s="1474" customFormat="1" ht="30" customHeight="1" thickBot="1">
      <c r="B21" s="94" t="s">
        <v>1226</v>
      </c>
      <c r="C21" s="1481"/>
      <c r="D21" s="1469"/>
      <c r="E21" s="1494"/>
      <c r="F21" s="1469"/>
      <c r="G21" s="1494"/>
      <c r="H21" s="1469"/>
      <c r="I21" s="1469"/>
      <c r="J21" s="1469"/>
      <c r="K21" s="1469"/>
      <c r="L21" s="1469"/>
      <c r="M21" s="1482"/>
      <c r="N21" s="1469"/>
      <c r="O21" s="1492">
        <v>-51826</v>
      </c>
      <c r="P21" s="1486"/>
      <c r="Q21" s="1482"/>
      <c r="R21" s="1482"/>
      <c r="S21" s="1495"/>
      <c r="T21" s="1486"/>
      <c r="U21" s="1495"/>
      <c r="V21" s="1486"/>
      <c r="W21" s="1482">
        <f>-O21</f>
        <v>51826</v>
      </c>
      <c r="X21" s="1486"/>
      <c r="Y21" s="1478">
        <f t="shared" si="1"/>
        <v>0</v>
      </c>
      <c r="Z21" s="1469"/>
      <c r="AA21" s="1485">
        <f t="shared" si="0"/>
        <v>0</v>
      </c>
      <c r="AB21" s="1479"/>
      <c r="AC21" s="1479"/>
    </row>
    <row r="22" spans="2:29" s="1474" customFormat="1" ht="18" customHeight="1" thickBot="1">
      <c r="B22" s="94" t="s">
        <v>1227</v>
      </c>
      <c r="C22" s="1489">
        <f>SUM(C11:C21)</f>
        <v>2787695.9238849999</v>
      </c>
      <c r="D22" s="1486"/>
      <c r="E22" s="1493">
        <f>SUM(E11:E21)</f>
        <v>-153411</v>
      </c>
      <c r="F22" s="1486">
        <f>SUM(F11:F21)</f>
        <v>0</v>
      </c>
      <c r="G22" s="1493">
        <f>SUM(G11:G21)</f>
        <v>-947400</v>
      </c>
      <c r="H22" s="1486">
        <f>SUM(H11:H21)</f>
        <v>0</v>
      </c>
      <c r="I22" s="1489">
        <f>SUM(I11:I21)</f>
        <v>0</v>
      </c>
      <c r="J22" s="1486"/>
      <c r="K22" s="1489">
        <f>SUM(K11:K21)</f>
        <v>0.1088000000017928</v>
      </c>
      <c r="L22" s="1486"/>
      <c r="M22" s="1489">
        <f>SUM(M11:M21)</f>
        <v>0</v>
      </c>
      <c r="N22" s="1486"/>
      <c r="O22" s="1489">
        <f>SUM(O11:O21)</f>
        <v>5891885</v>
      </c>
      <c r="P22" s="1486"/>
      <c r="Q22" s="1489">
        <f>SUM(Q11:Q21)</f>
        <v>0</v>
      </c>
      <c r="R22" s="1486"/>
      <c r="S22" s="1658" t="s">
        <v>1233</v>
      </c>
      <c r="T22" s="1486"/>
      <c r="U22" s="1493">
        <f>SUM(U11:U21)</f>
        <v>-315841.44500000001</v>
      </c>
      <c r="V22" s="1486"/>
      <c r="W22" s="1489">
        <f>SUM(W11:W21)</f>
        <v>6188829.8405003175</v>
      </c>
      <c r="X22" s="1486">
        <f>SUM(X11:X21)</f>
        <v>0</v>
      </c>
      <c r="Y22" s="1490">
        <f>SUM(Y11:Y21)</f>
        <v>13451758.42818532</v>
      </c>
      <c r="Z22" s="1469"/>
      <c r="AA22" s="1491">
        <f>SUM(AA11:AA21)</f>
        <v>13451758.42818532</v>
      </c>
      <c r="AB22" s="1472">
        <f>AA22-'Баланс '!F42</f>
        <v>0.25799817033112049</v>
      </c>
      <c r="AC22" s="1479"/>
    </row>
    <row r="23" spans="2:29" ht="13.5" thickTop="1">
      <c r="B23" s="356"/>
      <c r="C23" s="356"/>
      <c r="D23" s="357"/>
      <c r="E23" s="357"/>
      <c r="F23" s="357"/>
      <c r="G23" s="357"/>
      <c r="H23" s="357"/>
      <c r="I23" s="357"/>
      <c r="J23" s="357"/>
      <c r="K23" s="357"/>
      <c r="L23" s="357"/>
      <c r="M23" s="356"/>
      <c r="N23" s="357"/>
      <c r="O23" s="358"/>
      <c r="P23" s="357"/>
      <c r="Q23" s="356"/>
      <c r="R23" s="356"/>
      <c r="S23" s="356"/>
      <c r="T23" s="357"/>
      <c r="U23" s="356"/>
      <c r="V23" s="357"/>
      <c r="W23" s="356"/>
      <c r="X23" s="357"/>
      <c r="Y23" s="356"/>
      <c r="Z23" s="357"/>
      <c r="AA23" s="355"/>
    </row>
    <row r="24" spans="2:29" s="351" customFormat="1" ht="16.5" hidden="1" customHeight="1">
      <c r="B24" s="359"/>
      <c r="C24" s="360">
        <f>C22-'Баланс '!F32</f>
        <v>0.33449289994314313</v>
      </c>
      <c r="D24" s="361"/>
      <c r="E24" s="401">
        <f>E22-'Баланс '!F34</f>
        <v>0.44034000000101514</v>
      </c>
      <c r="F24" s="401">
        <f>F22-'Баланс '!G34</f>
        <v>0</v>
      </c>
      <c r="G24" s="401">
        <f>G22-'Баланс '!F33</f>
        <v>0</v>
      </c>
      <c r="H24" s="401">
        <f>H22-'Баланс '!I34</f>
        <v>0</v>
      </c>
      <c r="I24" s="401">
        <f>I22-'Баланс '!F35</f>
        <v>0</v>
      </c>
      <c r="J24" s="361"/>
      <c r="K24" s="360">
        <f>K22-'Баланс '!F36</f>
        <v>0.1088000000017928</v>
      </c>
      <c r="L24" s="361"/>
      <c r="M24" s="355" t="e">
        <f>M22-#REF!</f>
        <v>#REF!</v>
      </c>
      <c r="N24" s="357"/>
      <c r="O24" s="355" t="e">
        <f>O22-#REF!-#REF!</f>
        <v>#REF!</v>
      </c>
      <c r="P24" s="362"/>
      <c r="Q24" s="363"/>
      <c r="R24" s="363"/>
      <c r="S24" s="363"/>
      <c r="T24" s="356"/>
      <c r="U24" s="358">
        <f>'Баланс '!F37-Q22-O22-M22-U22-1</f>
        <v>-0.34909999958472326</v>
      </c>
      <c r="V24" s="357"/>
      <c r="W24" s="401">
        <f>W22-'Баланс '!F38</f>
        <v>2.5265268050134182E-2</v>
      </c>
      <c r="X24" s="361"/>
      <c r="Y24" s="357"/>
      <c r="Z24" s="356"/>
      <c r="AA24" s="355">
        <f>AA22-'Баланс '!F42</f>
        <v>0.25799817033112049</v>
      </c>
    </row>
    <row r="25" spans="2:29" ht="13.5" customHeight="1">
      <c r="B25" s="1563"/>
      <c r="C25" s="1563"/>
      <c r="D25" s="216"/>
      <c r="E25" s="216"/>
      <c r="F25" s="216"/>
      <c r="G25" s="216"/>
      <c r="H25" s="216"/>
      <c r="I25" s="216"/>
      <c r="J25" s="216"/>
      <c r="K25" s="216"/>
      <c r="L25" s="216"/>
      <c r="M25" s="217"/>
      <c r="N25" s="217"/>
      <c r="O25" s="217"/>
      <c r="P25" s="217"/>
      <c r="Q25" s="217"/>
      <c r="R25" s="217"/>
      <c r="S25" s="217"/>
      <c r="T25" s="217"/>
      <c r="W25" s="412"/>
    </row>
    <row r="26" spans="2:29" ht="21.75" hidden="1" customHeight="1">
      <c r="B26" s="350"/>
      <c r="C26" s="350"/>
      <c r="D26" s="216"/>
      <c r="E26" s="216"/>
      <c r="F26" s="216"/>
      <c r="G26" s="216"/>
      <c r="H26" s="216"/>
      <c r="I26" s="216"/>
      <c r="J26" s="216"/>
      <c r="K26" s="216"/>
      <c r="L26" s="216"/>
      <c r="M26" s="218"/>
      <c r="N26" s="218"/>
      <c r="O26" s="218"/>
      <c r="P26" s="218"/>
      <c r="Q26" s="218"/>
      <c r="R26" s="218"/>
      <c r="S26" s="218"/>
      <c r="T26" s="218"/>
      <c r="U26" s="379"/>
      <c r="W26" s="86">
        <f>'Баланс '!I38</f>
        <v>0</v>
      </c>
    </row>
    <row r="27" spans="2:29" hidden="1">
      <c r="B27" s="1564"/>
      <c r="C27" s="1564"/>
      <c r="O27" s="1526"/>
      <c r="P27" s="1526"/>
      <c r="Q27" s="1526"/>
      <c r="R27" s="1526"/>
      <c r="S27" s="1526"/>
      <c r="T27" s="1526"/>
      <c r="U27" s="349"/>
      <c r="W27" s="86">
        <f>W24+W26</f>
        <v>2.5265268050134182E-2</v>
      </c>
    </row>
    <row r="28" spans="2:29" ht="15" hidden="1">
      <c r="B28" s="1496" t="s">
        <v>1106</v>
      </c>
      <c r="C28" s="1467"/>
      <c r="D28" s="1467"/>
      <c r="E28" s="1496"/>
      <c r="F28" s="214"/>
      <c r="G28" s="215"/>
      <c r="H28" s="962"/>
      <c r="I28" s="1432" t="s">
        <v>1102</v>
      </c>
      <c r="O28" s="1542"/>
      <c r="P28" s="1542"/>
      <c r="Q28" s="1542"/>
      <c r="R28" s="1542"/>
      <c r="S28" s="1542"/>
      <c r="T28" s="1542"/>
      <c r="U28" s="1433"/>
      <c r="V28" s="1433"/>
    </row>
    <row r="29" spans="2:29" hidden="1">
      <c r="B29" s="81"/>
      <c r="D29" s="1433"/>
      <c r="E29" s="81"/>
      <c r="F29" s="214"/>
      <c r="G29" s="215"/>
      <c r="U29" s="1433"/>
      <c r="V29" s="1433"/>
      <c r="W29" s="86"/>
    </row>
    <row r="30" spans="2:29" ht="12.75" hidden="1" customHeight="1">
      <c r="B30" s="350"/>
      <c r="C30" s="1467"/>
      <c r="D30" s="1467"/>
      <c r="E30" s="1562"/>
      <c r="F30" s="1562"/>
      <c r="G30" s="1562"/>
      <c r="H30" s="1158"/>
      <c r="I30" s="1432" t="s">
        <v>1102</v>
      </c>
      <c r="O30" s="1542"/>
      <c r="P30" s="1542"/>
      <c r="Q30" s="1542"/>
      <c r="R30" s="1542"/>
      <c r="S30" s="1542"/>
      <c r="T30" s="1542"/>
      <c r="U30" s="1498"/>
      <c r="V30" s="1499"/>
    </row>
    <row r="31" spans="2:29" hidden="1">
      <c r="B31" s="1496" t="s">
        <v>1107</v>
      </c>
      <c r="C31" s="1504"/>
      <c r="D31" s="1435"/>
      <c r="E31" s="1530" t="s">
        <v>1107</v>
      </c>
      <c r="F31" s="1530"/>
      <c r="G31" s="1433"/>
      <c r="H31" s="1438"/>
      <c r="I31" s="588"/>
      <c r="O31" s="588"/>
      <c r="U31" s="1531" t="s">
        <v>1108</v>
      </c>
      <c r="V31" s="1531"/>
    </row>
    <row r="32" spans="2:29" ht="15" hidden="1" customHeight="1">
      <c r="B32" s="1500" t="s">
        <v>1105</v>
      </c>
      <c r="C32" s="1467"/>
      <c r="D32" s="1467"/>
      <c r="E32" s="1500" t="s">
        <v>1109</v>
      </c>
      <c r="F32" s="350"/>
      <c r="G32" s="1433"/>
      <c r="H32" s="1158"/>
      <c r="I32" s="1431" t="s">
        <v>1103</v>
      </c>
      <c r="O32" s="1542"/>
      <c r="P32" s="1542"/>
      <c r="Q32" s="1542"/>
      <c r="R32" s="1542"/>
      <c r="S32" s="1542"/>
      <c r="T32" s="1542"/>
      <c r="U32" s="414" t="s">
        <v>1104</v>
      </c>
      <c r="V32" s="1500"/>
    </row>
    <row r="33" spans="4:22" hidden="1">
      <c r="D33" s="1433"/>
      <c r="E33" s="1500" t="s">
        <v>1110</v>
      </c>
      <c r="F33" s="87"/>
      <c r="G33" s="1433"/>
      <c r="Q33" s="73" t="s">
        <v>66</v>
      </c>
      <c r="U33" s="91"/>
      <c r="V33" s="91"/>
    </row>
  </sheetData>
  <mergeCells count="11">
    <mergeCell ref="B1:O1"/>
    <mergeCell ref="B25:C25"/>
    <mergeCell ref="B27:C27"/>
    <mergeCell ref="O27:T27"/>
    <mergeCell ref="B2:W2"/>
    <mergeCell ref="O32:T32"/>
    <mergeCell ref="O28:T28"/>
    <mergeCell ref="E30:G30"/>
    <mergeCell ref="E31:F31"/>
    <mergeCell ref="U31:V31"/>
    <mergeCell ref="O30:T30"/>
  </mergeCells>
  <phoneticPr fontId="13" type="noConversion"/>
  <pageMargins left="0.31496062992125984" right="0.31496062992125984" top="0.51181102362204722" bottom="0.98425196850393704" header="0.51181102362204722" footer="0.51181102362204722"/>
  <pageSetup paperSize="9" scale="88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86"/>
  <sheetViews>
    <sheetView view="pageBreakPreview" topLeftCell="C53" zoomScale="85" zoomScaleSheetLayoutView="85" workbookViewId="0">
      <selection activeCell="C54" sqref="C54"/>
    </sheetView>
  </sheetViews>
  <sheetFormatPr defaultColWidth="9.140625" defaultRowHeight="12"/>
  <cols>
    <col min="1" max="1" width="7" style="365" customWidth="1"/>
    <col min="2" max="2" width="44" style="365" customWidth="1"/>
    <col min="3" max="3" width="17" style="538" customWidth="1"/>
    <col min="4" max="4" width="3" style="538" customWidth="1"/>
    <col min="5" max="5" width="16.5703125" style="537" customWidth="1"/>
    <col min="6" max="6" width="11.140625" style="365" bestFit="1" customWidth="1"/>
    <col min="7" max="7" width="14.140625" style="365" customWidth="1"/>
    <col min="8" max="16384" width="9.140625" style="365"/>
  </cols>
  <sheetData>
    <row r="1" spans="1:16" ht="54" customHeight="1">
      <c r="A1" s="1567" t="s">
        <v>586</v>
      </c>
      <c r="B1" s="1567"/>
      <c r="C1" s="1567"/>
      <c r="D1" s="602"/>
      <c r="E1" s="601" t="s">
        <v>185</v>
      </c>
    </row>
    <row r="2" spans="1:16" ht="17.25" customHeight="1">
      <c r="A2" s="364" t="s">
        <v>66</v>
      </c>
      <c r="B2" s="364"/>
      <c r="C2" s="587"/>
      <c r="D2" s="587"/>
      <c r="E2" s="587"/>
    </row>
    <row r="3" spans="1:16" s="82" customFormat="1" ht="25.5">
      <c r="A3" s="366"/>
      <c r="B3" s="366"/>
      <c r="C3" s="367" t="s">
        <v>572</v>
      </c>
      <c r="D3" s="368"/>
      <c r="E3" s="367" t="s">
        <v>573</v>
      </c>
    </row>
    <row r="4" spans="1:16" s="82" customFormat="1" ht="27.75" customHeight="1">
      <c r="A4" s="1566" t="s">
        <v>316</v>
      </c>
      <c r="B4" s="1566"/>
      <c r="C4" s="597" t="s">
        <v>161</v>
      </c>
      <c r="D4" s="599"/>
      <c r="E4" s="599"/>
      <c r="G4" s="370"/>
      <c r="H4" s="370"/>
      <c r="I4" s="370"/>
      <c r="J4" s="370"/>
      <c r="K4" s="370"/>
      <c r="L4" s="370"/>
      <c r="M4" s="370"/>
      <c r="N4" s="370"/>
      <c r="O4" s="370"/>
      <c r="P4" s="370"/>
    </row>
    <row r="5" spans="1:16" s="82" customFormat="1" ht="21.75" customHeight="1">
      <c r="A5" s="1566" t="s">
        <v>317</v>
      </c>
      <c r="B5" s="1566"/>
      <c r="C5" s="598">
        <f>SUM(C6:C9)</f>
        <v>22211596.996079996</v>
      </c>
      <c r="D5" s="598"/>
      <c r="E5" s="598">
        <v>19971552.507509999</v>
      </c>
      <c r="G5" s="131"/>
      <c r="H5" s="370"/>
      <c r="I5" s="370"/>
      <c r="J5" s="370"/>
      <c r="K5" s="370"/>
      <c r="L5" s="370"/>
      <c r="M5" s="370"/>
      <c r="N5" s="370"/>
      <c r="O5" s="370"/>
      <c r="P5" s="370"/>
    </row>
    <row r="6" spans="1:16" s="82" customFormat="1" ht="12.75">
      <c r="A6" s="370"/>
      <c r="B6" s="370" t="s">
        <v>318</v>
      </c>
      <c r="C6" s="371">
        <v>21809788.704959996</v>
      </c>
      <c r="D6" s="371"/>
      <c r="E6" s="371">
        <v>19725705.949129999</v>
      </c>
      <c r="G6" s="131"/>
      <c r="H6" s="370"/>
      <c r="I6" s="370"/>
      <c r="J6" s="370"/>
      <c r="K6" s="370"/>
      <c r="L6" s="370"/>
      <c r="M6" s="370"/>
      <c r="N6" s="370"/>
      <c r="O6" s="370"/>
      <c r="P6" s="370"/>
    </row>
    <row r="7" spans="1:16" s="82" customFormat="1" ht="12.75">
      <c r="A7" s="370"/>
      <c r="B7" s="370" t="s">
        <v>120</v>
      </c>
      <c r="C7" s="371">
        <v>0</v>
      </c>
      <c r="D7" s="371"/>
      <c r="E7" s="371">
        <v>245846.55838000006</v>
      </c>
      <c r="G7" s="370"/>
      <c r="H7" s="370"/>
      <c r="I7" s="370"/>
      <c r="J7" s="370"/>
      <c r="K7" s="370"/>
      <c r="L7" s="370"/>
      <c r="M7" s="370"/>
      <c r="N7" s="370"/>
      <c r="O7" s="370"/>
      <c r="P7" s="370"/>
    </row>
    <row r="8" spans="1:16" s="82" customFormat="1" ht="12.75">
      <c r="A8" s="370"/>
      <c r="B8" s="370" t="s">
        <v>310</v>
      </c>
      <c r="C8" s="371">
        <v>0</v>
      </c>
      <c r="D8" s="371"/>
      <c r="E8" s="370"/>
      <c r="G8" s="370"/>
      <c r="H8" s="370"/>
      <c r="I8" s="370"/>
      <c r="J8" s="370"/>
      <c r="K8" s="370"/>
      <c r="L8" s="370"/>
      <c r="M8" s="370"/>
      <c r="N8" s="370"/>
      <c r="O8" s="370"/>
      <c r="P8" s="370"/>
    </row>
    <row r="9" spans="1:16" s="82" customFormat="1" ht="12.75">
      <c r="A9" s="370"/>
      <c r="B9" s="370" t="s">
        <v>319</v>
      </c>
      <c r="C9" s="371">
        <v>401808.29112000042</v>
      </c>
      <c r="D9" s="371"/>
      <c r="E9" s="370"/>
      <c r="G9" s="370"/>
      <c r="H9" s="370"/>
      <c r="I9" s="370"/>
      <c r="J9" s="370"/>
      <c r="K9" s="370"/>
      <c r="L9" s="370"/>
      <c r="M9" s="370"/>
      <c r="N9" s="370"/>
      <c r="O9" s="370"/>
      <c r="P9" s="370"/>
    </row>
    <row r="10" spans="1:16" s="82" customFormat="1" ht="13.15" customHeight="1">
      <c r="A10" s="1566" t="s">
        <v>320</v>
      </c>
      <c r="B10" s="1566"/>
      <c r="C10" s="598">
        <f>SUM(C11:C17)</f>
        <v>20627140.687589996</v>
      </c>
      <c r="D10" s="598"/>
      <c r="E10" s="598">
        <v>19737847.319341104</v>
      </c>
      <c r="G10" s="369"/>
      <c r="H10" s="370"/>
      <c r="I10" s="370"/>
      <c r="J10" s="370"/>
      <c r="K10" s="370"/>
      <c r="L10" s="370"/>
      <c r="M10" s="370"/>
      <c r="N10" s="370"/>
      <c r="O10" s="370"/>
      <c r="P10" s="370"/>
    </row>
    <row r="11" spans="1:16" s="82" customFormat="1" ht="15" customHeight="1">
      <c r="A11" s="370"/>
      <c r="B11" s="370" t="s">
        <v>321</v>
      </c>
      <c r="C11" s="371">
        <v>16429648</v>
      </c>
      <c r="D11" s="371"/>
      <c r="E11" s="371">
        <v>16542494.864861101</v>
      </c>
      <c r="F11" s="427"/>
      <c r="G11" s="370"/>
      <c r="H11" s="370"/>
      <c r="I11" s="370"/>
      <c r="J11" s="370"/>
      <c r="K11" s="370"/>
      <c r="L11" s="370"/>
      <c r="M11" s="370"/>
      <c r="N11" s="370"/>
      <c r="O11" s="370"/>
      <c r="P11" s="370"/>
    </row>
    <row r="12" spans="1:16" s="82" customFormat="1" ht="12.75">
      <c r="A12" s="370"/>
      <c r="B12" s="370" t="s">
        <v>322</v>
      </c>
      <c r="C12" s="371">
        <v>873740.51665000001</v>
      </c>
      <c r="D12" s="371"/>
      <c r="E12" s="371">
        <v>777095.26959000004</v>
      </c>
      <c r="F12" s="370"/>
      <c r="G12" s="369"/>
      <c r="H12" s="370"/>
      <c r="I12" s="370"/>
      <c r="J12" s="370"/>
      <c r="K12" s="370"/>
      <c r="L12" s="370"/>
      <c r="M12" s="370"/>
      <c r="N12" s="370"/>
      <c r="O12" s="370"/>
      <c r="P12" s="370"/>
    </row>
    <row r="13" spans="1:16" s="82" customFormat="1" ht="12.75">
      <c r="A13" s="370"/>
      <c r="B13" s="370" t="s">
        <v>323</v>
      </c>
      <c r="C13" s="371">
        <v>119246.12771</v>
      </c>
      <c r="D13" s="371"/>
      <c r="E13" s="371">
        <v>103140.56525</v>
      </c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</row>
    <row r="14" spans="1:16" s="82" customFormat="1" ht="12.75">
      <c r="A14" s="370"/>
      <c r="B14" s="370" t="s">
        <v>324</v>
      </c>
      <c r="C14" s="371">
        <v>2214512.4715200001</v>
      </c>
      <c r="D14" s="371"/>
      <c r="E14" s="371">
        <v>1840677.2410300002</v>
      </c>
      <c r="F14" s="370"/>
      <c r="G14" s="131"/>
      <c r="H14" s="370"/>
      <c r="I14" s="370"/>
      <c r="J14" s="370"/>
      <c r="K14" s="370"/>
      <c r="L14" s="370"/>
      <c r="M14" s="370"/>
      <c r="N14" s="370"/>
      <c r="O14" s="370"/>
      <c r="P14" s="370"/>
    </row>
    <row r="15" spans="1:16" s="82" customFormat="1" ht="12.75">
      <c r="A15" s="370"/>
      <c r="B15" s="370" t="s">
        <v>325</v>
      </c>
      <c r="C15" s="371">
        <v>953071.44328999997</v>
      </c>
      <c r="D15" s="371"/>
      <c r="E15" s="371">
        <v>470790.44499000005</v>
      </c>
      <c r="F15" s="370"/>
      <c r="G15" s="131"/>
      <c r="H15" s="370"/>
      <c r="I15" s="370"/>
      <c r="J15" s="370"/>
      <c r="K15" s="370"/>
      <c r="L15" s="370"/>
      <c r="M15" s="370"/>
      <c r="N15" s="370"/>
      <c r="O15" s="370"/>
      <c r="P15" s="370"/>
    </row>
    <row r="16" spans="1:16" s="82" customFormat="1" ht="12.75">
      <c r="A16" s="370"/>
      <c r="B16" s="370" t="s">
        <v>162</v>
      </c>
      <c r="C16" s="371">
        <v>0</v>
      </c>
      <c r="D16" s="371"/>
      <c r="E16" s="371">
        <v>3648.9336199999998</v>
      </c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</row>
    <row r="17" spans="1:16" s="82" customFormat="1" ht="12.75">
      <c r="A17" s="370"/>
      <c r="B17" s="370" t="s">
        <v>326</v>
      </c>
      <c r="C17" s="371">
        <v>36922.128419999928</v>
      </c>
      <c r="D17" s="371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</row>
    <row r="18" spans="1:16" s="82" customFormat="1" ht="27.75" customHeight="1">
      <c r="A18" s="1568" t="s">
        <v>327</v>
      </c>
      <c r="B18" s="1568"/>
      <c r="C18" s="598">
        <f>C5-C10</f>
        <v>1584456.3084900007</v>
      </c>
      <c r="D18" s="598"/>
      <c r="E18" s="598">
        <v>233705.1881688945</v>
      </c>
      <c r="F18" s="370"/>
      <c r="G18" s="428"/>
      <c r="H18" s="370"/>
      <c r="I18" s="370"/>
      <c r="J18" s="370"/>
      <c r="K18" s="370"/>
      <c r="L18" s="370"/>
      <c r="M18" s="370"/>
      <c r="N18" s="370"/>
      <c r="O18" s="370"/>
      <c r="P18" s="370"/>
    </row>
    <row r="19" spans="1:16" s="82" customFormat="1" ht="30.75" customHeight="1">
      <c r="A19" s="1566" t="s">
        <v>328</v>
      </c>
      <c r="B19" s="1566"/>
      <c r="C19" s="599"/>
      <c r="D19" s="599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</row>
    <row r="20" spans="1:16" s="82" customFormat="1" ht="21.75" customHeight="1">
      <c r="A20" s="372" t="s">
        <v>329</v>
      </c>
      <c r="B20" s="372"/>
      <c r="C20" s="598">
        <f>SUM(C21:C27)</f>
        <v>1126670.3223999999</v>
      </c>
      <c r="D20" s="370"/>
      <c r="E20" s="598">
        <v>1306708</v>
      </c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</row>
    <row r="21" spans="1:16" s="82" customFormat="1" ht="12.75">
      <c r="A21" s="370"/>
      <c r="B21" s="370" t="s">
        <v>330</v>
      </c>
      <c r="C21" s="371">
        <v>250</v>
      </c>
      <c r="D21" s="371"/>
      <c r="E21" s="371">
        <v>1040</v>
      </c>
      <c r="F21" s="370"/>
      <c r="G21" s="369"/>
      <c r="H21" s="370"/>
      <c r="I21" s="370"/>
      <c r="J21" s="370"/>
      <c r="K21" s="370"/>
      <c r="L21" s="370"/>
      <c r="M21" s="370"/>
      <c r="N21" s="370"/>
      <c r="O21" s="370"/>
      <c r="P21" s="370"/>
    </row>
    <row r="22" spans="1:16" s="82" customFormat="1" ht="12.75">
      <c r="A22" s="370"/>
      <c r="B22" s="370" t="s">
        <v>331</v>
      </c>
      <c r="C22" s="371">
        <v>0</v>
      </c>
      <c r="D22" s="371"/>
      <c r="E22" s="371">
        <v>0</v>
      </c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</row>
    <row r="23" spans="1:16" s="82" customFormat="1" ht="12.75">
      <c r="A23" s="370"/>
      <c r="B23" s="590" t="s">
        <v>574</v>
      </c>
      <c r="C23" s="371">
        <v>9544</v>
      </c>
      <c r="D23" s="371"/>
      <c r="E23" s="371">
        <v>0</v>
      </c>
      <c r="F23" s="370"/>
      <c r="G23" s="369"/>
      <c r="H23" s="370"/>
      <c r="I23" s="370"/>
      <c r="J23" s="370"/>
      <c r="K23" s="370"/>
      <c r="L23" s="370"/>
      <c r="M23" s="370"/>
      <c r="N23" s="370"/>
      <c r="O23" s="370"/>
      <c r="P23" s="370"/>
    </row>
    <row r="24" spans="1:16" s="82" customFormat="1" ht="12.75">
      <c r="A24" s="370"/>
      <c r="B24" s="370" t="s">
        <v>577</v>
      </c>
      <c r="C24" s="371">
        <v>59781</v>
      </c>
      <c r="D24" s="371"/>
      <c r="E24" s="371">
        <v>1305668</v>
      </c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</row>
    <row r="25" spans="1:16" s="82" customFormat="1" ht="12.75">
      <c r="A25" s="370"/>
      <c r="B25" s="590" t="s">
        <v>579</v>
      </c>
      <c r="C25" s="371">
        <v>260000</v>
      </c>
      <c r="D25" s="371"/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</row>
    <row r="26" spans="1:16" s="82" customFormat="1" ht="12.75">
      <c r="A26" s="370"/>
      <c r="B26" s="590" t="s">
        <v>516</v>
      </c>
      <c r="C26" s="371">
        <v>234.25803999999999</v>
      </c>
      <c r="D26" s="598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</row>
    <row r="27" spans="1:16" s="82" customFormat="1" ht="25.5">
      <c r="A27" s="370"/>
      <c r="B27" s="592" t="s">
        <v>575</v>
      </c>
      <c r="C27" s="371">
        <v>796861.06435999996</v>
      </c>
      <c r="D27" s="371"/>
      <c r="E27" s="370"/>
      <c r="F27" s="131"/>
      <c r="G27" s="370"/>
      <c r="H27" s="370"/>
      <c r="I27" s="370"/>
      <c r="J27" s="370"/>
      <c r="K27" s="370"/>
      <c r="L27" s="370"/>
      <c r="M27" s="370"/>
      <c r="N27" s="370"/>
      <c r="O27" s="370"/>
      <c r="P27" s="370"/>
    </row>
    <row r="28" spans="1:16" s="82" customFormat="1" ht="12.75">
      <c r="A28" s="372" t="s">
        <v>332</v>
      </c>
      <c r="B28" s="372"/>
      <c r="C28" s="598">
        <f>SUM(C29:C35)</f>
        <v>1327153.3862699999</v>
      </c>
      <c r="D28" s="371"/>
      <c r="E28" s="598">
        <v>3519796.2818800001</v>
      </c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</row>
    <row r="29" spans="1:16" s="82" customFormat="1" ht="12.75">
      <c r="A29" s="372"/>
      <c r="B29" s="590" t="s">
        <v>515</v>
      </c>
      <c r="C29" s="371">
        <v>110987.7</v>
      </c>
      <c r="D29" s="371"/>
      <c r="E29" s="370">
        <v>0</v>
      </c>
      <c r="F29" s="370"/>
      <c r="G29" s="369"/>
      <c r="H29" s="370"/>
      <c r="I29" s="370"/>
      <c r="J29" s="370"/>
      <c r="K29" s="370"/>
      <c r="L29" s="370"/>
      <c r="M29" s="370"/>
      <c r="N29" s="370"/>
      <c r="O29" s="370"/>
      <c r="P29" s="370"/>
    </row>
    <row r="30" spans="1:16" s="82" customFormat="1" ht="12.75">
      <c r="A30" s="370"/>
      <c r="B30" s="370" t="s">
        <v>0</v>
      </c>
      <c r="C30" s="371">
        <v>1187091.6862699999</v>
      </c>
      <c r="D30" s="371"/>
      <c r="E30" s="371">
        <v>2214128.2818800001</v>
      </c>
      <c r="F30" s="370"/>
      <c r="G30" s="369"/>
      <c r="H30" s="370"/>
      <c r="I30" s="370"/>
      <c r="J30" s="370"/>
      <c r="K30" s="370"/>
      <c r="L30" s="370"/>
      <c r="M30" s="370"/>
      <c r="N30" s="370"/>
      <c r="O30" s="370"/>
      <c r="P30" s="370"/>
    </row>
    <row r="31" spans="1:16" s="82" customFormat="1" ht="12.75">
      <c r="A31" s="370"/>
      <c r="B31" s="370" t="s">
        <v>582</v>
      </c>
      <c r="C31" s="371">
        <v>0</v>
      </c>
      <c r="D31" s="371"/>
      <c r="E31" s="371">
        <v>0</v>
      </c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</row>
    <row r="32" spans="1:16" s="82" customFormat="1" ht="12.75">
      <c r="A32" s="370"/>
      <c r="B32" s="82" t="s">
        <v>585</v>
      </c>
      <c r="C32" s="371">
        <v>0</v>
      </c>
      <c r="D32" s="370"/>
      <c r="E32" s="371">
        <v>1305668</v>
      </c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</row>
    <row r="33" spans="1:16" s="82" customFormat="1" ht="27.75" customHeight="1">
      <c r="A33" s="370"/>
      <c r="B33" s="370" t="s">
        <v>583</v>
      </c>
      <c r="C33" s="371">
        <v>0</v>
      </c>
      <c r="D33" s="371"/>
      <c r="E33" s="371">
        <v>0</v>
      </c>
      <c r="F33" s="370"/>
      <c r="G33" s="427"/>
      <c r="H33" s="370"/>
      <c r="I33" s="370"/>
      <c r="J33" s="370"/>
      <c r="K33" s="370"/>
      <c r="L33" s="370"/>
      <c r="M33" s="370"/>
      <c r="N33" s="370"/>
      <c r="O33" s="370"/>
      <c r="P33" s="370"/>
    </row>
    <row r="34" spans="1:16" s="82" customFormat="1" ht="27.75" customHeight="1">
      <c r="A34" s="370"/>
      <c r="B34" s="370" t="s">
        <v>578</v>
      </c>
      <c r="C34" s="371">
        <v>29074</v>
      </c>
      <c r="D34" s="598"/>
      <c r="E34" s="371">
        <v>0</v>
      </c>
      <c r="F34" s="370"/>
      <c r="G34" s="427"/>
      <c r="H34" s="370"/>
      <c r="I34" s="370"/>
      <c r="J34" s="370"/>
      <c r="K34" s="370"/>
      <c r="L34" s="370"/>
      <c r="M34" s="370"/>
      <c r="N34" s="370"/>
      <c r="O34" s="370"/>
      <c r="P34" s="370"/>
    </row>
    <row r="35" spans="1:16" s="82" customFormat="1" ht="17.25" customHeight="1">
      <c r="A35" s="370"/>
      <c r="B35" s="370"/>
      <c r="C35" s="371"/>
      <c r="D35" s="599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</row>
    <row r="36" spans="1:16" s="82" customFormat="1" ht="26.45" customHeight="1">
      <c r="A36" s="1568" t="s">
        <v>333</v>
      </c>
      <c r="B36" s="1568"/>
      <c r="C36" s="598">
        <f>C20-C28</f>
        <v>-200483.06386999995</v>
      </c>
      <c r="D36" s="598"/>
      <c r="E36" s="598">
        <v>-2213088.2818800001</v>
      </c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</row>
    <row r="37" spans="1:16" s="82" customFormat="1" ht="12.75">
      <c r="A37" s="1569" t="s">
        <v>334</v>
      </c>
      <c r="B37" s="1569"/>
      <c r="C37" s="599"/>
      <c r="D37" s="371"/>
      <c r="E37" s="370"/>
      <c r="F37" s="370"/>
      <c r="G37" s="370"/>
      <c r="H37" s="131"/>
      <c r="I37" s="370"/>
      <c r="J37" s="370"/>
      <c r="K37" s="370"/>
      <c r="L37" s="370"/>
      <c r="M37" s="370"/>
      <c r="N37" s="370"/>
      <c r="O37" s="370"/>
      <c r="P37" s="370"/>
    </row>
    <row r="38" spans="1:16" s="82" customFormat="1" ht="12.75">
      <c r="A38" s="1569" t="s">
        <v>335</v>
      </c>
      <c r="B38" s="1569"/>
      <c r="C38" s="598">
        <f>SUM(C39:C42)</f>
        <v>4391997.1239999998</v>
      </c>
      <c r="D38" s="371"/>
      <c r="E38" s="598">
        <v>9003567.4700000007</v>
      </c>
      <c r="F38" s="371"/>
      <c r="G38" s="370"/>
      <c r="H38" s="131"/>
      <c r="I38" s="370"/>
      <c r="J38" s="370"/>
      <c r="K38" s="370"/>
      <c r="L38" s="370"/>
      <c r="M38" s="370"/>
      <c r="N38" s="370"/>
      <c r="O38" s="370"/>
      <c r="P38" s="370"/>
    </row>
    <row r="39" spans="1:16" s="82" customFormat="1" ht="12.75">
      <c r="A39" s="370"/>
      <c r="B39" s="370" t="s">
        <v>336</v>
      </c>
      <c r="C39" s="371">
        <v>0</v>
      </c>
      <c r="D39" s="371"/>
      <c r="E39" s="371">
        <v>0</v>
      </c>
      <c r="F39" s="371"/>
      <c r="G39" s="369"/>
      <c r="H39" s="131"/>
      <c r="I39" s="370"/>
      <c r="J39" s="370"/>
      <c r="K39" s="370"/>
      <c r="L39" s="370"/>
      <c r="M39" s="370"/>
      <c r="N39" s="370"/>
      <c r="O39" s="370"/>
      <c r="P39" s="370"/>
    </row>
    <row r="40" spans="1:16" s="82" customFormat="1" ht="12.75">
      <c r="A40" s="370"/>
      <c r="B40" s="370" t="s">
        <v>337</v>
      </c>
      <c r="C40" s="371">
        <v>4391997.1239999998</v>
      </c>
      <c r="D40" s="371"/>
      <c r="E40" s="371">
        <v>9003567.4700000007</v>
      </c>
      <c r="F40" s="370"/>
      <c r="G40" s="371"/>
      <c r="H40" s="370"/>
      <c r="I40" s="370"/>
      <c r="J40" s="370"/>
      <c r="K40" s="370"/>
      <c r="L40" s="370"/>
      <c r="M40" s="370"/>
      <c r="N40" s="370"/>
      <c r="O40" s="370"/>
      <c r="P40" s="370"/>
    </row>
    <row r="41" spans="1:16" s="82" customFormat="1" ht="12.75">
      <c r="A41" s="370"/>
      <c r="B41" s="370" t="s">
        <v>411</v>
      </c>
      <c r="C41" s="371">
        <v>0</v>
      </c>
      <c r="D41" s="598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</row>
    <row r="42" spans="1:16" s="82" customFormat="1" ht="12.75">
      <c r="A42" s="370"/>
      <c r="B42" s="370" t="s">
        <v>319</v>
      </c>
      <c r="C42" s="371">
        <v>0</v>
      </c>
      <c r="D42" s="371"/>
      <c r="E42" s="371"/>
      <c r="F42" s="371"/>
      <c r="G42" s="131"/>
      <c r="H42" s="370"/>
      <c r="I42" s="370"/>
      <c r="J42" s="370"/>
      <c r="K42" s="370"/>
      <c r="L42" s="370"/>
      <c r="M42" s="370"/>
      <c r="N42" s="370"/>
      <c r="O42" s="370"/>
      <c r="P42" s="370"/>
    </row>
    <row r="43" spans="1:16" s="82" customFormat="1" ht="12.75">
      <c r="A43" s="1569" t="s">
        <v>338</v>
      </c>
      <c r="B43" s="1569"/>
      <c r="C43" s="598">
        <f>SUM(C44:C50)</f>
        <v>3480246.0090399999</v>
      </c>
      <c r="D43" s="371"/>
      <c r="E43" s="598">
        <v>8040480.123300001</v>
      </c>
      <c r="F43" s="131"/>
      <c r="G43" s="428"/>
      <c r="H43" s="131"/>
      <c r="I43" s="370"/>
      <c r="J43" s="370"/>
      <c r="K43" s="370"/>
      <c r="L43" s="370"/>
      <c r="M43" s="370"/>
      <c r="N43" s="370"/>
      <c r="O43" s="370"/>
      <c r="P43" s="370"/>
    </row>
    <row r="44" spans="1:16" s="82" customFormat="1" ht="12.75">
      <c r="A44" s="370"/>
      <c r="B44" s="370" t="s">
        <v>339</v>
      </c>
      <c r="C44" s="371">
        <v>3333652</v>
      </c>
      <c r="D44" s="371"/>
      <c r="E44" s="371">
        <v>7932340.0077800006</v>
      </c>
      <c r="F44" s="131"/>
      <c r="G44" s="370"/>
      <c r="H44" s="131"/>
      <c r="I44" s="370"/>
      <c r="J44" s="370"/>
      <c r="K44" s="370"/>
      <c r="L44" s="370"/>
      <c r="M44" s="370"/>
      <c r="N44" s="370"/>
      <c r="O44" s="370"/>
      <c r="P44" s="370"/>
    </row>
    <row r="45" spans="1:16" s="82" customFormat="1" ht="12.75">
      <c r="A45" s="370"/>
      <c r="B45" s="370" t="s">
        <v>418</v>
      </c>
      <c r="C45" s="371">
        <v>21872.07</v>
      </c>
      <c r="D45" s="371"/>
      <c r="E45" s="371">
        <v>0</v>
      </c>
      <c r="F45" s="370"/>
      <c r="G45" s="370"/>
      <c r="H45" s="131"/>
      <c r="I45" s="428"/>
      <c r="J45" s="370"/>
      <c r="K45" s="370"/>
      <c r="L45" s="370"/>
      <c r="M45" s="370"/>
      <c r="N45" s="370"/>
      <c r="O45" s="370"/>
      <c r="P45" s="370"/>
    </row>
    <row r="46" spans="1:16" s="82" customFormat="1" ht="12.75">
      <c r="A46" s="370"/>
      <c r="B46" s="370" t="s">
        <v>419</v>
      </c>
      <c r="C46" s="371">
        <v>0</v>
      </c>
      <c r="D46" s="371"/>
      <c r="E46" s="371">
        <v>0</v>
      </c>
      <c r="F46" s="369"/>
      <c r="G46" s="370"/>
      <c r="H46" s="131"/>
      <c r="I46" s="370"/>
      <c r="J46" s="370"/>
      <c r="K46" s="370"/>
      <c r="L46" s="370"/>
      <c r="M46" s="370"/>
      <c r="N46" s="370"/>
      <c r="O46" s="370"/>
      <c r="P46" s="370"/>
    </row>
    <row r="47" spans="1:16" s="82" customFormat="1" ht="12.75">
      <c r="A47" s="370"/>
      <c r="B47" s="370" t="s">
        <v>340</v>
      </c>
      <c r="C47" s="371">
        <v>0</v>
      </c>
      <c r="D47" s="371"/>
      <c r="E47" s="371">
        <v>0</v>
      </c>
      <c r="F47" s="131"/>
      <c r="G47" s="370"/>
      <c r="H47" s="131"/>
      <c r="I47" s="370"/>
      <c r="J47" s="370"/>
      <c r="K47" s="370"/>
      <c r="L47" s="370"/>
      <c r="M47" s="370"/>
      <c r="N47" s="370"/>
      <c r="O47" s="370"/>
      <c r="P47" s="370"/>
    </row>
    <row r="48" spans="1:16" s="82" customFormat="1" ht="12.75">
      <c r="A48" s="370"/>
      <c r="B48" s="370" t="s">
        <v>420</v>
      </c>
      <c r="C48" s="371">
        <v>124721.93904000001</v>
      </c>
      <c r="D48" s="371"/>
      <c r="E48" s="371">
        <v>108140.11551999999</v>
      </c>
      <c r="F48" s="370"/>
      <c r="G48" s="370"/>
      <c r="H48" s="131"/>
      <c r="I48" s="370"/>
      <c r="J48" s="370"/>
      <c r="K48" s="370"/>
      <c r="L48" s="370"/>
      <c r="M48" s="370"/>
      <c r="N48" s="370"/>
      <c r="O48" s="370"/>
      <c r="P48" s="370"/>
    </row>
    <row r="49" spans="1:16" s="82" customFormat="1" ht="27.75" customHeight="1">
      <c r="A49" s="370"/>
      <c r="B49" s="370" t="s">
        <v>410</v>
      </c>
      <c r="C49" s="371">
        <v>0</v>
      </c>
      <c r="D49" s="598"/>
      <c r="E49" s="371">
        <v>0</v>
      </c>
      <c r="F49" s="370"/>
      <c r="G49" s="427"/>
      <c r="H49" s="370"/>
      <c r="I49" s="370"/>
      <c r="J49" s="370"/>
      <c r="K49" s="370"/>
      <c r="L49" s="370"/>
      <c r="M49" s="370"/>
      <c r="N49" s="370"/>
      <c r="O49" s="370"/>
      <c r="P49" s="370"/>
    </row>
    <row r="50" spans="1:16" s="82" customFormat="1" ht="27" customHeight="1">
      <c r="A50" s="370"/>
      <c r="B50" s="370" t="s">
        <v>326</v>
      </c>
      <c r="C50" s="371">
        <v>0</v>
      </c>
      <c r="D50" s="598"/>
      <c r="E50" s="371">
        <v>0</v>
      </c>
      <c r="F50" s="370"/>
      <c r="G50" s="370"/>
    </row>
    <row r="51" spans="1:16" s="82" customFormat="1" ht="25.5" customHeight="1">
      <c r="A51" s="1568" t="s">
        <v>341</v>
      </c>
      <c r="B51" s="1568"/>
      <c r="C51" s="598">
        <f>C38-C43</f>
        <v>911751.11495999992</v>
      </c>
      <c r="D51" s="598"/>
      <c r="E51" s="598">
        <v>963087.34669999965</v>
      </c>
      <c r="F51" s="603"/>
      <c r="G51" s="370"/>
    </row>
    <row r="52" spans="1:16" s="82" customFormat="1" ht="24.75" customHeight="1">
      <c r="A52" s="1551" t="s">
        <v>287</v>
      </c>
      <c r="B52" s="1551"/>
      <c r="C52" s="598">
        <f>C18+C36+C51</f>
        <v>2295724.3595800009</v>
      </c>
      <c r="D52" s="598"/>
      <c r="E52" s="598">
        <v>-1016295.747011106</v>
      </c>
      <c r="F52" s="370"/>
      <c r="G52" s="369"/>
    </row>
    <row r="53" spans="1:16" s="80" customFormat="1" ht="35.450000000000003" customHeight="1">
      <c r="A53" s="1551" t="s">
        <v>342</v>
      </c>
      <c r="B53" s="1551"/>
      <c r="C53" s="598">
        <v>1909752.8005927999</v>
      </c>
      <c r="D53" s="113"/>
      <c r="E53" s="598">
        <v>1933318.1714945</v>
      </c>
      <c r="F53" s="113"/>
      <c r="G53" s="449"/>
      <c r="H53" s="82"/>
      <c r="I53" s="82"/>
    </row>
    <row r="54" spans="1:16" s="80" customFormat="1" ht="36.6" customHeight="1">
      <c r="A54" s="1551" t="s">
        <v>343</v>
      </c>
      <c r="B54" s="1551"/>
      <c r="C54" s="598">
        <f>SUM(C52:C53)</f>
        <v>4205477.1601728005</v>
      </c>
      <c r="D54" s="439"/>
      <c r="E54" s="598">
        <v>917022.42448339402</v>
      </c>
      <c r="F54" s="113"/>
      <c r="G54" s="113"/>
      <c r="H54" s="179"/>
    </row>
    <row r="55" spans="1:16" s="80" customFormat="1" ht="18.75" customHeight="1">
      <c r="A55" s="586"/>
      <c r="B55" s="593" t="s">
        <v>183</v>
      </c>
      <c r="C55" s="600"/>
      <c r="D55" s="592"/>
      <c r="E55" s="598"/>
      <c r="F55" s="113"/>
      <c r="G55" s="113"/>
    </row>
    <row r="56" spans="1:16" s="80" customFormat="1" ht="15" customHeight="1">
      <c r="A56" s="370"/>
      <c r="B56" s="594" t="s">
        <v>584</v>
      </c>
      <c r="C56" s="131">
        <v>151406</v>
      </c>
      <c r="D56" s="82"/>
      <c r="E56" s="82"/>
      <c r="F56" s="82"/>
      <c r="G56" s="82"/>
    </row>
    <row r="57" spans="1:16" s="113" customFormat="1" ht="15" customHeight="1">
      <c r="A57" s="595"/>
      <c r="C57" s="1566"/>
      <c r="D57" s="1566"/>
      <c r="E57" s="1569"/>
      <c r="F57" s="1569"/>
      <c r="G57" s="1569"/>
    </row>
    <row r="58" spans="1:16" s="113" customFormat="1" ht="15" customHeight="1">
      <c r="B58" s="414"/>
      <c r="C58" s="414"/>
      <c r="D58" s="592"/>
      <c r="E58" s="414"/>
      <c r="F58" s="414"/>
      <c r="G58" s="370"/>
    </row>
    <row r="59" spans="1:16" s="433" customFormat="1" ht="18.75" customHeight="1">
      <c r="B59" s="596"/>
      <c r="C59" s="113"/>
      <c r="D59" s="113"/>
      <c r="E59" s="346"/>
      <c r="F59" s="113"/>
      <c r="G59" s="113"/>
      <c r="H59" s="113"/>
      <c r="I59" s="113"/>
    </row>
    <row r="60" spans="1:16" s="433" customFormat="1" ht="18.75" customHeight="1">
      <c r="C60" s="415"/>
      <c r="D60" s="415"/>
      <c r="E60" s="415"/>
    </row>
    <row r="61" spans="1:16" s="433" customFormat="1" ht="18.75" customHeight="1">
      <c r="E61" s="415"/>
    </row>
    <row r="62" spans="1:16" s="433" customFormat="1" ht="18.75" customHeight="1">
      <c r="E62" s="415"/>
    </row>
    <row r="63" spans="1:16" s="433" customFormat="1" ht="18.75" customHeight="1">
      <c r="E63" s="415"/>
    </row>
    <row r="64" spans="1:16" s="433" customFormat="1" ht="18.75" customHeight="1">
      <c r="E64" s="415"/>
    </row>
    <row r="65" spans="5:5" s="433" customFormat="1" ht="18.75" customHeight="1">
      <c r="E65" s="415"/>
    </row>
    <row r="66" spans="5:5" s="433" customFormat="1" ht="18.75" customHeight="1">
      <c r="E66" s="415"/>
    </row>
    <row r="67" spans="5:5" s="433" customFormat="1" ht="18.75" customHeight="1">
      <c r="E67" s="415"/>
    </row>
    <row r="68" spans="5:5" s="433" customFormat="1" ht="18.75" customHeight="1">
      <c r="E68" s="415"/>
    </row>
    <row r="69" spans="5:5" s="433" customFormat="1" ht="18.75" customHeight="1">
      <c r="E69" s="415"/>
    </row>
    <row r="70" spans="5:5" s="433" customFormat="1" ht="18.75" customHeight="1">
      <c r="E70" s="415"/>
    </row>
    <row r="71" spans="5:5" s="433" customFormat="1" ht="18.75" customHeight="1">
      <c r="E71" s="415"/>
    </row>
    <row r="72" spans="5:5" s="433" customFormat="1" ht="18.75" customHeight="1">
      <c r="E72" s="415"/>
    </row>
    <row r="73" spans="5:5" s="433" customFormat="1" ht="18.75" customHeight="1">
      <c r="E73" s="415"/>
    </row>
    <row r="74" spans="5:5" s="433" customFormat="1" ht="18.75" customHeight="1">
      <c r="E74" s="415"/>
    </row>
    <row r="75" spans="5:5" s="433" customFormat="1" ht="18.75" customHeight="1">
      <c r="E75" s="415"/>
    </row>
    <row r="76" spans="5:5" s="433" customFormat="1" ht="18.75" customHeight="1">
      <c r="E76" s="415"/>
    </row>
    <row r="77" spans="5:5" s="433" customFormat="1" ht="18.75" customHeight="1">
      <c r="E77" s="415"/>
    </row>
    <row r="78" spans="5:5" s="433" customFormat="1" ht="18.75" customHeight="1">
      <c r="E78" s="415"/>
    </row>
    <row r="79" spans="5:5" s="433" customFormat="1" ht="18.75" customHeight="1">
      <c r="E79" s="415"/>
    </row>
    <row r="80" spans="5:5" s="433" customFormat="1" ht="18.75" customHeight="1">
      <c r="E80" s="415"/>
    </row>
    <row r="81" spans="5:5" s="433" customFormat="1" ht="18.75" customHeight="1">
      <c r="E81" s="415"/>
    </row>
    <row r="82" spans="5:5" s="433" customFormat="1" ht="18.75" customHeight="1">
      <c r="E82" s="415"/>
    </row>
    <row r="83" spans="5:5" s="433" customFormat="1" ht="18.75" customHeight="1">
      <c r="E83" s="415"/>
    </row>
    <row r="84" spans="5:5" s="433" customFormat="1" ht="18.75" customHeight="1">
      <c r="E84" s="415"/>
    </row>
    <row r="85" spans="5:5" ht="18.75" customHeight="1"/>
    <row r="86" spans="5:5" ht="18.75" customHeight="1"/>
  </sheetData>
  <mergeCells count="16">
    <mergeCell ref="E57:G57"/>
    <mergeCell ref="A51:B51"/>
    <mergeCell ref="A52:B52"/>
    <mergeCell ref="A54:B54"/>
    <mergeCell ref="C57:D57"/>
    <mergeCell ref="A36:B36"/>
    <mergeCell ref="A53:B53"/>
    <mergeCell ref="A37:B37"/>
    <mergeCell ref="A38:B38"/>
    <mergeCell ref="A43:B43"/>
    <mergeCell ref="A19:B19"/>
    <mergeCell ref="A1:C1"/>
    <mergeCell ref="A4:B4"/>
    <mergeCell ref="A5:B5"/>
    <mergeCell ref="A10:B10"/>
    <mergeCell ref="A18:B18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406"/>
  <sheetViews>
    <sheetView topLeftCell="A37" workbookViewId="0">
      <pane xSplit="4" topLeftCell="E1" activePane="topRight" state="frozen"/>
      <selection pane="topRight" activeCell="D69" sqref="D69"/>
    </sheetView>
  </sheetViews>
  <sheetFormatPr defaultRowHeight="12.75"/>
  <cols>
    <col min="2" max="2" width="32.85546875" customWidth="1"/>
    <col min="3" max="3" width="7" customWidth="1"/>
    <col min="4" max="4" width="11.140625" customWidth="1"/>
    <col min="5" max="5" width="10.7109375" customWidth="1"/>
    <col min="6" max="6" width="6.85546875" customWidth="1"/>
    <col min="7" max="7" width="5.5703125" customWidth="1"/>
    <col min="8" max="8" width="11.42578125" customWidth="1"/>
    <col min="12" max="12" width="11.140625" customWidth="1"/>
    <col min="13" max="13" width="10.7109375" customWidth="1"/>
    <col min="15" max="15" width="11" customWidth="1"/>
    <col min="16" max="16" width="11.28515625" customWidth="1"/>
    <col min="17" max="17" width="10.28515625" customWidth="1"/>
    <col min="18" max="18" width="12.85546875" customWidth="1"/>
    <col min="19" max="19" width="11.28515625" customWidth="1"/>
    <col min="20" max="20" width="11.42578125" customWidth="1"/>
    <col min="21" max="21" width="10.28515625" customWidth="1"/>
    <col min="22" max="22" width="11.85546875" customWidth="1"/>
    <col min="24" max="24" width="6.140625" customWidth="1"/>
    <col min="25" max="25" width="11.7109375" customWidth="1"/>
    <col min="27" max="27" width="7.5703125" customWidth="1"/>
    <col min="28" max="28" width="11.42578125" customWidth="1"/>
    <col min="29" max="29" width="12" customWidth="1"/>
    <col min="32" max="32" width="10.5703125" bestFit="1" customWidth="1"/>
    <col min="33" max="33" width="9.28515625" bestFit="1" customWidth="1"/>
    <col min="34" max="34" width="13.5703125" customWidth="1"/>
  </cols>
  <sheetData>
    <row r="1" spans="1:36" ht="15">
      <c r="A1" s="1412"/>
      <c r="B1" s="1368" t="s">
        <v>1001</v>
      </c>
      <c r="C1" s="1237"/>
      <c r="D1" s="1237"/>
      <c r="E1" s="1237"/>
      <c r="F1" s="1237"/>
      <c r="G1" s="1237"/>
      <c r="H1" s="1241">
        <f>H5</f>
        <v>-4548867.0003999993</v>
      </c>
      <c r="I1" s="1241">
        <f t="shared" ref="I1:AG1" si="0">I5</f>
        <v>3276.237970000002</v>
      </c>
      <c r="J1" s="1241">
        <f t="shared" si="0"/>
        <v>0</v>
      </c>
      <c r="K1" s="1241">
        <f t="shared" si="0"/>
        <v>3817.0268199999991</v>
      </c>
      <c r="L1" s="1241">
        <f t="shared" si="0"/>
        <v>-1509716.0371198617</v>
      </c>
      <c r="M1" s="1241">
        <f t="shared" si="0"/>
        <v>111369.77584000025</v>
      </c>
      <c r="N1" s="1241">
        <f t="shared" si="0"/>
        <v>-363343.88071000006</v>
      </c>
      <c r="O1" s="1241">
        <f t="shared" si="0"/>
        <v>254230.89904000051</v>
      </c>
      <c r="P1" s="1241">
        <f t="shared" si="0"/>
        <v>-493160.88259999896</v>
      </c>
      <c r="Q1" s="1241">
        <f t="shared" si="0"/>
        <v>-55</v>
      </c>
      <c r="R1" s="1241">
        <f t="shared" si="0"/>
        <v>2004688.4707419556</v>
      </c>
      <c r="S1" s="1241">
        <f>S5</f>
        <v>-0.38852999988012016</v>
      </c>
      <c r="T1" s="1241">
        <f t="shared" si="0"/>
        <v>-975.05400000000373</v>
      </c>
      <c r="U1" s="1241">
        <f t="shared" si="0"/>
        <v>4665412.2059000004</v>
      </c>
      <c r="V1" s="1241">
        <f t="shared" si="0"/>
        <v>209392.81523504946</v>
      </c>
      <c r="W1" s="1241">
        <f t="shared" si="0"/>
        <v>0</v>
      </c>
      <c r="X1" s="1241">
        <f t="shared" si="0"/>
        <v>0</v>
      </c>
      <c r="Y1" s="1241">
        <f t="shared" si="0"/>
        <v>-0.53000000002793968</v>
      </c>
      <c r="Z1" s="1241">
        <f t="shared" si="0"/>
        <v>1027.4427100000175</v>
      </c>
      <c r="AA1" s="1241">
        <f>AA5</f>
        <v>0</v>
      </c>
      <c r="AB1" s="1241">
        <f t="shared" si="0"/>
        <v>910439.48659884185</v>
      </c>
      <c r="AC1" s="1241">
        <f t="shared" si="0"/>
        <v>-566234.04405999929</v>
      </c>
      <c r="AD1" s="1241">
        <f t="shared" si="0"/>
        <v>0</v>
      </c>
      <c r="AE1" s="1241">
        <f t="shared" si="0"/>
        <v>0</v>
      </c>
      <c r="AF1" s="1241">
        <f t="shared" si="0"/>
        <v>-566109.66187000007</v>
      </c>
      <c r="AG1" s="1241">
        <f t="shared" si="0"/>
        <v>17201.513189999969</v>
      </c>
      <c r="AH1" s="1237"/>
      <c r="AI1" s="1237"/>
      <c r="AJ1" s="1237"/>
    </row>
    <row r="2" spans="1:36" ht="101.25">
      <c r="A2" s="1413" t="s">
        <v>1001</v>
      </c>
      <c r="B2" s="1414">
        <v>-0.6881099995225668</v>
      </c>
      <c r="C2" s="1237"/>
      <c r="D2" s="1237"/>
      <c r="E2" s="1237"/>
      <c r="F2" s="1237"/>
      <c r="G2" s="1237"/>
      <c r="H2" s="1242" t="s">
        <v>1002</v>
      </c>
      <c r="I2" s="1242" t="s">
        <v>1003</v>
      </c>
      <c r="J2" s="1242" t="s">
        <v>1004</v>
      </c>
      <c r="K2" s="1242" t="s">
        <v>1005</v>
      </c>
      <c r="L2" s="1242" t="s">
        <v>1006</v>
      </c>
      <c r="M2" s="1242" t="s">
        <v>1007</v>
      </c>
      <c r="N2" s="1242" t="s">
        <v>1008</v>
      </c>
      <c r="O2" s="1242" t="s">
        <v>1009</v>
      </c>
      <c r="P2" s="1242" t="s">
        <v>1010</v>
      </c>
      <c r="Q2" s="1242" t="s">
        <v>1004</v>
      </c>
      <c r="R2" s="1242" t="s">
        <v>1011</v>
      </c>
      <c r="S2" s="1242" t="s">
        <v>1012</v>
      </c>
      <c r="T2" s="1242" t="s">
        <v>1013</v>
      </c>
      <c r="U2" s="1242" t="s">
        <v>1014</v>
      </c>
      <c r="V2" s="1242" t="s">
        <v>1015</v>
      </c>
      <c r="W2" s="1242"/>
      <c r="X2" s="1242" t="s">
        <v>1016</v>
      </c>
      <c r="Y2" s="1242" t="s">
        <v>1017</v>
      </c>
      <c r="Z2" s="1242" t="s">
        <v>1018</v>
      </c>
      <c r="AA2" s="1242" t="s">
        <v>1019</v>
      </c>
      <c r="AB2" s="1242" t="s">
        <v>1020</v>
      </c>
      <c r="AC2" s="1242" t="s">
        <v>1021</v>
      </c>
      <c r="AD2" s="1242" t="s">
        <v>1022</v>
      </c>
      <c r="AE2" s="1242" t="s">
        <v>1023</v>
      </c>
      <c r="AF2" s="1242" t="s">
        <v>1024</v>
      </c>
      <c r="AG2" s="1242" t="s">
        <v>1025</v>
      </c>
      <c r="AH2" s="1237"/>
      <c r="AI2" s="1237"/>
      <c r="AJ2" s="1237"/>
    </row>
    <row r="3" spans="1:36" ht="15">
      <c r="A3" s="1237"/>
      <c r="B3" s="1240" t="s">
        <v>1026</v>
      </c>
      <c r="C3" s="1237"/>
      <c r="D3" s="1237"/>
      <c r="E3" s="1237"/>
      <c r="F3" s="1243"/>
      <c r="G3" s="1243"/>
      <c r="H3" s="1244">
        <f>'Баланс '!H7</f>
        <v>17504469</v>
      </c>
      <c r="I3" s="1244">
        <f>'Баланс '!H9</f>
        <v>53307</v>
      </c>
      <c r="J3" s="1244">
        <v>0</v>
      </c>
      <c r="K3" s="1244">
        <f>'Баланс '!H11+'Баланс '!H12</f>
        <v>118980.86</v>
      </c>
      <c r="L3" s="1244">
        <f>'Баланс '!H18</f>
        <v>4731612</v>
      </c>
      <c r="M3" s="1244">
        <f>'Баланс '!H19</f>
        <v>1453046</v>
      </c>
      <c r="N3" s="1244">
        <f>'Баланс '!H20</f>
        <v>316802</v>
      </c>
      <c r="O3" s="1244">
        <f>'Баланс '!H21</f>
        <v>2683160</v>
      </c>
      <c r="P3" s="1244">
        <f>'Баланс '!H22</f>
        <v>492979</v>
      </c>
      <c r="Q3" s="1244">
        <f>'Баланс '!H23</f>
        <v>804</v>
      </c>
      <c r="R3" s="1244">
        <f>'Баланс '!H24</f>
        <v>10541082</v>
      </c>
      <c r="S3" s="1244">
        <f>'Баланс '!H25</f>
        <v>1585284</v>
      </c>
      <c r="T3" s="1244">
        <f>-'Баланс '!H32-'Баланс '!H33-'Баланс '!H34</f>
        <v>-1687859.2030521</v>
      </c>
      <c r="U3" s="1244">
        <f>-'Баланс '!H37</f>
        <v>-910632</v>
      </c>
      <c r="V3" s="1244">
        <f>-'Баланс '!H38</f>
        <v>-5979437</v>
      </c>
      <c r="W3" s="1244"/>
      <c r="X3" s="1244">
        <v>0</v>
      </c>
      <c r="Y3" s="1244">
        <f>-'Баланс '!H48</f>
        <v>-1484072</v>
      </c>
      <c r="Z3" s="1244">
        <f>-'Баланс '!H52</f>
        <v>-84519.841659999991</v>
      </c>
      <c r="AA3" s="1244">
        <v>0</v>
      </c>
      <c r="AB3" s="1244">
        <f>-'Баланс '!H56</f>
        <v>-6827349</v>
      </c>
      <c r="AC3" s="1244">
        <f>-'Баланс '!H58-'Баланс '!H45</f>
        <v>-20950771.569020003</v>
      </c>
      <c r="AD3" s="1244"/>
      <c r="AE3" s="1244">
        <v>0</v>
      </c>
      <c r="AF3" s="1244">
        <f>-'Баланс '!H62</f>
        <v>-1146463</v>
      </c>
      <c r="AG3" s="1244">
        <f>-'Баланс '!H64</f>
        <v>-410421</v>
      </c>
      <c r="AH3" s="1243">
        <f>SUM(H3:AG3)</f>
        <v>1.2462678924202919</v>
      </c>
      <c r="AI3" s="1243"/>
      <c r="AJ3" s="1243"/>
    </row>
    <row r="4" spans="1:36" ht="15">
      <c r="A4" s="1237"/>
      <c r="B4" s="1240" t="s">
        <v>1086</v>
      </c>
      <c r="C4" s="1237"/>
      <c r="D4" s="1237"/>
      <c r="E4" s="1237"/>
      <c r="F4" s="1243"/>
      <c r="G4" s="1243"/>
      <c r="H4" s="1244">
        <f>'Баланс '!F7</f>
        <v>22053336.000399999</v>
      </c>
      <c r="I4" s="1244">
        <f>'Баланс '!F9</f>
        <v>50030.762029999998</v>
      </c>
      <c r="J4" s="1244">
        <v>0</v>
      </c>
      <c r="K4" s="1244">
        <f>'Баланс '!F11+'Баланс '!F12</f>
        <v>115163.83318</v>
      </c>
      <c r="L4" s="1244">
        <f>'Баланс '!F18</f>
        <v>6241328.0371198617</v>
      </c>
      <c r="M4" s="1244">
        <f>'Баланс '!F19</f>
        <v>1341676.2241599998</v>
      </c>
      <c r="N4" s="1244">
        <f>'Баланс '!F20</f>
        <v>680145.88071000006</v>
      </c>
      <c r="O4" s="1244">
        <f>'Баланс '!F21</f>
        <v>2428929.1009599995</v>
      </c>
      <c r="P4" s="1244">
        <f>'Баланс '!F22</f>
        <v>986139.88259999896</v>
      </c>
      <c r="Q4" s="1244">
        <f>'Баланс '!F23</f>
        <v>859</v>
      </c>
      <c r="R4" s="1244">
        <f>'Баланс '!F24</f>
        <v>8536393.5292580444</v>
      </c>
      <c r="S4" s="1244">
        <f>'Баланс '!F25</f>
        <v>1585284.3885299999</v>
      </c>
      <c r="T4" s="1244">
        <f>-'Баланс '!F32-'Баланс '!F33-'Баланс '!F34</f>
        <v>-1686884.1490521</v>
      </c>
      <c r="U4" s="1244">
        <f>-'Баланс '!F37</f>
        <v>-5576044.2059000004</v>
      </c>
      <c r="V4" s="1244">
        <f>-'Баланс '!F38</f>
        <v>-6188829.8152350495</v>
      </c>
      <c r="W4" s="1244"/>
      <c r="X4" s="1244">
        <v>0</v>
      </c>
      <c r="Y4" s="1244">
        <f>-'Баланс '!F48</f>
        <v>-1484071.47</v>
      </c>
      <c r="Z4" s="1244">
        <f>-'Баланс '!F52</f>
        <v>-85547.284370000008</v>
      </c>
      <c r="AA4" s="1244">
        <v>0</v>
      </c>
      <c r="AB4" s="1244">
        <f>-'Баланс '!F56</f>
        <v>-7737788.4865988418</v>
      </c>
      <c r="AC4" s="1244">
        <f>-'Баланс '!F58-'Баланс '!F45</f>
        <v>-20384537.524960004</v>
      </c>
      <c r="AD4" s="1244">
        <v>0</v>
      </c>
      <c r="AE4" s="1244"/>
      <c r="AF4" s="1244">
        <f>-'Баланс '!F62</f>
        <v>-422722.22654287098</v>
      </c>
      <c r="AG4" s="1244">
        <f>-'Баланс '!F64</f>
        <v>-452860.85031029204</v>
      </c>
      <c r="AH4" s="1243">
        <f>SUM(H4:AG4)</f>
        <v>0.62597874976927415</v>
      </c>
      <c r="AI4" s="1243"/>
      <c r="AJ4" s="1243"/>
    </row>
    <row r="5" spans="1:36" ht="24">
      <c r="A5" s="1237"/>
      <c r="B5" s="1237"/>
      <c r="C5" s="1246" t="s">
        <v>1027</v>
      </c>
      <c r="D5" s="1313" t="s">
        <v>1028</v>
      </c>
      <c r="E5" s="1246" t="s">
        <v>1029</v>
      </c>
      <c r="F5" s="1243"/>
      <c r="G5" s="1243"/>
      <c r="H5" s="1244">
        <f>H3-H4</f>
        <v>-4548867.0003999993</v>
      </c>
      <c r="I5" s="1244">
        <f>I3-I4</f>
        <v>3276.237970000002</v>
      </c>
      <c r="J5" s="1244">
        <f>J3-J4</f>
        <v>0</v>
      </c>
      <c r="K5" s="1244">
        <f>K3-K4</f>
        <v>3817.0268199999991</v>
      </c>
      <c r="L5" s="1244">
        <f t="shared" ref="L5:N5" si="1">L3-L4</f>
        <v>-1509716.0371198617</v>
      </c>
      <c r="M5" s="1244">
        <f t="shared" si="1"/>
        <v>111369.77584000025</v>
      </c>
      <c r="N5" s="1244">
        <f t="shared" si="1"/>
        <v>-363343.88071000006</v>
      </c>
      <c r="O5" s="1244">
        <f t="shared" ref="O5" si="2">O3-O4</f>
        <v>254230.89904000051</v>
      </c>
      <c r="P5" s="1244">
        <f t="shared" ref="P5" si="3">P3-P4</f>
        <v>-493160.88259999896</v>
      </c>
      <c r="Q5" s="1244">
        <f t="shared" ref="Q5" si="4">Q3-Q4</f>
        <v>-55</v>
      </c>
      <c r="R5" s="1244">
        <f t="shared" ref="R5" si="5">R3-R4</f>
        <v>2004688.4707419556</v>
      </c>
      <c r="S5" s="1244">
        <f t="shared" ref="S5" si="6">S3-S4</f>
        <v>-0.38852999988012016</v>
      </c>
      <c r="T5" s="1244">
        <f t="shared" ref="T5" si="7">T3-T4</f>
        <v>-975.05400000000373</v>
      </c>
      <c r="U5" s="1244">
        <f t="shared" ref="U5" si="8">U3-U4</f>
        <v>4665412.2059000004</v>
      </c>
      <c r="V5" s="1244">
        <f t="shared" ref="V5" si="9">V3-V4</f>
        <v>209392.81523504946</v>
      </c>
      <c r="W5" s="1244">
        <f t="shared" ref="W5" si="10">W3-W4</f>
        <v>0</v>
      </c>
      <c r="X5" s="1244">
        <f t="shared" ref="X5" si="11">X3-X4</f>
        <v>0</v>
      </c>
      <c r="Y5" s="1244">
        <f t="shared" ref="Y5" si="12">Y3-Y4</f>
        <v>-0.53000000002793968</v>
      </c>
      <c r="Z5" s="1244">
        <f t="shared" ref="Z5" si="13">Z3-Z4</f>
        <v>1027.4427100000175</v>
      </c>
      <c r="AA5" s="1244">
        <f t="shared" ref="AA5" si="14">AA3-AA4</f>
        <v>0</v>
      </c>
      <c r="AB5" s="1244">
        <f t="shared" ref="AB5" si="15">AB3-AB4</f>
        <v>910439.48659884185</v>
      </c>
      <c r="AC5" s="1244">
        <f t="shared" ref="AC5" si="16">AC3-AC4</f>
        <v>-566234.04405999929</v>
      </c>
      <c r="AD5" s="1244"/>
      <c r="AE5" s="1244"/>
      <c r="AF5" s="1244">
        <v>-566109.66187000007</v>
      </c>
      <c r="AG5" s="1244">
        <v>17201.513189999969</v>
      </c>
      <c r="AH5" s="1243"/>
      <c r="AI5" s="1243"/>
      <c r="AJ5" s="1243"/>
    </row>
    <row r="6" spans="1:36" ht="15">
      <c r="A6" s="1237"/>
      <c r="B6" s="1237"/>
      <c r="C6" s="1237"/>
      <c r="D6" s="1237"/>
      <c r="E6" s="1237"/>
      <c r="F6" s="1241"/>
      <c r="G6" s="1241"/>
      <c r="H6" s="1342"/>
      <c r="I6" s="1342"/>
      <c r="J6" s="1342"/>
      <c r="K6" s="1342"/>
      <c r="L6" s="1342"/>
      <c r="M6" s="1342"/>
      <c r="N6" s="1342"/>
      <c r="O6" s="1342"/>
      <c r="P6" s="1342"/>
      <c r="Q6" s="1342"/>
      <c r="R6" s="1342"/>
      <c r="S6" s="1342"/>
      <c r="T6" s="1342"/>
      <c r="U6" s="1342"/>
      <c r="V6" s="1342"/>
      <c r="W6" s="1342"/>
      <c r="X6" s="1342"/>
      <c r="Y6" s="1342"/>
      <c r="Z6" s="1342"/>
      <c r="AA6" s="1342"/>
      <c r="AB6" s="1342"/>
      <c r="AC6" s="1342"/>
      <c r="AD6" s="1342"/>
      <c r="AE6" s="1342"/>
      <c r="AF6" s="1342"/>
      <c r="AG6" s="1342"/>
      <c r="AH6" s="1241">
        <f>AH3-AH4</f>
        <v>0.62028914265101776</v>
      </c>
      <c r="AI6" s="1243"/>
      <c r="AJ6" s="1243"/>
    </row>
    <row r="7" spans="1:36" ht="15">
      <c r="A7" s="1237"/>
      <c r="B7" s="1245"/>
      <c r="C7" s="1246"/>
      <c r="D7" s="1313"/>
      <c r="E7" s="1246"/>
      <c r="F7" s="1241"/>
      <c r="G7" s="1241"/>
      <c r="H7" s="1241"/>
      <c r="I7" s="1241"/>
      <c r="J7" s="1241"/>
      <c r="K7" s="1241"/>
      <c r="L7" s="1241"/>
      <c r="M7" s="1241"/>
      <c r="N7" s="1241"/>
      <c r="O7" s="1241"/>
      <c r="P7" s="1241"/>
      <c r="Q7" s="1241"/>
      <c r="R7" s="1241"/>
      <c r="S7" s="1241"/>
      <c r="T7" s="1241"/>
      <c r="U7" s="1241"/>
      <c r="V7" s="1241"/>
      <c r="W7" s="1241"/>
      <c r="X7" s="1241"/>
      <c r="Y7" s="1241"/>
      <c r="Z7" s="1241"/>
      <c r="AA7" s="1241"/>
      <c r="AB7" s="1241"/>
      <c r="AC7" s="1241"/>
      <c r="AD7" s="1241"/>
      <c r="AE7" s="1241"/>
      <c r="AF7" s="1241"/>
      <c r="AG7" s="1241"/>
      <c r="AH7" s="1241"/>
      <c r="AI7" s="1243"/>
      <c r="AJ7" s="1243"/>
    </row>
    <row r="8" spans="1:36" ht="24.75" customHeight="1">
      <c r="A8" s="1237"/>
      <c r="B8" s="1247" t="s">
        <v>278</v>
      </c>
      <c r="C8" s="1248"/>
      <c r="D8" s="1314"/>
      <c r="E8" s="1249"/>
      <c r="F8" s="1241"/>
      <c r="G8" s="1241"/>
      <c r="H8" s="1241"/>
      <c r="I8" s="1241"/>
      <c r="J8" s="1241"/>
      <c r="K8" s="1241"/>
      <c r="L8" s="1241"/>
      <c r="M8" s="1241"/>
      <c r="N8" s="1241"/>
      <c r="O8" s="1241"/>
      <c r="P8" s="1241"/>
      <c r="Q8" s="1241"/>
      <c r="R8" s="1241"/>
      <c r="S8" s="1241"/>
      <c r="T8" s="1241"/>
      <c r="U8" s="1241"/>
      <c r="V8" s="1241"/>
      <c r="W8" s="1241"/>
      <c r="X8" s="1241"/>
      <c r="Y8" s="1241"/>
      <c r="Z8" s="1241"/>
      <c r="AA8" s="1241"/>
      <c r="AB8" s="1241"/>
      <c r="AC8" s="1241"/>
      <c r="AD8" s="1241"/>
      <c r="AE8" s="1241"/>
      <c r="AF8" s="1241"/>
      <c r="AG8" s="1241"/>
      <c r="AH8" s="1241"/>
      <c r="AI8" s="1243"/>
      <c r="AJ8" s="1243"/>
    </row>
    <row r="9" spans="1:36" ht="24.75" customHeight="1">
      <c r="A9" s="1239">
        <v>0.31700999988242984</v>
      </c>
      <c r="B9" s="1250" t="s">
        <v>1030</v>
      </c>
      <c r="C9" s="1251"/>
      <c r="D9" s="1252">
        <v>2401437</v>
      </c>
      <c r="E9" s="1252">
        <v>1520760</v>
      </c>
      <c r="F9" s="1241"/>
      <c r="G9" s="1241"/>
      <c r="H9" s="1237"/>
      <c r="I9" s="1241"/>
      <c r="J9" s="1241"/>
      <c r="K9" s="1241"/>
      <c r="L9" s="1241"/>
      <c r="M9" s="1241"/>
      <c r="N9" s="1241"/>
      <c r="O9" s="1241"/>
      <c r="P9" s="1241"/>
      <c r="Q9" s="1241"/>
      <c r="R9" s="1241"/>
      <c r="S9" s="1241"/>
      <c r="T9" s="1241"/>
      <c r="U9" s="1241"/>
      <c r="V9" s="1241">
        <v>1877015</v>
      </c>
      <c r="W9" s="1241"/>
      <c r="X9" s="1241"/>
      <c r="Y9" s="1241">
        <v>130104</v>
      </c>
      <c r="Z9" s="1241"/>
      <c r="AA9" s="1241"/>
      <c r="AB9" s="1241"/>
      <c r="AC9" s="1241"/>
      <c r="AD9" s="1241"/>
      <c r="AE9" s="1241"/>
      <c r="AF9" s="1241">
        <v>394318.31701</v>
      </c>
      <c r="AG9" s="1241"/>
      <c r="AH9" s="1241"/>
      <c r="AI9" s="1243"/>
      <c r="AJ9" s="1243"/>
    </row>
    <row r="10" spans="1:36" ht="14.25" customHeight="1">
      <c r="A10" s="1237"/>
      <c r="B10" s="1253" t="s">
        <v>1031</v>
      </c>
      <c r="C10" s="1254"/>
      <c r="D10" s="1255"/>
      <c r="E10" s="1255"/>
      <c r="F10" s="1241"/>
      <c r="G10" s="1241"/>
      <c r="H10" s="1241"/>
      <c r="I10" s="1241"/>
      <c r="J10" s="1241"/>
      <c r="K10" s="1241"/>
      <c r="L10" s="1241"/>
      <c r="M10" s="1241"/>
      <c r="N10" s="1241"/>
      <c r="O10" s="1241"/>
      <c r="P10" s="1241"/>
      <c r="Q10" s="1241"/>
      <c r="R10" s="1241"/>
      <c r="S10" s="1241"/>
      <c r="T10" s="1241"/>
      <c r="U10" s="1241"/>
      <c r="V10" s="1241"/>
      <c r="W10" s="1241"/>
      <c r="X10" s="1241"/>
      <c r="Y10" s="1241"/>
      <c r="Z10" s="1241"/>
      <c r="AA10" s="1241"/>
      <c r="AB10" s="1241"/>
      <c r="AC10" s="1241"/>
      <c r="AD10" s="1241"/>
      <c r="AE10" s="1241"/>
      <c r="AF10" s="1241"/>
      <c r="AG10" s="1241"/>
      <c r="AH10" s="1241"/>
      <c r="AI10" s="1243"/>
      <c r="AJ10" s="1243"/>
    </row>
    <row r="11" spans="1:36" ht="16.5" customHeight="1">
      <c r="A11" s="1239">
        <v>-0.39360666694119573</v>
      </c>
      <c r="B11" s="1253" t="s">
        <v>1032</v>
      </c>
      <c r="C11" s="1256" t="s">
        <v>1033</v>
      </c>
      <c r="D11" s="1255" t="e">
        <f>SUM(H11:AG11)</f>
        <v>#REF!</v>
      </c>
      <c r="E11" s="1255">
        <v>1544415</v>
      </c>
      <c r="F11" s="1241"/>
      <c r="G11" s="1241"/>
      <c r="H11" s="1241" t="e">
        <f>'Баланс '!#REF!</f>
        <v>#REF!</v>
      </c>
      <c r="I11" s="1241"/>
      <c r="J11" s="1241"/>
      <c r="K11" s="1241">
        <v>32675</v>
      </c>
      <c r="L11" s="1241"/>
      <c r="M11" s="1241"/>
      <c r="N11" s="1241"/>
      <c r="O11" s="1241"/>
      <c r="P11" s="1241"/>
      <c r="Q11" s="1241"/>
      <c r="R11" s="1241"/>
      <c r="S11" s="1241"/>
      <c r="T11" s="1241"/>
      <c r="U11" s="1241"/>
      <c r="V11" s="1241"/>
      <c r="W11" s="1241"/>
      <c r="X11" s="1241"/>
      <c r="Y11" s="1241"/>
      <c r="Z11" s="1241"/>
      <c r="AA11" s="1241"/>
      <c r="AB11" s="1241"/>
      <c r="AC11" s="1241"/>
      <c r="AD11" s="1241"/>
      <c r="AE11" s="1241"/>
      <c r="AF11" s="1241"/>
      <c r="AG11" s="1241"/>
      <c r="AH11" s="1241"/>
      <c r="AI11" s="1243"/>
      <c r="AJ11" s="1243"/>
    </row>
    <row r="12" spans="1:36" ht="18" customHeight="1">
      <c r="A12" s="1239">
        <v>-0.35315999994054437</v>
      </c>
      <c r="B12" s="1253" t="s">
        <v>1034</v>
      </c>
      <c r="C12" s="1256">
        <v>9</v>
      </c>
      <c r="D12" s="1255">
        <f>SUM(H12:AG12)</f>
        <v>1195908.6468400001</v>
      </c>
      <c r="E12" s="1255">
        <v>936024</v>
      </c>
      <c r="F12" s="1241"/>
      <c r="G12" s="1241"/>
      <c r="H12" s="1241"/>
      <c r="I12" s="1241"/>
      <c r="J12" s="1241"/>
      <c r="K12" s="1241"/>
      <c r="L12" s="1241"/>
      <c r="M12" s="1241"/>
      <c r="N12" s="1241"/>
      <c r="O12" s="1241"/>
      <c r="P12" s="1241"/>
      <c r="Q12" s="1241"/>
      <c r="R12" s="1241"/>
      <c r="S12" s="1241"/>
      <c r="T12" s="1241"/>
      <c r="U12" s="1241"/>
      <c r="V12" s="1241"/>
      <c r="W12" s="1241"/>
      <c r="X12" s="1241"/>
      <c r="Y12" s="1241"/>
      <c r="Z12" s="1241"/>
      <c r="AA12" s="1241"/>
      <c r="AB12" s="1241"/>
      <c r="AC12" s="1241">
        <v>1195908.6468400001</v>
      </c>
      <c r="AD12" s="1241"/>
      <c r="AE12" s="1241"/>
      <c r="AF12" s="1241"/>
      <c r="AG12" s="1241"/>
      <c r="AH12" s="1241"/>
      <c r="AI12" s="1243"/>
      <c r="AJ12" s="1243"/>
    </row>
    <row r="13" spans="1:36" ht="12.75" customHeight="1">
      <c r="A13" s="1239">
        <v>-0.17179000028409064</v>
      </c>
      <c r="B13" s="1253" t="s">
        <v>1035</v>
      </c>
      <c r="C13" s="1254"/>
      <c r="D13" s="1255">
        <f t="shared" ref="D13:D17" si="17">SUM(H13:AG13)</f>
        <v>-573515.17179000028</v>
      </c>
      <c r="E13" s="1255">
        <v>1197175</v>
      </c>
      <c r="F13" s="1241"/>
      <c r="G13" s="1241"/>
      <c r="H13" s="1241"/>
      <c r="I13" s="1241">
        <v>-90776.35579999999</v>
      </c>
      <c r="J13" s="1241"/>
      <c r="K13" s="1241"/>
      <c r="L13" s="1241"/>
      <c r="M13" s="1241">
        <v>-1052592.6085099999</v>
      </c>
      <c r="N13" s="1241"/>
      <c r="O13" s="1241">
        <v>-495963.46136000002</v>
      </c>
      <c r="P13" s="1241">
        <v>-361419.71341000003</v>
      </c>
      <c r="Q13" s="1241"/>
      <c r="R13" s="1241">
        <v>-3307235.9396199998</v>
      </c>
      <c r="S13" s="1241"/>
      <c r="T13" s="1241"/>
      <c r="U13" s="1241"/>
      <c r="V13" s="1241"/>
      <c r="W13" s="1241"/>
      <c r="X13" s="1241"/>
      <c r="Y13" s="1241"/>
      <c r="Z13" s="1241"/>
      <c r="AA13" s="1241"/>
      <c r="AB13" s="1407">
        <v>2291575.4608800001</v>
      </c>
      <c r="AC13" s="1241">
        <v>2442089.73716</v>
      </c>
      <c r="AD13" s="1241">
        <v>-11914.99008</v>
      </c>
      <c r="AE13" s="1241"/>
      <c r="AF13" s="1241"/>
      <c r="AG13" s="1241">
        <v>12722.69895</v>
      </c>
      <c r="AH13" s="1241"/>
      <c r="AI13" s="1243"/>
      <c r="AJ13" s="1243"/>
    </row>
    <row r="14" spans="1:36" ht="32.25" customHeight="1">
      <c r="A14" s="1239">
        <v>0.23007000000507105</v>
      </c>
      <c r="B14" s="1253" t="s">
        <v>1036</v>
      </c>
      <c r="C14" s="1256"/>
      <c r="D14" s="1255">
        <f t="shared" si="17"/>
        <v>-13329.769929999995</v>
      </c>
      <c r="E14" s="1255">
        <v>-17535</v>
      </c>
      <c r="F14" s="1241"/>
      <c r="G14" s="1241"/>
      <c r="H14" s="1241">
        <v>53295.349270000006</v>
      </c>
      <c r="I14" s="1241"/>
      <c r="J14" s="1241"/>
      <c r="K14" s="1241"/>
      <c r="L14" s="1241"/>
      <c r="M14" s="1241">
        <v>-66625.119200000001</v>
      </c>
      <c r="N14" s="1241"/>
      <c r="O14" s="1241"/>
      <c r="P14" s="1241"/>
      <c r="Q14" s="1241"/>
      <c r="R14" s="1241"/>
      <c r="S14" s="1241"/>
      <c r="T14" s="1241"/>
      <c r="U14" s="1241"/>
      <c r="V14" s="1241"/>
      <c r="W14" s="1241"/>
      <c r="X14" s="1241"/>
      <c r="Y14" s="1241"/>
      <c r="Z14" s="1241"/>
      <c r="AA14" s="1241"/>
      <c r="AB14" s="1241"/>
      <c r="AC14" s="1241"/>
      <c r="AD14" s="1241"/>
      <c r="AE14" s="1241"/>
      <c r="AF14" s="1241"/>
      <c r="AG14" s="1241"/>
      <c r="AH14" s="1241"/>
      <c r="AI14" s="1243"/>
      <c r="AJ14" s="1243"/>
    </row>
    <row r="15" spans="1:36" ht="24.75" customHeight="1">
      <c r="A15" s="1239">
        <v>0</v>
      </c>
      <c r="B15" s="1253" t="s">
        <v>1037</v>
      </c>
      <c r="C15" s="1256">
        <v>19</v>
      </c>
      <c r="D15" s="1255">
        <f t="shared" si="17"/>
        <v>0</v>
      </c>
      <c r="E15" s="1255">
        <v>0</v>
      </c>
      <c r="F15" s="1241"/>
      <c r="G15" s="1241"/>
      <c r="H15" s="1241"/>
      <c r="I15" s="1241"/>
      <c r="J15" s="1241"/>
      <c r="K15" s="1241"/>
      <c r="L15" s="1241"/>
      <c r="M15" s="1241"/>
      <c r="N15" s="1241"/>
      <c r="O15" s="1241"/>
      <c r="P15" s="1241"/>
      <c r="Q15" s="1241"/>
      <c r="R15" s="1241"/>
      <c r="S15" s="1241"/>
      <c r="T15" s="1241"/>
      <c r="U15" s="1241"/>
      <c r="V15" s="1241"/>
      <c r="W15" s="1241"/>
      <c r="X15" s="1241"/>
      <c r="Y15" s="1241"/>
      <c r="Z15" s="1241"/>
      <c r="AA15" s="1241"/>
      <c r="AB15" s="1241"/>
      <c r="AC15" s="1241"/>
      <c r="AD15" s="1241"/>
      <c r="AE15" s="1241"/>
      <c r="AF15" s="1241"/>
      <c r="AG15" s="1241"/>
      <c r="AH15" s="1241"/>
      <c r="AI15" s="1243"/>
      <c r="AJ15" s="1243"/>
    </row>
    <row r="16" spans="1:36" ht="26.25" customHeight="1">
      <c r="A16" s="1239">
        <v>-8.6439999984577298E-2</v>
      </c>
      <c r="B16" s="1253" t="s">
        <v>279</v>
      </c>
      <c r="C16" s="1256">
        <v>7</v>
      </c>
      <c r="D16" s="1255">
        <f t="shared" si="17"/>
        <v>-321599.08643999998</v>
      </c>
      <c r="E16" s="1255">
        <v>-665152</v>
      </c>
      <c r="F16" s="1241"/>
      <c r="G16" s="1241"/>
      <c r="H16" s="1241"/>
      <c r="I16" s="1241"/>
      <c r="J16" s="1241"/>
      <c r="K16" s="1241"/>
      <c r="L16" s="1241"/>
      <c r="M16" s="1241"/>
      <c r="N16" s="1241"/>
      <c r="O16" s="1241"/>
      <c r="P16" s="1241"/>
      <c r="Q16" s="1241"/>
      <c r="R16" s="1241"/>
      <c r="S16" s="1241"/>
      <c r="T16" s="1241"/>
      <c r="U16" s="1241"/>
      <c r="V16" s="1241"/>
      <c r="W16" s="1241"/>
      <c r="X16" s="1241"/>
      <c r="Y16" s="1241"/>
      <c r="Z16" s="1241"/>
      <c r="AA16" s="1241"/>
      <c r="AB16" s="1241">
        <v>-321599.08643999998</v>
      </c>
      <c r="AC16" s="1241"/>
      <c r="AD16" s="1241"/>
      <c r="AE16" s="1241"/>
      <c r="AF16" s="1241"/>
      <c r="AG16" s="1241"/>
      <c r="AH16" s="1241"/>
      <c r="AI16" s="1243"/>
      <c r="AJ16" s="1243"/>
    </row>
    <row r="17" spans="1:36" ht="18.75" customHeight="1">
      <c r="A17" s="1239">
        <v>0</v>
      </c>
      <c r="B17" s="1253" t="s">
        <v>1038</v>
      </c>
      <c r="C17" s="1256">
        <v>10</v>
      </c>
      <c r="D17" s="1255">
        <f t="shared" si="17"/>
        <v>-161322</v>
      </c>
      <c r="E17" s="1255">
        <v>-175974</v>
      </c>
      <c r="F17" s="1241"/>
      <c r="G17" s="1241"/>
      <c r="H17" s="1241"/>
      <c r="I17" s="1241"/>
      <c r="J17" s="1241"/>
      <c r="K17" s="1241"/>
      <c r="L17" s="1241"/>
      <c r="M17" s="1241"/>
      <c r="N17" s="1241"/>
      <c r="O17" s="1241">
        <v>-161322</v>
      </c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3"/>
      <c r="AJ17" s="1243"/>
    </row>
    <row r="18" spans="1:36" ht="26.25" customHeight="1">
      <c r="A18" s="1239">
        <v>0</v>
      </c>
      <c r="B18" s="1253" t="s">
        <v>1039</v>
      </c>
      <c r="C18" s="1256" t="s">
        <v>1040</v>
      </c>
      <c r="D18" s="1255">
        <f>SUM(H18:AG18)</f>
        <v>198510</v>
      </c>
      <c r="E18" s="1255">
        <v>193274</v>
      </c>
      <c r="F18" s="1241"/>
      <c r="G18" s="1241"/>
      <c r="H18" s="1241"/>
      <c r="I18" s="1241"/>
      <c r="J18" s="1241"/>
      <c r="K18" s="1241"/>
      <c r="L18" s="1241">
        <v>198510</v>
      </c>
      <c r="M18" s="1241"/>
      <c r="N18" s="1241"/>
      <c r="O18" s="1241"/>
      <c r="P18" s="1241"/>
      <c r="Q18" s="1241"/>
      <c r="R18" s="1241"/>
      <c r="S18" s="1241"/>
      <c r="T18" s="1241"/>
      <c r="U18" s="1241"/>
      <c r="V18" s="1241"/>
      <c r="W18" s="1241"/>
      <c r="X18" s="1241"/>
      <c r="Y18" s="1241"/>
      <c r="Z18" s="1241"/>
      <c r="AA18" s="1241"/>
      <c r="AB18" s="1241"/>
      <c r="AC18" s="1241"/>
      <c r="AD18" s="1241"/>
      <c r="AE18" s="1241"/>
      <c r="AF18" s="1241"/>
      <c r="AG18" s="1241"/>
      <c r="AH18" s="1241"/>
      <c r="AI18" s="1243"/>
      <c r="AJ18" s="1243"/>
    </row>
    <row r="19" spans="1:36" ht="36.75" customHeight="1">
      <c r="A19" s="1239">
        <v>0</v>
      </c>
      <c r="B19" s="1253" t="s">
        <v>1041</v>
      </c>
      <c r="C19" s="1256">
        <v>8</v>
      </c>
      <c r="D19" s="1255">
        <f>SUM(H19:AG19)</f>
        <v>0</v>
      </c>
      <c r="E19" s="1255">
        <v>2214</v>
      </c>
      <c r="F19" s="1241"/>
      <c r="G19" s="1241"/>
      <c r="H19" s="1241"/>
      <c r="I19" s="1241"/>
      <c r="J19" s="1241"/>
      <c r="K19" s="1241"/>
      <c r="L19" s="1241"/>
      <c r="M19" s="1241"/>
      <c r="N19" s="1241"/>
      <c r="O19" s="1241"/>
      <c r="P19" s="1241"/>
      <c r="Q19" s="1241"/>
      <c r="R19" s="1241"/>
      <c r="S19" s="1241"/>
      <c r="T19" s="1241"/>
      <c r="U19" s="1241"/>
      <c r="V19" s="1241"/>
      <c r="W19" s="1241"/>
      <c r="X19" s="1241"/>
      <c r="Y19" s="1241"/>
      <c r="Z19" s="1241"/>
      <c r="AA19" s="1241"/>
      <c r="AB19" s="1241"/>
      <c r="AC19" s="1241"/>
      <c r="AD19" s="1241"/>
      <c r="AE19" s="1241"/>
      <c r="AF19" s="1241"/>
      <c r="AG19" s="1241"/>
      <c r="AH19" s="1241"/>
      <c r="AI19" s="1243"/>
      <c r="AJ19" s="1243"/>
    </row>
    <row r="20" spans="1:36" ht="43.5" customHeight="1">
      <c r="A20" s="1239">
        <v>0</v>
      </c>
      <c r="B20" s="1253" t="s">
        <v>1042</v>
      </c>
      <c r="C20" s="1256">
        <v>8</v>
      </c>
      <c r="D20" s="1255">
        <f>SUM(H20:AG20)</f>
        <v>20437</v>
      </c>
      <c r="E20" s="1255">
        <v>9078</v>
      </c>
      <c r="F20" s="1241"/>
      <c r="G20" s="1241"/>
      <c r="H20" s="1241"/>
      <c r="I20" s="1241"/>
      <c r="J20" s="1241"/>
      <c r="K20" s="1241"/>
      <c r="L20" s="1241">
        <v>20437</v>
      </c>
      <c r="M20" s="1241"/>
      <c r="N20" s="1241"/>
      <c r="O20" s="1241"/>
      <c r="P20" s="1241"/>
      <c r="Q20" s="1241"/>
      <c r="R20" s="1241"/>
      <c r="S20" s="1241"/>
      <c r="T20" s="1241"/>
      <c r="U20" s="1241"/>
      <c r="V20" s="1241"/>
      <c r="W20" s="1241"/>
      <c r="X20" s="1241"/>
      <c r="Y20" s="1241"/>
      <c r="Z20" s="1241"/>
      <c r="AA20" s="1241"/>
      <c r="AB20" s="1241"/>
      <c r="AC20" s="1241"/>
      <c r="AD20" s="1241"/>
      <c r="AE20" s="1241"/>
      <c r="AF20" s="1241"/>
      <c r="AG20" s="1241"/>
      <c r="AH20" s="1241"/>
      <c r="AI20" s="1243"/>
      <c r="AJ20" s="1243"/>
    </row>
    <row r="21" spans="1:36" ht="24.75">
      <c r="A21" s="1239">
        <v>0</v>
      </c>
      <c r="B21" s="1253" t="s">
        <v>1043</v>
      </c>
      <c r="C21" s="1256"/>
      <c r="D21" s="1255">
        <f t="shared" ref="D21:D22" si="18">SUM(H21:AG21)</f>
        <v>53604.311890000012</v>
      </c>
      <c r="E21" s="1255">
        <v>8846</v>
      </c>
      <c r="F21" s="1241"/>
      <c r="G21" s="1241"/>
      <c r="H21" s="1241"/>
      <c r="I21" s="1241"/>
      <c r="J21" s="1241"/>
      <c r="K21" s="1241"/>
      <c r="L21" s="1241"/>
      <c r="M21" s="1241"/>
      <c r="N21" s="1241"/>
      <c r="O21" s="1241"/>
      <c r="P21" s="1241"/>
      <c r="Q21" s="1241"/>
      <c r="R21" s="1241"/>
      <c r="S21" s="1241"/>
      <c r="T21" s="1241"/>
      <c r="U21" s="1241"/>
      <c r="V21" s="1241"/>
      <c r="W21" s="1241"/>
      <c r="X21" s="1241"/>
      <c r="Y21" s="1241"/>
      <c r="Z21" s="1241"/>
      <c r="AA21" s="1241"/>
      <c r="AB21" s="1241"/>
      <c r="AC21" s="1241"/>
      <c r="AD21" s="1241"/>
      <c r="AE21" s="1241"/>
      <c r="AF21" s="1241"/>
      <c r="AG21" s="1241">
        <v>53604.311890000012</v>
      </c>
      <c r="AH21" s="1241"/>
      <c r="AI21" s="1243"/>
      <c r="AJ21" s="1243"/>
    </row>
    <row r="22" spans="1:36" ht="29.25" customHeight="1">
      <c r="A22" s="1239">
        <v>0</v>
      </c>
      <c r="B22" s="1253" t="s">
        <v>1044</v>
      </c>
      <c r="C22" s="1256">
        <v>8</v>
      </c>
      <c r="D22" s="1255">
        <f t="shared" si="18"/>
        <v>18294</v>
      </c>
      <c r="E22" s="1255">
        <v>47033</v>
      </c>
      <c r="F22" s="1241"/>
      <c r="G22" s="1241"/>
      <c r="H22" s="1241"/>
      <c r="I22" s="1241"/>
      <c r="J22" s="1241"/>
      <c r="K22" s="1241"/>
      <c r="L22" s="1241"/>
      <c r="M22" s="1241">
        <v>18294</v>
      </c>
      <c r="N22" s="1241"/>
      <c r="O22" s="1241"/>
      <c r="P22" s="1241"/>
      <c r="Q22" s="1241"/>
      <c r="R22" s="1241"/>
      <c r="S22" s="1241"/>
      <c r="T22" s="1241"/>
      <c r="U22" s="1241"/>
      <c r="V22" s="1241"/>
      <c r="W22" s="1241"/>
      <c r="X22" s="1241"/>
      <c r="Y22" s="1241"/>
      <c r="Z22" s="1241"/>
      <c r="AA22" s="1241"/>
      <c r="AB22" s="1241"/>
      <c r="AC22" s="1241"/>
      <c r="AD22" s="1241"/>
      <c r="AE22" s="1241"/>
      <c r="AF22" s="1241"/>
      <c r="AG22" s="1241"/>
      <c r="AH22" s="1241"/>
      <c r="AI22" s="1243"/>
      <c r="AJ22" s="1243"/>
    </row>
    <row r="23" spans="1:36" ht="24" customHeight="1">
      <c r="A23" s="1239">
        <v>0</v>
      </c>
      <c r="B23" s="1253" t="s">
        <v>1045</v>
      </c>
      <c r="C23" s="1256"/>
      <c r="D23" s="1255"/>
      <c r="E23" s="1255"/>
      <c r="F23" s="1241"/>
      <c r="G23" s="1241"/>
      <c r="H23" s="1241"/>
      <c r="I23" s="1241"/>
      <c r="J23" s="1241"/>
      <c r="K23" s="1241"/>
      <c r="L23" s="1241"/>
      <c r="M23" s="1241"/>
      <c r="N23" s="1241"/>
      <c r="O23" s="1241"/>
      <c r="P23" s="1241"/>
      <c r="Q23" s="1241"/>
      <c r="R23" s="1241"/>
      <c r="S23" s="1241"/>
      <c r="T23" s="1241"/>
      <c r="U23" s="1241">
        <v>-213484.75357</v>
      </c>
      <c r="V23" s="1241">
        <v>213484.75357</v>
      </c>
      <c r="W23" s="1241"/>
      <c r="X23" s="1241"/>
      <c r="Y23" s="1241"/>
      <c r="Z23" s="1241"/>
      <c r="AA23" s="1241"/>
      <c r="AB23" s="1241"/>
      <c r="AC23" s="1241"/>
      <c r="AD23" s="1241"/>
      <c r="AE23" s="1241"/>
      <c r="AF23" s="1241"/>
      <c r="AG23" s="1241"/>
      <c r="AH23" s="1241"/>
      <c r="AI23" s="1243"/>
      <c r="AJ23" s="1243"/>
    </row>
    <row r="24" spans="1:36" ht="23.25" customHeight="1">
      <c r="A24" s="1239">
        <v>0</v>
      </c>
      <c r="B24" s="1257" t="s">
        <v>1046</v>
      </c>
      <c r="C24" s="1258"/>
      <c r="D24" s="1255"/>
      <c r="E24" s="1255"/>
      <c r="F24" s="1241"/>
      <c r="G24" s="1241"/>
      <c r="H24" s="1241"/>
      <c r="I24" s="1241"/>
      <c r="J24" s="1241"/>
      <c r="K24" s="1241"/>
      <c r="L24" s="1241"/>
      <c r="M24" s="1241"/>
      <c r="N24" s="1241"/>
      <c r="O24" s="1241"/>
      <c r="P24" s="1241"/>
      <c r="Q24" s="1241"/>
      <c r="R24" s="1241"/>
      <c r="S24" s="1241"/>
      <c r="T24" s="1241"/>
      <c r="U24" s="1241"/>
      <c r="V24" s="1241"/>
      <c r="W24" s="1241"/>
      <c r="X24" s="1241"/>
      <c r="Y24" s="1241"/>
      <c r="Z24" s="1241"/>
      <c r="AA24" s="1241"/>
      <c r="AB24" s="1241"/>
      <c r="AC24" s="1241"/>
      <c r="AD24" s="1241"/>
      <c r="AE24" s="1241"/>
      <c r="AF24" s="1241"/>
      <c r="AG24" s="1241"/>
      <c r="AH24" s="1241"/>
      <c r="AI24" s="1243"/>
      <c r="AJ24" s="1243"/>
    </row>
    <row r="25" spans="1:36" ht="15">
      <c r="A25" s="1239">
        <v>0</v>
      </c>
      <c r="B25" s="1341" t="s">
        <v>1047</v>
      </c>
      <c r="C25" s="1256"/>
      <c r="D25" s="1255"/>
      <c r="E25" s="1255"/>
      <c r="F25" s="1241"/>
      <c r="G25" s="1241"/>
      <c r="H25" s="1241"/>
      <c r="I25" s="1241"/>
      <c r="J25" s="1241"/>
      <c r="K25" s="1241"/>
      <c r="L25" s="1241"/>
      <c r="M25" s="1241"/>
      <c r="N25" s="1241"/>
      <c r="O25" s="1241"/>
      <c r="P25" s="1241"/>
      <c r="Q25" s="1241"/>
      <c r="R25" s="1241"/>
      <c r="S25" s="1241"/>
      <c r="T25" s="1241"/>
      <c r="U25" s="1241"/>
      <c r="V25" s="1241"/>
      <c r="W25" s="1241"/>
      <c r="X25" s="1241"/>
      <c r="Y25" s="1241"/>
      <c r="Z25" s="1241"/>
      <c r="AA25" s="1241"/>
      <c r="AB25" s="1241"/>
      <c r="AC25" s="1241"/>
      <c r="AD25" s="1241"/>
      <c r="AE25" s="1241"/>
      <c r="AF25" s="1241"/>
      <c r="AG25" s="1241"/>
      <c r="AH25" s="1241"/>
      <c r="AI25" s="1243"/>
      <c r="AJ25" s="1243"/>
    </row>
    <row r="26" spans="1:36" ht="15">
      <c r="A26" s="1237"/>
      <c r="B26" s="1259"/>
      <c r="C26" s="1256"/>
      <c r="D26" s="1255"/>
      <c r="E26" s="1255"/>
      <c r="F26" s="1241"/>
      <c r="G26" s="1241"/>
      <c r="H26" s="1241"/>
      <c r="I26" s="1241"/>
      <c r="J26" s="1241"/>
      <c r="K26" s="1241"/>
      <c r="L26" s="1241"/>
      <c r="M26" s="1241"/>
      <c r="N26" s="1241"/>
      <c r="O26" s="1241"/>
      <c r="P26" s="1241"/>
      <c r="Q26" s="1241"/>
      <c r="R26" s="1241"/>
      <c r="S26" s="1241"/>
      <c r="T26" s="1241"/>
      <c r="U26" s="1241"/>
      <c r="V26" s="1241"/>
      <c r="W26" s="1241"/>
      <c r="X26" s="1241"/>
      <c r="Y26" s="1241"/>
      <c r="Z26" s="1241"/>
      <c r="AA26" s="1241"/>
      <c r="AB26" s="1241"/>
      <c r="AC26" s="1241"/>
      <c r="AD26" s="1241"/>
      <c r="AE26" s="1241"/>
      <c r="AF26" s="1241"/>
      <c r="AG26" s="1241"/>
      <c r="AH26" s="1241"/>
      <c r="AI26" s="1243"/>
      <c r="AJ26" s="1243"/>
    </row>
    <row r="27" spans="1:36" ht="15">
      <c r="A27" s="1237"/>
      <c r="B27" s="1259"/>
      <c r="C27" s="1256"/>
      <c r="D27" s="1255"/>
      <c r="E27" s="1255"/>
      <c r="F27" s="1241"/>
      <c r="G27" s="1241"/>
      <c r="H27" s="1241"/>
      <c r="I27" s="1241"/>
      <c r="J27" s="1241"/>
      <c r="K27" s="1241"/>
      <c r="L27" s="1241"/>
      <c r="M27" s="1241"/>
      <c r="N27" s="1241"/>
      <c r="O27" s="1241"/>
      <c r="P27" s="1241"/>
      <c r="Q27" s="1241"/>
      <c r="R27" s="1241"/>
      <c r="S27" s="1241"/>
      <c r="T27" s="1241"/>
      <c r="U27" s="1241"/>
      <c r="V27" s="1241"/>
      <c r="W27" s="1241"/>
      <c r="X27" s="1241"/>
      <c r="Y27" s="1241"/>
      <c r="Z27" s="1241"/>
      <c r="AA27" s="1241"/>
      <c r="AB27" s="1241"/>
      <c r="AC27" s="1241"/>
      <c r="AD27" s="1241"/>
      <c r="AE27" s="1241"/>
      <c r="AF27" s="1241"/>
      <c r="AG27" s="1241"/>
      <c r="AH27" s="1241"/>
      <c r="AI27" s="1243"/>
      <c r="AJ27" s="1243"/>
    </row>
    <row r="28" spans="1:36" ht="15">
      <c r="A28" s="1237"/>
      <c r="B28" s="1253"/>
      <c r="C28" s="1256"/>
      <c r="D28" s="1255"/>
      <c r="E28" s="1255"/>
      <c r="F28" s="1241"/>
      <c r="G28" s="1241"/>
      <c r="H28" s="1241"/>
      <c r="I28" s="1241"/>
      <c r="J28" s="1241"/>
      <c r="K28" s="1241"/>
      <c r="L28" s="1241"/>
      <c r="M28" s="1241"/>
      <c r="N28" s="1241"/>
      <c r="O28" s="1241"/>
      <c r="P28" s="1241"/>
      <c r="Q28" s="1241"/>
      <c r="R28" s="1241"/>
      <c r="S28" s="1241"/>
      <c r="T28" s="1241"/>
      <c r="U28" s="1241"/>
      <c r="V28" s="1241"/>
      <c r="W28" s="1241"/>
      <c r="X28" s="1241"/>
      <c r="Y28" s="1241"/>
      <c r="Z28" s="1241"/>
      <c r="AA28" s="1241"/>
      <c r="AB28" s="1241"/>
      <c r="AC28" s="1241"/>
      <c r="AD28" s="1241"/>
      <c r="AE28" s="1241"/>
      <c r="AF28" s="1241"/>
      <c r="AG28" s="1241"/>
      <c r="AH28" s="1241"/>
      <c r="AI28" s="1243"/>
      <c r="AJ28" s="1243"/>
    </row>
    <row r="29" spans="1:36" ht="37.5" customHeight="1">
      <c r="A29" s="1237"/>
      <c r="B29" s="1250" t="s">
        <v>1048</v>
      </c>
      <c r="C29" s="1258"/>
      <c r="D29" s="1252">
        <v>4288815.3118900005</v>
      </c>
      <c r="E29" s="1252">
        <v>4600158</v>
      </c>
      <c r="F29" s="1241"/>
      <c r="G29" s="1241"/>
      <c r="H29" s="1241"/>
      <c r="I29" s="1241"/>
      <c r="J29" s="1241"/>
      <c r="K29" s="1241"/>
      <c r="L29" s="1241"/>
      <c r="M29" s="1241"/>
      <c r="N29" s="1241"/>
      <c r="O29" s="1241"/>
      <c r="P29" s="1241"/>
      <c r="Q29" s="1241"/>
      <c r="R29" s="1241"/>
      <c r="S29" s="1241"/>
      <c r="T29" s="1241"/>
      <c r="U29" s="1241"/>
      <c r="V29" s="1241"/>
      <c r="W29" s="1241"/>
      <c r="X29" s="1241"/>
      <c r="Y29" s="1241"/>
      <c r="Z29" s="1241"/>
      <c r="AA29" s="1241"/>
      <c r="AB29" s="1241"/>
      <c r="AC29" s="1241"/>
      <c r="AD29" s="1241"/>
      <c r="AE29" s="1241"/>
      <c r="AF29" s="1241"/>
      <c r="AG29" s="1241"/>
      <c r="AH29" s="1241"/>
      <c r="AI29" s="1243"/>
      <c r="AJ29" s="1243"/>
    </row>
    <row r="30" spans="1:36" ht="15">
      <c r="A30" s="1237"/>
      <c r="B30" s="1257"/>
      <c r="C30" s="1256"/>
      <c r="D30" s="1255"/>
      <c r="E30" s="1255"/>
      <c r="F30" s="1241"/>
      <c r="G30" s="1241"/>
      <c r="H30" s="1241"/>
      <c r="I30" s="1241"/>
      <c r="J30" s="1241"/>
      <c r="K30" s="1241"/>
      <c r="L30" s="1241"/>
      <c r="M30" s="1241"/>
      <c r="N30" s="1241"/>
      <c r="O30" s="1241"/>
      <c r="P30" s="1241"/>
      <c r="Q30" s="1241"/>
      <c r="R30" s="1241"/>
      <c r="S30" s="1241"/>
      <c r="T30" s="1241"/>
      <c r="U30" s="1241"/>
      <c r="V30" s="1241"/>
      <c r="W30" s="1241"/>
      <c r="X30" s="1241"/>
      <c r="Y30" s="1241"/>
      <c r="Z30" s="1241"/>
      <c r="AA30" s="1241"/>
      <c r="AB30" s="1241"/>
      <c r="AC30" s="1241"/>
      <c r="AD30" s="1241"/>
      <c r="AE30" s="1241"/>
      <c r="AF30" s="1241"/>
      <c r="AG30" s="1241"/>
      <c r="AH30" s="1241"/>
      <c r="AI30" s="1243"/>
      <c r="AJ30" s="1243"/>
    </row>
    <row r="31" spans="1:36" ht="31.5" customHeight="1">
      <c r="A31" s="1239">
        <v>0.17999999993480742</v>
      </c>
      <c r="B31" s="1253" t="s">
        <v>1049</v>
      </c>
      <c r="C31" s="1256"/>
      <c r="D31" s="1255">
        <f t="shared" ref="D31:D38" si="19">SUM(H31:AG31)</f>
        <v>1774574.18</v>
      </c>
      <c r="E31" s="1255">
        <v>-2266167</v>
      </c>
      <c r="F31" s="1241"/>
      <c r="G31" s="1241"/>
      <c r="H31" s="1241"/>
      <c r="I31" s="1241"/>
      <c r="J31" s="1241"/>
      <c r="K31" s="1241"/>
      <c r="L31" s="1241">
        <v>1774574.18</v>
      </c>
      <c r="M31" s="1241"/>
      <c r="N31" s="1241"/>
      <c r="O31" s="1241"/>
      <c r="P31" s="1241"/>
      <c r="Q31" s="1241"/>
      <c r="R31" s="1241"/>
      <c r="S31" s="1241"/>
      <c r="T31" s="1241"/>
      <c r="U31" s="1241"/>
      <c r="V31" s="1241"/>
      <c r="W31" s="1241"/>
      <c r="X31" s="1241"/>
      <c r="Y31" s="1241"/>
      <c r="Z31" s="1241"/>
      <c r="AA31" s="1241"/>
      <c r="AB31" s="1241"/>
      <c r="AC31" s="1241"/>
      <c r="AD31" s="1241"/>
      <c r="AE31" s="1241"/>
      <c r="AF31" s="1241"/>
      <c r="AG31" s="1241"/>
      <c r="AH31" s="1241"/>
      <c r="AI31" s="1243"/>
      <c r="AJ31" s="1243"/>
    </row>
    <row r="32" spans="1:36" ht="31.5" customHeight="1">
      <c r="A32" s="1239">
        <v>0.37999999988824129</v>
      </c>
      <c r="B32" s="1253" t="s">
        <v>1050</v>
      </c>
      <c r="C32" s="1256"/>
      <c r="D32" s="1255">
        <f t="shared" si="19"/>
        <v>2230184.38</v>
      </c>
      <c r="E32" s="1255">
        <v>-284493</v>
      </c>
      <c r="F32" s="1241"/>
      <c r="G32" s="1241"/>
      <c r="H32" s="1241"/>
      <c r="I32" s="1241"/>
      <c r="J32" s="1241"/>
      <c r="K32" s="1241"/>
      <c r="L32" s="1241"/>
      <c r="M32" s="1241">
        <v>2230184.38</v>
      </c>
      <c r="N32" s="1241"/>
      <c r="O32" s="1241"/>
      <c r="P32" s="1241"/>
      <c r="Q32" s="1241"/>
      <c r="R32" s="1241"/>
      <c r="S32" s="1241"/>
      <c r="T32" s="1241"/>
      <c r="U32" s="1241"/>
      <c r="V32" s="1241"/>
      <c r="W32" s="1241"/>
      <c r="X32" s="1241"/>
      <c r="Y32" s="1241"/>
      <c r="Z32" s="1241"/>
      <c r="AA32" s="1241"/>
      <c r="AB32" s="1241"/>
      <c r="AC32" s="1241"/>
      <c r="AD32" s="1241"/>
      <c r="AE32" s="1241"/>
      <c r="AF32" s="1241"/>
      <c r="AG32" s="1241"/>
      <c r="AH32" s="1241"/>
      <c r="AI32" s="1243"/>
      <c r="AJ32" s="1243"/>
    </row>
    <row r="33" spans="1:36" ht="31.5" customHeight="1">
      <c r="A33" s="1239">
        <v>-2.9999999998835847E-2</v>
      </c>
      <c r="B33" s="1253" t="s">
        <v>1051</v>
      </c>
      <c r="C33" s="1256"/>
      <c r="D33" s="1255">
        <f t="shared" si="19"/>
        <v>9599.9700000000012</v>
      </c>
      <c r="E33" s="1255">
        <v>-32450</v>
      </c>
      <c r="F33" s="1241"/>
      <c r="G33" s="1241"/>
      <c r="H33" s="1241"/>
      <c r="I33" s="1241">
        <v>87331.97</v>
      </c>
      <c r="J33" s="1241"/>
      <c r="K33" s="1241"/>
      <c r="L33" s="1241"/>
      <c r="M33" s="1241"/>
      <c r="N33" s="1241">
        <v>-77732</v>
      </c>
      <c r="O33" s="1241"/>
      <c r="P33" s="1241"/>
      <c r="Q33" s="1241"/>
      <c r="R33" s="1241"/>
      <c r="S33" s="1241"/>
      <c r="T33" s="1241"/>
      <c r="U33" s="1241"/>
      <c r="V33" s="1241"/>
      <c r="W33" s="1241"/>
      <c r="X33" s="1241"/>
      <c r="Y33" s="1241"/>
      <c r="Z33" s="1241"/>
      <c r="AA33" s="1241"/>
      <c r="AB33" s="1241"/>
      <c r="AC33" s="1241"/>
      <c r="AD33" s="1241"/>
      <c r="AE33" s="1241"/>
      <c r="AF33" s="1241"/>
      <c r="AG33" s="1241"/>
      <c r="AH33" s="1241"/>
      <c r="AI33" s="1243"/>
      <c r="AJ33" s="1243"/>
    </row>
    <row r="34" spans="1:36" ht="31.5" customHeight="1">
      <c r="A34" s="1239">
        <v>0.29999999981373549</v>
      </c>
      <c r="B34" s="1253" t="s">
        <v>1052</v>
      </c>
      <c r="C34" s="1256"/>
      <c r="D34" s="1255">
        <f t="shared" si="19"/>
        <v>-2165136.7000000002</v>
      </c>
      <c r="E34" s="1255">
        <v>-1472396</v>
      </c>
      <c r="F34" s="1241"/>
      <c r="G34" s="1241"/>
      <c r="H34" s="1241"/>
      <c r="I34" s="1241"/>
      <c r="J34" s="1241"/>
      <c r="K34" s="1241"/>
      <c r="L34" s="1241"/>
      <c r="M34" s="1241"/>
      <c r="N34" s="1241"/>
      <c r="O34" s="1241"/>
      <c r="P34" s="1241">
        <v>-1818233.7</v>
      </c>
      <c r="Q34" s="1241"/>
      <c r="R34" s="1241"/>
      <c r="S34" s="1241"/>
      <c r="T34" s="1241"/>
      <c r="U34" s="1241"/>
      <c r="V34" s="1241"/>
      <c r="W34" s="1241"/>
      <c r="X34" s="1241"/>
      <c r="Y34" s="1241"/>
      <c r="Z34" s="1241"/>
      <c r="AA34" s="1241"/>
      <c r="AB34" s="1241"/>
      <c r="AC34" s="1241">
        <v>-346903</v>
      </c>
      <c r="AD34" s="1241"/>
      <c r="AE34" s="1241"/>
      <c r="AF34" s="1241"/>
      <c r="AG34" s="1241"/>
      <c r="AH34" s="1241"/>
      <c r="AI34" s="1243"/>
      <c r="AJ34" s="1243"/>
    </row>
    <row r="35" spans="1:36" ht="31.5" customHeight="1">
      <c r="A35" s="1239">
        <v>-0.30000000004656613</v>
      </c>
      <c r="B35" s="1253" t="s">
        <v>1053</v>
      </c>
      <c r="C35" s="1256"/>
      <c r="D35" s="1255">
        <f t="shared" si="19"/>
        <v>-1904250.3</v>
      </c>
      <c r="E35" s="1255">
        <v>-568812</v>
      </c>
      <c r="F35" s="1241"/>
      <c r="G35" s="1241"/>
      <c r="H35" s="1241"/>
      <c r="I35" s="1241"/>
      <c r="J35" s="1241"/>
      <c r="K35" s="1241"/>
      <c r="L35" s="1241"/>
      <c r="M35" s="1241"/>
      <c r="N35" s="1241"/>
      <c r="O35" s="1241"/>
      <c r="P35" s="1241"/>
      <c r="Q35" s="1241"/>
      <c r="R35" s="1407"/>
      <c r="S35" s="1241"/>
      <c r="T35" s="1241"/>
      <c r="U35" s="1241"/>
      <c r="V35" s="1241"/>
      <c r="W35" s="1241"/>
      <c r="X35" s="1241"/>
      <c r="Y35" s="1241"/>
      <c r="Z35" s="1415"/>
      <c r="AA35" s="1241"/>
      <c r="AB35" s="1415">
        <v>-1904250.3</v>
      </c>
      <c r="AC35" s="1241"/>
      <c r="AD35" s="1241"/>
      <c r="AE35" s="1241"/>
      <c r="AF35" s="1241"/>
      <c r="AG35" s="1241"/>
      <c r="AH35" s="1241"/>
      <c r="AI35" s="1243"/>
      <c r="AJ35" s="1243"/>
    </row>
    <row r="36" spans="1:36" ht="31.5" customHeight="1">
      <c r="A36" s="1239">
        <v>2.0000000004074536E-2</v>
      </c>
      <c r="B36" s="1253" t="s">
        <v>1054</v>
      </c>
      <c r="C36" s="1256"/>
      <c r="D36" s="1255">
        <f t="shared" si="19"/>
        <v>95892.02</v>
      </c>
      <c r="E36" s="1255"/>
      <c r="F36" s="1241"/>
      <c r="G36" s="1241"/>
      <c r="H36" s="1241"/>
      <c r="I36" s="1241"/>
      <c r="J36" s="1241"/>
      <c r="K36" s="1241"/>
      <c r="L36" s="1241"/>
      <c r="M36" s="1241"/>
      <c r="N36" s="1241"/>
      <c r="O36" s="1241"/>
      <c r="P36" s="1241"/>
      <c r="Q36" s="1241"/>
      <c r="R36" s="1407"/>
      <c r="S36" s="1241"/>
      <c r="T36" s="1241"/>
      <c r="U36" s="1241"/>
      <c r="V36" s="1241"/>
      <c r="W36" s="1241"/>
      <c r="X36" s="1241"/>
      <c r="Y36" s="1241"/>
      <c r="Z36" s="1241"/>
      <c r="AA36" s="1241"/>
      <c r="AB36" s="1241"/>
      <c r="AC36" s="1241"/>
      <c r="AD36" s="1241"/>
      <c r="AE36" s="1241">
        <v>95892.02</v>
      </c>
      <c r="AF36" s="1241"/>
      <c r="AG36" s="1241"/>
      <c r="AH36" s="1241"/>
      <c r="AI36" s="1243"/>
      <c r="AJ36" s="1243"/>
    </row>
    <row r="37" spans="1:36" ht="41.25" customHeight="1">
      <c r="A37" s="1239">
        <v>-9.9999999976716936E-2</v>
      </c>
      <c r="B37" s="1253" t="s">
        <v>1055</v>
      </c>
      <c r="C37" s="1256"/>
      <c r="D37" s="1255">
        <f t="shared" si="19"/>
        <v>463953.9</v>
      </c>
      <c r="E37" s="1255">
        <v>240459</v>
      </c>
      <c r="F37" s="1241"/>
      <c r="G37" s="1241"/>
      <c r="H37" s="1241"/>
      <c r="I37" s="1241"/>
      <c r="J37" s="1241"/>
      <c r="K37" s="1241"/>
      <c r="L37" s="1241"/>
      <c r="M37" s="1241"/>
      <c r="N37" s="1241"/>
      <c r="O37" s="1241"/>
      <c r="P37" s="1241"/>
      <c r="Q37" s="1241"/>
      <c r="R37" s="1241"/>
      <c r="S37" s="1241"/>
      <c r="T37" s="1241"/>
      <c r="U37" s="1241"/>
      <c r="V37" s="1241"/>
      <c r="W37" s="1241"/>
      <c r="X37" s="1241"/>
      <c r="Y37" s="1241"/>
      <c r="Z37" s="1241"/>
      <c r="AA37" s="1241"/>
      <c r="AB37" s="1241"/>
      <c r="AC37" s="1241"/>
      <c r="AD37" s="1241"/>
      <c r="AE37" s="1241"/>
      <c r="AF37" s="1241">
        <v>463953.9</v>
      </c>
      <c r="AG37" s="1241"/>
      <c r="AH37" s="1241"/>
      <c r="AI37" s="1243"/>
      <c r="AJ37" s="1243"/>
    </row>
    <row r="38" spans="1:36" ht="41.25" customHeight="1">
      <c r="A38" s="1239">
        <v>0.47999999999592546</v>
      </c>
      <c r="B38" s="1253" t="s">
        <v>1056</v>
      </c>
      <c r="C38" s="1256"/>
      <c r="D38" s="1255">
        <f t="shared" si="19"/>
        <v>-83528.52</v>
      </c>
      <c r="E38" s="1255">
        <v>43982</v>
      </c>
      <c r="F38" s="1241"/>
      <c r="G38" s="1241"/>
      <c r="H38" s="1241"/>
      <c r="I38" s="1241"/>
      <c r="J38" s="1241"/>
      <c r="K38" s="1241"/>
      <c r="L38" s="1241"/>
      <c r="M38" s="1241"/>
      <c r="N38" s="1241"/>
      <c r="O38" s="1241"/>
      <c r="P38" s="1241"/>
      <c r="Q38" s="1241"/>
      <c r="R38" s="1241"/>
      <c r="S38" s="1241"/>
      <c r="T38" s="1241"/>
      <c r="U38" s="1241"/>
      <c r="V38" s="1241"/>
      <c r="W38" s="1241"/>
      <c r="X38" s="1241"/>
      <c r="Y38" s="1241"/>
      <c r="Z38" s="1241"/>
      <c r="AA38" s="1241"/>
      <c r="AB38" s="1241"/>
      <c r="AC38" s="1241"/>
      <c r="AD38" s="1241"/>
      <c r="AE38" s="1241"/>
      <c r="AF38" s="1241"/>
      <c r="AG38" s="1241">
        <v>-83528.52</v>
      </c>
      <c r="AH38" s="1241"/>
      <c r="AI38" s="1243"/>
      <c r="AJ38" s="1243"/>
    </row>
    <row r="39" spans="1:36" ht="21" customHeight="1">
      <c r="A39" s="1237"/>
      <c r="B39" s="1245"/>
      <c r="C39" s="1254"/>
      <c r="D39" s="1255"/>
      <c r="E39" s="1255"/>
      <c r="F39" s="1241"/>
      <c r="G39" s="1241"/>
      <c r="H39" s="1241"/>
      <c r="I39" s="1241"/>
      <c r="J39" s="1241"/>
      <c r="K39" s="1241"/>
      <c r="L39" s="1241"/>
      <c r="M39" s="1241"/>
      <c r="N39" s="1241"/>
      <c r="O39" s="1241"/>
      <c r="P39" s="1241"/>
      <c r="Q39" s="1241"/>
      <c r="R39" s="1241"/>
      <c r="S39" s="1241"/>
      <c r="T39" s="1241"/>
      <c r="U39" s="1241"/>
      <c r="V39" s="1241"/>
      <c r="W39" s="1241"/>
      <c r="X39" s="1241"/>
      <c r="Y39" s="1241"/>
      <c r="Z39" s="1241"/>
      <c r="AA39" s="1241"/>
      <c r="AB39" s="1241"/>
      <c r="AC39" s="1241"/>
      <c r="AD39" s="1241"/>
      <c r="AE39" s="1241"/>
      <c r="AF39" s="1241"/>
      <c r="AG39" s="1241"/>
      <c r="AH39" s="1241"/>
      <c r="AI39" s="1243"/>
      <c r="AJ39" s="1243"/>
    </row>
    <row r="40" spans="1:36" ht="30" customHeight="1">
      <c r="A40" s="1237"/>
      <c r="B40" s="1250" t="s">
        <v>1057</v>
      </c>
      <c r="C40" s="1251"/>
      <c r="D40" s="1252">
        <v>4710103.3118900005</v>
      </c>
      <c r="E40" s="1252">
        <v>260281</v>
      </c>
      <c r="F40" s="1241"/>
      <c r="G40" s="1241"/>
      <c r="H40" s="1241"/>
      <c r="I40" s="1241"/>
      <c r="J40" s="1241"/>
      <c r="K40" s="1241"/>
      <c r="L40" s="1241"/>
      <c r="M40" s="1241"/>
      <c r="N40" s="1241"/>
      <c r="O40" s="1241"/>
      <c r="P40" s="1241"/>
      <c r="Q40" s="1241"/>
      <c r="R40" s="1241"/>
      <c r="S40" s="1241"/>
      <c r="T40" s="1241"/>
      <c r="U40" s="1241"/>
      <c r="V40" s="1241"/>
      <c r="W40" s="1241"/>
      <c r="X40" s="1241"/>
      <c r="Y40" s="1241"/>
      <c r="Z40" s="1241"/>
      <c r="AA40" s="1241"/>
      <c r="AB40" s="1241"/>
      <c r="AC40" s="1241"/>
      <c r="AD40" s="1241"/>
      <c r="AE40" s="1241"/>
      <c r="AF40" s="1241"/>
      <c r="AG40" s="1241"/>
      <c r="AH40" s="1241"/>
      <c r="AI40" s="1243"/>
      <c r="AJ40" s="1243"/>
    </row>
    <row r="41" spans="1:36" ht="21.75" customHeight="1">
      <c r="A41" s="1239">
        <v>-0.3636799999512732</v>
      </c>
      <c r="B41" s="1253" t="s">
        <v>1058</v>
      </c>
      <c r="C41" s="1254"/>
      <c r="D41" s="1255">
        <f t="shared" ref="D41:D42" si="20">SUM(H41:AG41)</f>
        <v>-1011039.36368</v>
      </c>
      <c r="E41" s="1255">
        <v>-787161</v>
      </c>
      <c r="F41" s="1241"/>
      <c r="G41" s="1241"/>
      <c r="H41" s="1241"/>
      <c r="I41" s="1241"/>
      <c r="J41" s="1241"/>
      <c r="K41" s="1241"/>
      <c r="L41" s="1241"/>
      <c r="M41" s="1241"/>
      <c r="N41" s="1241"/>
      <c r="O41" s="1241"/>
      <c r="P41" s="1241"/>
      <c r="Q41" s="1241"/>
      <c r="R41" s="1241"/>
      <c r="S41" s="1241"/>
      <c r="T41" s="1241"/>
      <c r="U41" s="1241"/>
      <c r="V41" s="1241"/>
      <c r="W41" s="1241"/>
      <c r="X41" s="1241"/>
      <c r="Y41" s="1241"/>
      <c r="Z41" s="1241"/>
      <c r="AA41" s="1241"/>
      <c r="AB41" s="1241"/>
      <c r="AC41" s="1241">
        <v>-1011039.36368</v>
      </c>
      <c r="AD41" s="1241"/>
      <c r="AE41" s="1241"/>
      <c r="AF41" s="1241"/>
      <c r="AG41" s="1241"/>
      <c r="AH41" s="1241"/>
      <c r="AI41" s="1243"/>
      <c r="AJ41" s="1243"/>
    </row>
    <row r="42" spans="1:36" ht="17.25" customHeight="1">
      <c r="A42" s="1239">
        <v>0.44300000002840534</v>
      </c>
      <c r="B42" s="1253" t="s">
        <v>1059</v>
      </c>
      <c r="C42" s="1258"/>
      <c r="D42" s="1255">
        <f t="shared" si="20"/>
        <v>-292162.55699999997</v>
      </c>
      <c r="E42" s="1255">
        <v>-272383</v>
      </c>
      <c r="F42" s="1241"/>
      <c r="G42" s="1241"/>
      <c r="H42" s="1241"/>
      <c r="I42" s="1241"/>
      <c r="J42" s="1241"/>
      <c r="K42" s="1241"/>
      <c r="L42" s="1241"/>
      <c r="M42" s="1241"/>
      <c r="N42" s="1241"/>
      <c r="O42" s="1241"/>
      <c r="P42" s="1241"/>
      <c r="Q42" s="1241"/>
      <c r="R42" s="1241"/>
      <c r="S42" s="1241"/>
      <c r="T42" s="1241"/>
      <c r="U42" s="1241"/>
      <c r="V42" s="1241"/>
      <c r="W42" s="1241"/>
      <c r="X42" s="1241"/>
      <c r="Y42" s="1241"/>
      <c r="Z42" s="1241"/>
      <c r="AA42" s="1241"/>
      <c r="AB42" s="1241"/>
      <c r="AC42" s="1241"/>
      <c r="AD42" s="1241"/>
      <c r="AE42" s="1241"/>
      <c r="AF42" s="1241">
        <v>-292162.55699999997</v>
      </c>
      <c r="AG42" s="1241"/>
      <c r="AH42" s="1241"/>
      <c r="AI42" s="1243"/>
      <c r="AJ42" s="1243"/>
    </row>
    <row r="43" spans="1:36" ht="15">
      <c r="A43" s="1237"/>
      <c r="B43" s="1257"/>
      <c r="C43" s="1258"/>
      <c r="D43" s="1255"/>
      <c r="E43" s="1255"/>
      <c r="F43" s="1241"/>
      <c r="G43" s="1241"/>
      <c r="H43" s="1241"/>
      <c r="I43" s="1241"/>
      <c r="J43" s="1241"/>
      <c r="K43" s="1241"/>
      <c r="L43" s="1241"/>
      <c r="M43" s="1241"/>
      <c r="N43" s="1241"/>
      <c r="O43" s="1241"/>
      <c r="P43" s="1241"/>
      <c r="Q43" s="1241"/>
      <c r="R43" s="1241"/>
      <c r="S43" s="1241"/>
      <c r="T43" s="1241"/>
      <c r="U43" s="1241"/>
      <c r="V43" s="1241"/>
      <c r="W43" s="1241"/>
      <c r="X43" s="1241"/>
      <c r="Y43" s="1241"/>
      <c r="Z43" s="1241"/>
      <c r="AA43" s="1241"/>
      <c r="AB43" s="1241"/>
      <c r="AC43" s="1241"/>
      <c r="AD43" s="1241"/>
      <c r="AE43" s="1241"/>
      <c r="AF43" s="1241"/>
      <c r="AG43" s="1241"/>
      <c r="AH43" s="1241"/>
      <c r="AI43" s="1243"/>
      <c r="AJ43" s="1243"/>
    </row>
    <row r="44" spans="1:36" ht="35.25" customHeight="1">
      <c r="A44" s="1237"/>
      <c r="B44" s="1250" t="s">
        <v>327</v>
      </c>
      <c r="C44" s="1251"/>
      <c r="D44" s="1252">
        <v>3406901.3118900005</v>
      </c>
      <c r="E44" s="1252">
        <v>-799263</v>
      </c>
      <c r="F44" s="1241"/>
      <c r="G44" s="1241"/>
      <c r="H44" s="1241"/>
      <c r="I44" s="1241"/>
      <c r="J44" s="1241"/>
      <c r="K44" s="1241"/>
      <c r="L44" s="1241"/>
      <c r="M44" s="1241"/>
      <c r="N44" s="1241"/>
      <c r="O44" s="1241"/>
      <c r="P44" s="1241"/>
      <c r="Q44" s="1241"/>
      <c r="R44" s="1241"/>
      <c r="S44" s="1241"/>
      <c r="T44" s="1241"/>
      <c r="U44" s="1241"/>
      <c r="V44" s="1241"/>
      <c r="W44" s="1241"/>
      <c r="X44" s="1241"/>
      <c r="Y44" s="1241"/>
      <c r="Z44" s="1241"/>
      <c r="AA44" s="1241"/>
      <c r="AB44" s="1241"/>
      <c r="AC44" s="1241"/>
      <c r="AD44" s="1241"/>
      <c r="AE44" s="1241"/>
      <c r="AF44" s="1241"/>
      <c r="AG44" s="1241"/>
      <c r="AH44" s="1241"/>
      <c r="AI44" s="1243"/>
      <c r="AJ44" s="1243"/>
    </row>
    <row r="45" spans="1:36" ht="15">
      <c r="A45" s="1237"/>
      <c r="B45" s="1247"/>
      <c r="C45" s="1260"/>
      <c r="D45" s="1252"/>
      <c r="E45" s="1252"/>
      <c r="F45" s="1241"/>
      <c r="G45" s="1241"/>
      <c r="H45" s="1241"/>
      <c r="I45" s="1241"/>
      <c r="J45" s="1241"/>
      <c r="K45" s="1241"/>
      <c r="L45" s="1241"/>
      <c r="M45" s="1241"/>
      <c r="N45" s="1241"/>
      <c r="O45" s="1241"/>
      <c r="P45" s="1241"/>
      <c r="Q45" s="1241"/>
      <c r="R45" s="1241"/>
      <c r="S45" s="1241"/>
      <c r="T45" s="1241"/>
      <c r="U45" s="1241"/>
      <c r="V45" s="1241"/>
      <c r="W45" s="1241"/>
      <c r="X45" s="1241"/>
      <c r="Y45" s="1241"/>
      <c r="Z45" s="1241"/>
      <c r="AA45" s="1241"/>
      <c r="AB45" s="1241"/>
      <c r="AC45" s="1241"/>
      <c r="AD45" s="1241"/>
      <c r="AE45" s="1241"/>
      <c r="AF45" s="1241"/>
      <c r="AG45" s="1241"/>
      <c r="AH45" s="1241"/>
      <c r="AI45" s="1243"/>
      <c r="AJ45" s="1243"/>
    </row>
    <row r="46" spans="1:36" ht="31.5" customHeight="1">
      <c r="A46" s="1237"/>
      <c r="B46" s="1247" t="s">
        <v>1060</v>
      </c>
      <c r="C46" s="1261"/>
      <c r="D46" s="1262"/>
      <c r="E46" s="1262"/>
      <c r="F46" s="1241"/>
      <c r="G46" s="1241"/>
      <c r="H46" s="1241"/>
      <c r="I46" s="1241"/>
      <c r="J46" s="1241"/>
      <c r="K46" s="1241"/>
      <c r="L46" s="1241"/>
      <c r="M46" s="1241"/>
      <c r="N46" s="1241"/>
      <c r="O46" s="1241"/>
      <c r="P46" s="1241"/>
      <c r="Q46" s="1241"/>
      <c r="R46" s="1241"/>
      <c r="S46" s="1241"/>
      <c r="T46" s="1241"/>
      <c r="U46" s="1241"/>
      <c r="V46" s="1241"/>
      <c r="W46" s="1241"/>
      <c r="X46" s="1241"/>
      <c r="Y46" s="1241"/>
      <c r="Z46" s="1241"/>
      <c r="AA46" s="1241"/>
      <c r="AB46" s="1241"/>
      <c r="AC46" s="1241"/>
      <c r="AD46" s="1241"/>
      <c r="AE46" s="1241"/>
      <c r="AF46" s="1241"/>
      <c r="AG46" s="1241"/>
      <c r="AH46" s="1241"/>
      <c r="AI46" s="1243"/>
      <c r="AJ46" s="1243"/>
    </row>
    <row r="47" spans="1:36" ht="32.25" customHeight="1">
      <c r="A47" s="1239">
        <v>1.8370000179857016E-2</v>
      </c>
      <c r="B47" s="1257" t="s">
        <v>580</v>
      </c>
      <c r="C47" s="1263"/>
      <c r="D47" s="1255">
        <f t="shared" ref="D47:D53" si="21">SUM(H47:AG47)</f>
        <v>-1074760.9816299998</v>
      </c>
      <c r="E47" s="1255">
        <v>-1349695</v>
      </c>
      <c r="F47" s="1241"/>
      <c r="G47" s="1241"/>
      <c r="H47" s="1241">
        <v>-1215531.7563699998</v>
      </c>
      <c r="I47" s="1241">
        <v>173417.17241999999</v>
      </c>
      <c r="J47" s="1241"/>
      <c r="K47" s="1241">
        <v>-32646.397679999995</v>
      </c>
      <c r="L47" s="1241"/>
      <c r="M47" s="1241"/>
      <c r="N47" s="1241"/>
      <c r="O47" s="1241"/>
      <c r="P47" s="1241"/>
      <c r="Q47" s="1241"/>
      <c r="R47" s="1241"/>
      <c r="S47" s="1241"/>
      <c r="T47" s="1241"/>
      <c r="U47" s="1241"/>
      <c r="V47" s="1241"/>
      <c r="W47" s="1241"/>
      <c r="X47" s="1241"/>
      <c r="Y47" s="1241"/>
      <c r="Z47" s="1241"/>
      <c r="AA47" s="1241"/>
      <c r="AB47" s="1241"/>
      <c r="AC47" s="1241"/>
      <c r="AD47" s="1241"/>
      <c r="AE47" s="1241"/>
      <c r="AF47" s="1241"/>
      <c r="AG47" s="1241"/>
      <c r="AH47" s="1241"/>
      <c r="AI47" s="1243"/>
      <c r="AJ47" s="1243"/>
    </row>
    <row r="48" spans="1:36" ht="33" customHeight="1">
      <c r="A48" s="1239">
        <v>0</v>
      </c>
      <c r="B48" s="1257" t="s">
        <v>1061</v>
      </c>
      <c r="C48" s="1256">
        <v>17</v>
      </c>
      <c r="D48" s="1255">
        <f t="shared" si="21"/>
        <v>715000</v>
      </c>
      <c r="E48" s="1255">
        <v>-715000</v>
      </c>
      <c r="F48" s="1241"/>
      <c r="G48" s="1241"/>
      <c r="H48" s="1241"/>
      <c r="I48" s="1241"/>
      <c r="J48" s="1241"/>
      <c r="K48" s="1241"/>
      <c r="L48" s="1241"/>
      <c r="M48" s="1241"/>
      <c r="N48" s="1241"/>
      <c r="O48" s="1241"/>
      <c r="P48" s="1241">
        <v>715000</v>
      </c>
      <c r="Q48" s="1241"/>
      <c r="R48" s="1241"/>
      <c r="S48" s="1241"/>
      <c r="T48" s="1241"/>
      <c r="U48" s="1241"/>
      <c r="V48" s="1241"/>
      <c r="W48" s="1241"/>
      <c r="X48" s="1241"/>
      <c r="Y48" s="1241"/>
      <c r="Z48" s="1241"/>
      <c r="AA48" s="1241"/>
      <c r="AB48" s="1241"/>
      <c r="AC48" s="1241"/>
      <c r="AD48" s="1241"/>
      <c r="AE48" s="1241"/>
      <c r="AF48" s="1241"/>
      <c r="AG48" s="1241"/>
      <c r="AH48" s="1241"/>
      <c r="AI48" s="1243"/>
      <c r="AJ48" s="1243"/>
    </row>
    <row r="49" spans="1:36" ht="53.25" customHeight="1">
      <c r="A49" s="1239">
        <v>0.16999999999825377</v>
      </c>
      <c r="B49" s="1257" t="s">
        <v>350</v>
      </c>
      <c r="C49" s="1256"/>
      <c r="D49" s="1255">
        <f t="shared" si="21"/>
        <v>60254.17</v>
      </c>
      <c r="E49" s="1255">
        <v>49660</v>
      </c>
      <c r="F49" s="1241"/>
      <c r="G49" s="1241"/>
      <c r="H49" s="1241">
        <v>14162.33</v>
      </c>
      <c r="I49" s="1241"/>
      <c r="J49" s="1241"/>
      <c r="K49" s="1241"/>
      <c r="L49" s="1241"/>
      <c r="M49" s="1241"/>
      <c r="N49" s="1241"/>
      <c r="O49" s="1241"/>
      <c r="P49" s="1241"/>
      <c r="Q49" s="1241"/>
      <c r="R49" s="1241"/>
      <c r="S49" s="1241"/>
      <c r="T49" s="1241"/>
      <c r="U49" s="1241"/>
      <c r="V49" s="1241"/>
      <c r="W49" s="1241"/>
      <c r="X49" s="1241"/>
      <c r="Y49" s="1241"/>
      <c r="Z49" s="1415">
        <v>-35144.160000000003</v>
      </c>
      <c r="AA49" s="1241"/>
      <c r="AB49" s="1415">
        <v>81236</v>
      </c>
      <c r="AC49" s="1241"/>
      <c r="AD49" s="1241"/>
      <c r="AE49" s="1241"/>
      <c r="AF49" s="1241"/>
      <c r="AG49" s="1241"/>
      <c r="AH49" s="1241"/>
      <c r="AI49" s="1243"/>
      <c r="AJ49" s="1243"/>
    </row>
    <row r="50" spans="1:36" ht="34.5" customHeight="1">
      <c r="A50" s="1237"/>
      <c r="B50" s="1257" t="s">
        <v>1062</v>
      </c>
      <c r="C50" s="1256"/>
      <c r="D50" s="1255">
        <f t="shared" si="21"/>
        <v>3865371</v>
      </c>
      <c r="E50" s="1255"/>
      <c r="F50" s="1241"/>
      <c r="G50" s="1241"/>
      <c r="H50" s="1241"/>
      <c r="I50" s="1241"/>
      <c r="J50" s="1241"/>
      <c r="K50" s="1241"/>
      <c r="L50" s="1241"/>
      <c r="M50" s="1241"/>
      <c r="N50" s="1241"/>
      <c r="O50" s="1241">
        <v>3865371</v>
      </c>
      <c r="P50" s="1241"/>
      <c r="Q50" s="1241"/>
      <c r="R50" s="1241"/>
      <c r="S50" s="1241"/>
      <c r="T50" s="1241"/>
      <c r="U50" s="1241"/>
      <c r="V50" s="1241"/>
      <c r="W50" s="1241"/>
      <c r="X50" s="1241"/>
      <c r="Y50" s="1241"/>
      <c r="Z50" s="1415"/>
      <c r="AA50" s="1241"/>
      <c r="AB50" s="1415"/>
      <c r="AC50" s="1241"/>
      <c r="AD50" s="1241"/>
      <c r="AE50" s="1241"/>
      <c r="AF50" s="1241"/>
      <c r="AG50" s="1241"/>
      <c r="AH50" s="1241"/>
      <c r="AI50" s="1243"/>
      <c r="AJ50" s="1243"/>
    </row>
    <row r="51" spans="1:36" ht="30.75" customHeight="1">
      <c r="A51" s="1239">
        <v>0.14596000034362078</v>
      </c>
      <c r="B51" s="1257" t="s">
        <v>1063</v>
      </c>
      <c r="C51" s="1256"/>
      <c r="D51" s="1255">
        <f t="shared" si="21"/>
        <v>-5654950.8540399997</v>
      </c>
      <c r="E51" s="1255">
        <v>712898</v>
      </c>
      <c r="F51" s="1241"/>
      <c r="G51" s="1241"/>
      <c r="H51" s="1241"/>
      <c r="I51" s="1241"/>
      <c r="J51" s="1241"/>
      <c r="K51" s="1241"/>
      <c r="L51" s="1241"/>
      <c r="M51" s="1241"/>
      <c r="N51" s="1241"/>
      <c r="O51" s="1241">
        <v>-5654950.8540399997</v>
      </c>
      <c r="P51" s="1241"/>
      <c r="Q51" s="1241"/>
      <c r="R51" s="1241"/>
      <c r="S51" s="1241"/>
      <c r="T51" s="1241"/>
      <c r="U51" s="1241"/>
      <c r="V51" s="1241"/>
      <c r="W51" s="1241"/>
      <c r="X51" s="1241"/>
      <c r="Y51" s="1241"/>
      <c r="Z51" s="1241"/>
      <c r="AA51" s="1241"/>
      <c r="AB51" s="1241"/>
      <c r="AC51" s="1241"/>
      <c r="AD51" s="1241"/>
      <c r="AE51" s="1241"/>
      <c r="AF51" s="1241"/>
      <c r="AG51" s="1241"/>
      <c r="AH51" s="1241"/>
      <c r="AI51" s="1243"/>
      <c r="AJ51" s="1243"/>
    </row>
    <row r="52" spans="1:36" ht="15">
      <c r="A52" s="1239">
        <v>0</v>
      </c>
      <c r="B52" s="1257" t="s">
        <v>515</v>
      </c>
      <c r="C52" s="1256"/>
      <c r="D52" s="1255">
        <f t="shared" si="21"/>
        <v>1435436</v>
      </c>
      <c r="E52" s="1255">
        <v>0</v>
      </c>
      <c r="F52" s="1241"/>
      <c r="G52" s="1241"/>
      <c r="H52" s="1241"/>
      <c r="I52" s="1241"/>
      <c r="J52" s="1241"/>
      <c r="K52" s="1241"/>
      <c r="L52" s="1241"/>
      <c r="M52" s="1241"/>
      <c r="N52" s="1241"/>
      <c r="O52" s="1241"/>
      <c r="P52" s="1241"/>
      <c r="Q52" s="1411">
        <v>1435436</v>
      </c>
      <c r="R52" s="1241"/>
      <c r="S52" s="1241"/>
      <c r="T52" s="1241"/>
      <c r="U52" s="1241"/>
      <c r="V52" s="1241"/>
      <c r="W52" s="1241"/>
      <c r="X52" s="1241"/>
      <c r="Y52" s="1241"/>
      <c r="Z52" s="1241"/>
      <c r="AA52" s="1241"/>
      <c r="AB52" s="1241"/>
      <c r="AC52" s="1241"/>
      <c r="AD52" s="1241"/>
      <c r="AE52" s="1241"/>
      <c r="AF52" s="1241"/>
      <c r="AG52" s="1241"/>
      <c r="AH52" s="1241"/>
      <c r="AI52" s="1243"/>
      <c r="AJ52" s="1243"/>
    </row>
    <row r="53" spans="1:36" ht="15">
      <c r="A53" s="1239">
        <v>0</v>
      </c>
      <c r="B53" s="1257" t="s">
        <v>579</v>
      </c>
      <c r="C53" s="1256"/>
      <c r="D53" s="1255">
        <f t="shared" si="21"/>
        <v>-1434026</v>
      </c>
      <c r="E53" s="1255">
        <v>-537</v>
      </c>
      <c r="F53" s="1241"/>
      <c r="G53" s="1241"/>
      <c r="H53" s="1241"/>
      <c r="I53" s="1241"/>
      <c r="J53" s="1241"/>
      <c r="K53" s="1241"/>
      <c r="L53" s="1241"/>
      <c r="M53" s="1241"/>
      <c r="N53" s="1241"/>
      <c r="O53" s="1241"/>
      <c r="P53" s="1241"/>
      <c r="Q53" s="1411">
        <v>-1434026</v>
      </c>
      <c r="R53" s="1241"/>
      <c r="S53" s="1241"/>
      <c r="T53" s="1241"/>
      <c r="U53" s="1241"/>
      <c r="V53" s="1241"/>
      <c r="W53" s="1241"/>
      <c r="X53" s="1241"/>
      <c r="Y53" s="1241"/>
      <c r="Z53" s="1241"/>
      <c r="AA53" s="1241"/>
      <c r="AB53" s="1241"/>
      <c r="AC53" s="1241"/>
      <c r="AD53" s="1241"/>
      <c r="AE53" s="1241"/>
      <c r="AF53" s="1241"/>
      <c r="AG53" s="1241"/>
      <c r="AH53" s="1241"/>
      <c r="AI53" s="1243"/>
      <c r="AJ53" s="1243"/>
    </row>
    <row r="54" spans="1:36" ht="25.5" customHeight="1">
      <c r="A54" s="1239">
        <v>0</v>
      </c>
      <c r="B54" s="1257" t="s">
        <v>516</v>
      </c>
      <c r="C54" s="1256"/>
      <c r="D54" s="1255">
        <v>0</v>
      </c>
      <c r="E54" s="1255">
        <v>0</v>
      </c>
      <c r="F54" s="1241"/>
      <c r="G54" s="1241"/>
      <c r="H54" s="1241"/>
      <c r="I54" s="1241"/>
      <c r="J54" s="1241"/>
      <c r="K54" s="1241"/>
      <c r="L54" s="1241"/>
      <c r="M54" s="1241"/>
      <c r="N54" s="1241"/>
      <c r="O54" s="1241"/>
      <c r="P54" s="1241"/>
      <c r="Q54" s="1241"/>
      <c r="R54" s="1241"/>
      <c r="S54" s="1241"/>
      <c r="T54" s="1241"/>
      <c r="U54" s="1241"/>
      <c r="V54" s="1241"/>
      <c r="W54" s="1241"/>
      <c r="X54" s="1241"/>
      <c r="Y54" s="1241"/>
      <c r="Z54" s="1241"/>
      <c r="AA54" s="1241"/>
      <c r="AB54" s="1241"/>
      <c r="AC54" s="1241"/>
      <c r="AD54" s="1241"/>
      <c r="AE54" s="1241"/>
      <c r="AF54" s="1241"/>
      <c r="AG54" s="1241"/>
      <c r="AH54" s="1241"/>
      <c r="AI54" s="1243"/>
      <c r="AJ54" s="1243"/>
    </row>
    <row r="55" spans="1:36" ht="35.25" customHeight="1">
      <c r="A55" s="1237"/>
      <c r="B55" s="1250" t="s">
        <v>1064</v>
      </c>
      <c r="C55" s="1263"/>
      <c r="D55" s="1252">
        <v>-2087677</v>
      </c>
      <c r="E55" s="1252">
        <v>-1302674</v>
      </c>
      <c r="F55" s="1241"/>
      <c r="G55" s="1241"/>
      <c r="H55" s="1241"/>
      <c r="I55" s="1241"/>
      <c r="J55" s="1241"/>
      <c r="K55" s="1241"/>
      <c r="L55" s="1241"/>
      <c r="M55" s="1241"/>
      <c r="N55" s="1241"/>
      <c r="O55" s="1241"/>
      <c r="P55" s="1241"/>
      <c r="Q55" s="1241"/>
      <c r="R55" s="1241"/>
      <c r="S55" s="1241"/>
      <c r="T55" s="1241"/>
      <c r="U55" s="1241"/>
      <c r="V55" s="1241"/>
      <c r="W55" s="1241"/>
      <c r="X55" s="1241"/>
      <c r="Y55" s="1241"/>
      <c r="Z55" s="1241"/>
      <c r="AA55" s="1241"/>
      <c r="AB55" s="1241"/>
      <c r="AC55" s="1241"/>
      <c r="AD55" s="1241"/>
      <c r="AE55" s="1241"/>
      <c r="AF55" s="1241"/>
      <c r="AG55" s="1241"/>
      <c r="AH55" s="1241"/>
      <c r="AI55" s="1243"/>
      <c r="AJ55" s="1243"/>
    </row>
    <row r="56" spans="1:36" ht="15">
      <c r="A56" s="1237"/>
      <c r="B56" s="1247"/>
      <c r="C56" s="1263"/>
      <c r="D56" s="1252"/>
      <c r="E56" s="1252"/>
      <c r="F56" s="1241"/>
      <c r="G56" s="1241"/>
      <c r="H56" s="1241"/>
      <c r="I56" s="1241"/>
      <c r="J56" s="1241"/>
      <c r="K56" s="1241"/>
      <c r="L56" s="1241"/>
      <c r="M56" s="1241"/>
      <c r="N56" s="1241"/>
      <c r="O56" s="1241"/>
      <c r="P56" s="1241"/>
      <c r="Q56" s="1241"/>
      <c r="R56" s="1241"/>
      <c r="S56" s="1241"/>
      <c r="T56" s="1241"/>
      <c r="U56" s="1241"/>
      <c r="V56" s="1241"/>
      <c r="W56" s="1241"/>
      <c r="X56" s="1241"/>
      <c r="Y56" s="1241"/>
      <c r="Z56" s="1241"/>
      <c r="AA56" s="1241"/>
      <c r="AB56" s="1241"/>
      <c r="AC56" s="1241"/>
      <c r="AD56" s="1241"/>
      <c r="AE56" s="1241"/>
      <c r="AF56" s="1241"/>
      <c r="AG56" s="1241"/>
      <c r="AH56" s="1241"/>
      <c r="AI56" s="1243"/>
      <c r="AJ56" s="1243"/>
    </row>
    <row r="57" spans="1:36" ht="27.75" customHeight="1">
      <c r="A57" s="1237"/>
      <c r="B57" s="1247" t="s">
        <v>285</v>
      </c>
      <c r="C57" s="1256"/>
      <c r="D57" s="1255"/>
      <c r="E57" s="1255"/>
      <c r="F57" s="1241"/>
      <c r="G57" s="1241"/>
      <c r="H57" s="1241"/>
      <c r="I57" s="1241"/>
      <c r="J57" s="1241"/>
      <c r="K57" s="1241"/>
      <c r="L57" s="1241"/>
      <c r="M57" s="1241"/>
      <c r="N57" s="1241"/>
      <c r="O57" s="1241"/>
      <c r="P57" s="1241"/>
      <c r="Q57" s="1241"/>
      <c r="R57" s="1241"/>
      <c r="S57" s="1241"/>
      <c r="T57" s="1241"/>
      <c r="U57" s="1241"/>
      <c r="V57" s="1241"/>
      <c r="W57" s="1241"/>
      <c r="X57" s="1241"/>
      <c r="Y57" s="1241"/>
      <c r="Z57" s="1241"/>
      <c r="AA57" s="1241"/>
      <c r="AB57" s="1241"/>
      <c r="AC57" s="1241"/>
      <c r="AD57" s="1241"/>
      <c r="AE57" s="1241"/>
      <c r="AF57" s="1241"/>
      <c r="AG57" s="1241"/>
      <c r="AH57" s="1241"/>
      <c r="AI57" s="1243"/>
      <c r="AJ57" s="1243"/>
    </row>
    <row r="58" spans="1:36" ht="21.75" customHeight="1">
      <c r="A58" s="1239">
        <v>0</v>
      </c>
      <c r="B58" s="1257" t="s">
        <v>1065</v>
      </c>
      <c r="C58" s="1256"/>
      <c r="D58" s="1255">
        <f t="shared" ref="D58:D61" si="22">SUM(H58:AG58)</f>
        <v>12692757</v>
      </c>
      <c r="E58" s="1255">
        <v>18670363</v>
      </c>
      <c r="F58" s="1241"/>
      <c r="G58" s="1241"/>
      <c r="H58" s="1241"/>
      <c r="I58" s="1241"/>
      <c r="J58" s="1241"/>
      <c r="K58" s="1241"/>
      <c r="L58" s="1241"/>
      <c r="M58" s="1241"/>
      <c r="N58" s="1241"/>
      <c r="O58" s="1241"/>
      <c r="P58" s="1241"/>
      <c r="Q58" s="1241"/>
      <c r="R58" s="1241"/>
      <c r="S58" s="1241"/>
      <c r="T58" s="1241"/>
      <c r="U58" s="1241"/>
      <c r="V58" s="1241"/>
      <c r="W58" s="1241"/>
      <c r="X58" s="1241"/>
      <c r="Y58" s="1241"/>
      <c r="Z58" s="1241"/>
      <c r="AA58" s="1241"/>
      <c r="AB58" s="1241"/>
      <c r="AC58" s="1241">
        <v>12692757</v>
      </c>
      <c r="AD58" s="1241"/>
      <c r="AE58" s="1241"/>
      <c r="AF58" s="1241"/>
      <c r="AG58" s="1241"/>
      <c r="AH58" s="1241"/>
      <c r="AI58" s="1243"/>
      <c r="AJ58" s="1243"/>
    </row>
    <row r="59" spans="1:36" ht="18" customHeight="1">
      <c r="A59" s="1239">
        <v>0</v>
      </c>
      <c r="B59" s="1257" t="s">
        <v>286</v>
      </c>
      <c r="C59" s="1256"/>
      <c r="D59" s="1255">
        <f t="shared" si="22"/>
        <v>-6416091</v>
      </c>
      <c r="E59" s="1255">
        <v>-15586321</v>
      </c>
      <c r="F59" s="1241"/>
      <c r="G59" s="1241"/>
      <c r="H59" s="1241"/>
      <c r="I59" s="1241"/>
      <c r="J59" s="1241"/>
      <c r="K59" s="1241"/>
      <c r="L59" s="1241"/>
      <c r="M59" s="1241"/>
      <c r="N59" s="1241"/>
      <c r="O59" s="1241"/>
      <c r="P59" s="1241"/>
      <c r="Q59" s="1241"/>
      <c r="R59" s="1241"/>
      <c r="S59" s="1241"/>
      <c r="T59" s="1241"/>
      <c r="U59" s="1241"/>
      <c r="V59" s="1241"/>
      <c r="W59" s="1241"/>
      <c r="X59" s="1241"/>
      <c r="Y59" s="1241"/>
      <c r="Z59" s="1241"/>
      <c r="AA59" s="1241"/>
      <c r="AB59" s="1241"/>
      <c r="AC59" s="1241">
        <v>-6416091</v>
      </c>
      <c r="AD59" s="1241"/>
      <c r="AE59" s="1241"/>
      <c r="AF59" s="1241"/>
      <c r="AG59" s="1241"/>
      <c r="AH59" s="1241"/>
      <c r="AI59" s="1243"/>
      <c r="AJ59" s="1243"/>
    </row>
    <row r="60" spans="1:36" ht="28.5" customHeight="1">
      <c r="A60" s="1239">
        <v>0</v>
      </c>
      <c r="B60" s="1257" t="s">
        <v>1066</v>
      </c>
      <c r="C60" s="1256">
        <v>22</v>
      </c>
      <c r="D60" s="1255">
        <f t="shared" si="22"/>
        <v>-124788</v>
      </c>
      <c r="E60" s="1255"/>
      <c r="F60" s="1255"/>
      <c r="G60" s="1255"/>
      <c r="H60" s="1241"/>
      <c r="I60" s="1255"/>
      <c r="J60" s="1255"/>
      <c r="K60" s="1255"/>
      <c r="L60" s="1255"/>
      <c r="M60" s="1255"/>
      <c r="N60" s="1255"/>
      <c r="O60" s="1255"/>
      <c r="P60" s="1255"/>
      <c r="Q60" s="1255"/>
      <c r="R60" s="1255"/>
      <c r="S60" s="1255"/>
      <c r="T60" s="1255"/>
      <c r="U60" s="1255"/>
      <c r="V60" s="1343"/>
      <c r="W60" s="1343"/>
      <c r="X60" s="1343"/>
      <c r="Y60" s="1343"/>
      <c r="Z60" s="1343"/>
      <c r="AA60" s="1343"/>
      <c r="AB60" s="1343"/>
      <c r="AC60" s="1343"/>
      <c r="AD60" s="1241">
        <v>-124788</v>
      </c>
      <c r="AE60" s="1241"/>
      <c r="AF60" s="1343"/>
      <c r="AG60" s="1343"/>
      <c r="AH60" s="1343"/>
      <c r="AI60" s="1237"/>
      <c r="AJ60" s="1237"/>
    </row>
    <row r="61" spans="1:36" ht="21.75" customHeight="1">
      <c r="A61" s="1239">
        <v>0.20500000007450581</v>
      </c>
      <c r="B61" s="1257" t="s">
        <v>340</v>
      </c>
      <c r="C61" s="1256"/>
      <c r="D61" s="1255">
        <f t="shared" si="22"/>
        <v>-2073625.7949999999</v>
      </c>
      <c r="E61" s="1255"/>
      <c r="F61" s="1343"/>
      <c r="G61" s="1343"/>
      <c r="H61" s="1255"/>
      <c r="I61" s="1343"/>
      <c r="J61" s="1343"/>
      <c r="K61" s="1343"/>
      <c r="L61" s="1343"/>
      <c r="M61" s="1343"/>
      <c r="N61" s="1343"/>
      <c r="O61" s="1343"/>
      <c r="P61" s="1343"/>
      <c r="Q61" s="1343"/>
      <c r="R61" s="1343"/>
      <c r="S61" s="1343"/>
      <c r="T61" s="1343"/>
      <c r="U61" s="1343"/>
      <c r="V61" s="1408">
        <v>-2073625.7949999999</v>
      </c>
      <c r="W61" s="1343"/>
      <c r="X61" s="1343"/>
      <c r="Y61" s="1343"/>
      <c r="Z61" s="1343"/>
      <c r="AA61" s="1343"/>
      <c r="AB61" s="1343"/>
      <c r="AC61" s="1343"/>
      <c r="AD61" s="1343"/>
      <c r="AE61" s="1343"/>
      <c r="AF61" s="1343"/>
      <c r="AG61" s="1343"/>
      <c r="AH61" s="1343"/>
      <c r="AI61" s="1237"/>
      <c r="AJ61" s="1237"/>
    </row>
    <row r="62" spans="1:36" ht="27.75" customHeight="1">
      <c r="A62" s="1239">
        <v>0</v>
      </c>
      <c r="B62" s="1257" t="s">
        <v>1067</v>
      </c>
      <c r="C62" s="1256"/>
      <c r="D62" s="1255">
        <v>0</v>
      </c>
      <c r="E62" s="1255">
        <v>0</v>
      </c>
      <c r="F62" s="1343"/>
      <c r="G62" s="1343"/>
      <c r="H62" s="1343"/>
      <c r="I62" s="1343"/>
      <c r="J62" s="1343"/>
      <c r="K62" s="1343"/>
      <c r="L62" s="1343"/>
      <c r="M62" s="1343"/>
      <c r="N62" s="1343"/>
      <c r="O62" s="1343"/>
      <c r="P62" s="1343"/>
      <c r="Q62" s="1343"/>
      <c r="R62" s="1343"/>
      <c r="S62" s="1343"/>
      <c r="T62" s="1343"/>
      <c r="U62" s="1343"/>
      <c r="V62" s="1343"/>
      <c r="W62" s="1343"/>
      <c r="X62" s="1343"/>
      <c r="Y62" s="1343"/>
      <c r="Z62" s="1343"/>
      <c r="AA62" s="1343"/>
      <c r="AB62" s="1343"/>
      <c r="AC62" s="1407"/>
      <c r="AD62" s="1343"/>
      <c r="AE62" s="1343"/>
      <c r="AF62" s="1343"/>
      <c r="AG62" s="1343"/>
      <c r="AH62" s="1343"/>
      <c r="AI62" s="1237"/>
      <c r="AJ62" s="1237"/>
    </row>
    <row r="63" spans="1:36" ht="21.75" customHeight="1">
      <c r="A63" s="1239">
        <v>0</v>
      </c>
      <c r="B63" s="1257" t="s">
        <v>1068</v>
      </c>
      <c r="C63" s="1256"/>
      <c r="D63" s="1255">
        <v>0</v>
      </c>
      <c r="E63" s="1255">
        <v>-714999</v>
      </c>
      <c r="F63" s="1343"/>
      <c r="G63" s="1343"/>
      <c r="H63" s="1343"/>
      <c r="I63" s="1343"/>
      <c r="J63" s="1343"/>
      <c r="K63" s="1343"/>
      <c r="L63" s="1343"/>
      <c r="M63" s="1343"/>
      <c r="N63" s="1343"/>
      <c r="O63" s="1343"/>
      <c r="P63" s="1343"/>
      <c r="Q63" s="1343"/>
      <c r="R63" s="1343"/>
      <c r="S63" s="1343"/>
      <c r="T63" s="1343"/>
      <c r="U63" s="1343"/>
      <c r="V63" s="1343"/>
      <c r="W63" s="1343"/>
      <c r="X63" s="1343"/>
      <c r="Y63" s="1343"/>
      <c r="Z63" s="1343"/>
      <c r="AA63" s="1343"/>
      <c r="AB63" s="1343"/>
      <c r="AC63" s="1343"/>
      <c r="AD63" s="1343"/>
      <c r="AE63" s="1343"/>
      <c r="AF63" s="1343"/>
      <c r="AG63" s="1343"/>
      <c r="AH63" s="1343"/>
      <c r="AI63" s="1237"/>
      <c r="AJ63" s="1237"/>
    </row>
    <row r="64" spans="1:36" ht="41.25" customHeight="1">
      <c r="A64" s="1237"/>
      <c r="B64" s="1250" t="s">
        <v>1069</v>
      </c>
      <c r="C64" s="1263"/>
      <c r="D64" s="1252">
        <v>4078252</v>
      </c>
      <c r="E64" s="1252">
        <v>2369043</v>
      </c>
      <c r="F64" s="1343"/>
      <c r="G64" s="1343"/>
      <c r="H64" s="1343"/>
      <c r="I64" s="1343"/>
      <c r="J64" s="1343"/>
      <c r="K64" s="1343"/>
      <c r="L64" s="1343"/>
      <c r="M64" s="1343"/>
      <c r="N64" s="1343"/>
      <c r="O64" s="1343"/>
      <c r="P64" s="1343"/>
      <c r="Q64" s="1343"/>
      <c r="R64" s="1343"/>
      <c r="S64" s="1343"/>
      <c r="T64" s="1343"/>
      <c r="U64" s="1343"/>
      <c r="V64" s="1343"/>
      <c r="W64" s="1343"/>
      <c r="X64" s="1343"/>
      <c r="Y64" s="1343"/>
      <c r="Z64" s="1343"/>
      <c r="AA64" s="1343"/>
      <c r="AB64" s="1343"/>
      <c r="AC64" s="1343"/>
      <c r="AD64" s="1343"/>
      <c r="AE64" s="1343"/>
      <c r="AF64" s="1343"/>
      <c r="AG64" s="1343"/>
      <c r="AH64" s="1343"/>
      <c r="AI64" s="1237"/>
      <c r="AJ64" s="1237"/>
    </row>
    <row r="65" spans="2:34">
      <c r="B65" s="1245"/>
      <c r="C65" s="1256"/>
      <c r="D65" s="1255"/>
      <c r="E65" s="1255"/>
      <c r="F65" s="1343"/>
      <c r="G65" s="1343"/>
      <c r="H65" s="1343"/>
      <c r="I65" s="1343"/>
      <c r="J65" s="1343"/>
      <c r="K65" s="1343"/>
      <c r="L65" s="1343"/>
      <c r="M65" s="1343"/>
      <c r="N65" s="1343"/>
      <c r="O65" s="1343"/>
      <c r="P65" s="1343"/>
      <c r="Q65" s="1343"/>
      <c r="R65" s="1343"/>
      <c r="S65" s="1343"/>
      <c r="T65" s="1343"/>
      <c r="U65" s="1343"/>
      <c r="V65" s="1343"/>
      <c r="W65" s="1343"/>
      <c r="X65" s="1343"/>
      <c r="Y65" s="1343"/>
      <c r="Z65" s="1343"/>
      <c r="AA65" s="1343"/>
      <c r="AB65" s="1343"/>
      <c r="AC65" s="1343"/>
      <c r="AD65" s="1343"/>
      <c r="AE65" s="1343"/>
      <c r="AF65" s="1343"/>
      <c r="AG65" s="1343"/>
      <c r="AH65" s="1343"/>
    </row>
    <row r="66" spans="2:34" ht="33" customHeight="1">
      <c r="B66" s="1247" t="s">
        <v>1070</v>
      </c>
      <c r="C66" s="1263"/>
      <c r="D66" s="1252">
        <v>5397476.3118900005</v>
      </c>
      <c r="E66" s="1252">
        <v>267106</v>
      </c>
      <c r="F66" s="1343"/>
      <c r="G66" s="1343"/>
      <c r="H66" s="1343"/>
      <c r="I66" s="1343"/>
      <c r="J66" s="1343"/>
      <c r="K66" s="1343"/>
      <c r="L66" s="1343"/>
      <c r="M66" s="1343"/>
      <c r="N66" s="1343"/>
      <c r="O66" s="1343"/>
      <c r="P66" s="1343"/>
      <c r="Q66" s="1343"/>
      <c r="R66" s="1343"/>
      <c r="S66" s="1343"/>
      <c r="T66" s="1343"/>
      <c r="U66" s="1343"/>
      <c r="V66" s="1343"/>
      <c r="W66" s="1343"/>
      <c r="X66" s="1343"/>
      <c r="Y66" s="1343"/>
      <c r="Z66" s="1343"/>
      <c r="AA66" s="1343"/>
      <c r="AB66" s="1343"/>
      <c r="AC66" s="1343"/>
      <c r="AD66" s="1343"/>
      <c r="AE66" s="1343"/>
      <c r="AF66" s="1343"/>
      <c r="AG66" s="1343"/>
      <c r="AH66" s="1343"/>
    </row>
    <row r="67" spans="2:34">
      <c r="B67" s="1245"/>
      <c r="C67" s="1256"/>
      <c r="D67" s="1255"/>
      <c r="E67" s="1255"/>
      <c r="F67" s="1343"/>
      <c r="G67" s="1343"/>
      <c r="H67" s="1343"/>
      <c r="I67" s="1343"/>
      <c r="J67" s="1343"/>
      <c r="K67" s="1343"/>
      <c r="L67" s="1343"/>
      <c r="M67" s="1343"/>
      <c r="N67" s="1343"/>
      <c r="O67" s="1343"/>
      <c r="P67" s="1343"/>
      <c r="Q67" s="1343"/>
      <c r="R67" s="1343"/>
      <c r="S67" s="1343"/>
      <c r="T67" s="1343"/>
      <c r="U67" s="1343"/>
      <c r="V67" s="1343"/>
      <c r="W67" s="1343"/>
      <c r="X67" s="1343"/>
      <c r="Y67" s="1343"/>
      <c r="Z67" s="1343"/>
      <c r="AA67" s="1343"/>
      <c r="AB67" s="1343"/>
      <c r="AC67" s="1343"/>
      <c r="AD67" s="1343"/>
      <c r="AE67" s="1343"/>
      <c r="AF67" s="1343"/>
      <c r="AG67" s="1343"/>
      <c r="AH67" s="1343"/>
    </row>
    <row r="68" spans="2:34" ht="33" customHeight="1">
      <c r="B68" s="1247" t="s">
        <v>1071</v>
      </c>
      <c r="C68" s="1263">
        <v>18</v>
      </c>
      <c r="D68" s="1252">
        <v>1730316</v>
      </c>
      <c r="E68" s="1252">
        <v>1796465</v>
      </c>
      <c r="F68" s="1343"/>
      <c r="G68" s="1343"/>
      <c r="H68" s="1343"/>
      <c r="I68" s="1343"/>
      <c r="J68" s="1343"/>
      <c r="K68" s="1343"/>
      <c r="L68" s="1343"/>
      <c r="M68" s="1343"/>
      <c r="N68" s="1343"/>
      <c r="O68" s="1343"/>
      <c r="P68" s="1343"/>
      <c r="Q68" s="1343"/>
      <c r="R68" s="1343"/>
      <c r="S68" s="1343"/>
      <c r="T68" s="1343"/>
      <c r="U68" s="1343"/>
      <c r="V68" s="1343"/>
      <c r="W68" s="1343"/>
      <c r="X68" s="1343"/>
      <c r="Y68" s="1343"/>
      <c r="Z68" s="1343"/>
      <c r="AA68" s="1343"/>
      <c r="AB68" s="1343"/>
      <c r="AC68" s="1343"/>
      <c r="AD68" s="1343"/>
      <c r="AE68" s="1343"/>
      <c r="AF68" s="1343"/>
      <c r="AG68" s="1343"/>
      <c r="AH68" s="1343"/>
    </row>
    <row r="69" spans="2:34" ht="26.25" customHeight="1">
      <c r="B69" s="1245" t="s">
        <v>1072</v>
      </c>
      <c r="C69" s="1256"/>
      <c r="D69" s="1255">
        <v>3307236</v>
      </c>
      <c r="E69" s="1255">
        <v>-65890</v>
      </c>
      <c r="F69" s="1343"/>
      <c r="G69" s="1343"/>
      <c r="H69" s="1343"/>
      <c r="I69" s="1343"/>
      <c r="J69" s="1343"/>
      <c r="K69" s="1343"/>
      <c r="L69" s="1343"/>
      <c r="M69" s="1343"/>
      <c r="N69" s="1343"/>
      <c r="O69" s="1343"/>
      <c r="P69" s="1343"/>
      <c r="Q69" s="1343"/>
      <c r="R69" s="1241">
        <v>3307235.9396199998</v>
      </c>
      <c r="S69" s="1343"/>
      <c r="T69" s="1343"/>
      <c r="U69" s="1343"/>
      <c r="V69" s="1343"/>
      <c r="W69" s="1343"/>
      <c r="X69" s="1343"/>
      <c r="Y69" s="1343"/>
      <c r="Z69" s="1343"/>
      <c r="AA69" s="1343"/>
      <c r="AB69" s="1343"/>
      <c r="AC69" s="1343"/>
      <c r="AD69" s="1343"/>
      <c r="AE69" s="1343"/>
      <c r="AF69" s="1343"/>
      <c r="AG69" s="1343"/>
      <c r="AH69" s="1343"/>
    </row>
    <row r="70" spans="2:34" ht="28.5" customHeight="1">
      <c r="B70" s="1247" t="s">
        <v>1073</v>
      </c>
      <c r="C70" s="1263"/>
      <c r="D70" s="1252">
        <v>10435028.31189</v>
      </c>
      <c r="E70" s="1252">
        <v>1997681</v>
      </c>
      <c r="F70" s="1343"/>
      <c r="G70" s="1343"/>
      <c r="H70" s="1343"/>
      <c r="I70" s="1343"/>
      <c r="J70" s="1343"/>
      <c r="K70" s="1343"/>
      <c r="L70" s="1343"/>
      <c r="M70" s="1343"/>
      <c r="N70" s="1343"/>
      <c r="O70" s="1343"/>
      <c r="P70" s="1343"/>
      <c r="Q70" s="1343"/>
      <c r="R70" s="1343"/>
      <c r="S70" s="1343"/>
      <c r="T70" s="1343"/>
      <c r="U70" s="1343"/>
      <c r="V70" s="1343"/>
      <c r="W70" s="1343"/>
      <c r="X70" s="1343"/>
      <c r="Y70" s="1343"/>
      <c r="Z70" s="1343"/>
      <c r="AA70" s="1343"/>
      <c r="AB70" s="1343"/>
      <c r="AC70" s="1343"/>
      <c r="AD70" s="1343"/>
      <c r="AE70" s="1343"/>
      <c r="AF70" s="1343"/>
      <c r="AG70" s="1343"/>
      <c r="AH70" s="1343"/>
    </row>
    <row r="71" spans="2:34" ht="15">
      <c r="B71" s="1237"/>
      <c r="C71" s="1237"/>
      <c r="D71" s="1264">
        <v>10435029</v>
      </c>
      <c r="E71" s="1237"/>
      <c r="F71" s="1343"/>
      <c r="G71" s="1343"/>
      <c r="H71" s="1343"/>
      <c r="I71" s="1343"/>
      <c r="J71" s="1343"/>
      <c r="K71" s="1343"/>
      <c r="L71" s="1343"/>
      <c r="M71" s="1343"/>
      <c r="N71" s="1343"/>
      <c r="O71" s="1343"/>
      <c r="P71" s="1343"/>
      <c r="Q71" s="1343"/>
      <c r="R71" s="1343"/>
      <c r="S71" s="1343"/>
      <c r="T71" s="1343"/>
      <c r="U71" s="1343"/>
      <c r="V71" s="1343"/>
      <c r="W71" s="1343"/>
      <c r="X71" s="1343"/>
      <c r="Y71" s="1343"/>
      <c r="Z71" s="1343"/>
      <c r="AA71" s="1343"/>
      <c r="AB71" s="1343"/>
      <c r="AC71" s="1343"/>
      <c r="AD71" s="1343"/>
      <c r="AE71" s="1343"/>
      <c r="AF71" s="1343"/>
      <c r="AG71" s="1343"/>
      <c r="AH71" s="1343"/>
    </row>
    <row r="72" spans="2:34" ht="15">
      <c r="B72" s="1237"/>
      <c r="C72" s="1237"/>
      <c r="D72" s="1264">
        <v>-0.6881099995225668</v>
      </c>
      <c r="E72" s="1237"/>
      <c r="F72" s="1343"/>
      <c r="G72" s="1343"/>
      <c r="H72" s="1343"/>
      <c r="I72" s="1343"/>
      <c r="J72" s="1343"/>
      <c r="K72" s="1343"/>
      <c r="L72" s="1343"/>
      <c r="M72" s="1343"/>
      <c r="N72" s="1343"/>
      <c r="O72" s="1343"/>
      <c r="P72" s="1343"/>
      <c r="Q72" s="1343"/>
      <c r="R72" s="1343"/>
      <c r="S72" s="1343"/>
      <c r="T72" s="1343"/>
      <c r="U72" s="1343"/>
      <c r="V72" s="1343"/>
      <c r="W72" s="1343"/>
      <c r="X72" s="1343"/>
      <c r="Y72" s="1343"/>
      <c r="Z72" s="1343"/>
      <c r="AA72" s="1343"/>
      <c r="AB72" s="1343"/>
      <c r="AC72" s="1343"/>
      <c r="AD72" s="1343"/>
      <c r="AE72" s="1343"/>
      <c r="AF72" s="1343"/>
      <c r="AG72" s="1343"/>
      <c r="AH72" s="1343"/>
    </row>
    <row r="73" spans="2:34" ht="15">
      <c r="B73" s="1237"/>
      <c r="C73" s="1237"/>
      <c r="D73" s="1237"/>
      <c r="E73" s="1237"/>
      <c r="F73" s="1343"/>
      <c r="G73" s="1343"/>
      <c r="H73" s="1343"/>
      <c r="I73" s="1343"/>
      <c r="J73" s="1343"/>
      <c r="K73" s="1343"/>
      <c r="L73" s="1343"/>
      <c r="M73" s="1343"/>
      <c r="N73" s="1343"/>
      <c r="O73" s="1343"/>
      <c r="P73" s="1343"/>
      <c r="Q73" s="1343"/>
      <c r="R73" s="1343"/>
      <c r="S73" s="1343"/>
      <c r="T73" s="1343"/>
      <c r="U73" s="1343"/>
      <c r="V73" s="1343"/>
      <c r="W73" s="1343"/>
      <c r="X73" s="1343"/>
      <c r="Y73" s="1343"/>
      <c r="Z73" s="1343"/>
      <c r="AA73" s="1343"/>
      <c r="AB73" s="1343"/>
      <c r="AC73" s="1343"/>
      <c r="AD73" s="1343"/>
      <c r="AE73" s="1343"/>
      <c r="AF73" s="1343"/>
      <c r="AG73" s="1343"/>
      <c r="AH73" s="1343"/>
    </row>
    <row r="74" spans="2:34" ht="15">
      <c r="B74" s="1237"/>
      <c r="C74" s="1237"/>
      <c r="D74" s="1237"/>
      <c r="E74" s="1237"/>
      <c r="F74" s="1343"/>
      <c r="G74" s="1343"/>
      <c r="H74" s="1343"/>
      <c r="I74" s="1343"/>
      <c r="J74" s="1343"/>
      <c r="K74" s="1343"/>
      <c r="L74" s="1343"/>
      <c r="M74" s="1343"/>
      <c r="N74" s="1343"/>
      <c r="O74" s="1343"/>
      <c r="P74" s="1343"/>
      <c r="Q74" s="1343"/>
      <c r="R74" s="1343"/>
      <c r="S74" s="1343"/>
      <c r="T74" s="1343"/>
      <c r="U74" s="1343"/>
      <c r="V74" s="1343"/>
      <c r="W74" s="1343"/>
      <c r="X74" s="1343"/>
      <c r="Y74" s="1343"/>
      <c r="Z74" s="1343"/>
      <c r="AA74" s="1343"/>
      <c r="AB74" s="1343"/>
      <c r="AC74" s="1343"/>
      <c r="AD74" s="1343"/>
      <c r="AE74" s="1343"/>
      <c r="AF74" s="1343"/>
      <c r="AG74" s="1343"/>
      <c r="AH74" s="1343"/>
    </row>
    <row r="75" spans="2:34" ht="15">
      <c r="B75" s="1237"/>
      <c r="C75" s="1237"/>
      <c r="D75" s="1237"/>
      <c r="E75" s="1237"/>
      <c r="F75" s="1343"/>
      <c r="G75" s="1343"/>
      <c r="H75" s="1343"/>
      <c r="I75" s="1343"/>
      <c r="J75" s="1343"/>
      <c r="K75" s="1343"/>
      <c r="L75" s="1343"/>
      <c r="M75" s="1343"/>
      <c r="N75" s="1343"/>
      <c r="O75" s="1343"/>
      <c r="P75" s="1343"/>
      <c r="Q75" s="1343"/>
      <c r="R75" s="1343"/>
      <c r="S75" s="1343"/>
      <c r="T75" s="1343"/>
      <c r="U75" s="1343"/>
      <c r="V75" s="1343"/>
      <c r="W75" s="1343"/>
      <c r="X75" s="1343"/>
      <c r="Y75" s="1343"/>
      <c r="Z75" s="1343"/>
      <c r="AA75" s="1343"/>
      <c r="AB75" s="1343"/>
      <c r="AC75" s="1343"/>
      <c r="AD75" s="1343"/>
      <c r="AE75" s="1343"/>
      <c r="AF75" s="1343"/>
      <c r="AG75" s="1343"/>
      <c r="AH75" s="1343"/>
    </row>
    <row r="76" spans="2:34" ht="15">
      <c r="B76" s="1237"/>
      <c r="C76" s="1237"/>
      <c r="D76" s="1237"/>
      <c r="E76" s="1237"/>
      <c r="F76" s="1343"/>
      <c r="G76" s="1343"/>
      <c r="H76" s="1343"/>
      <c r="I76" s="1343"/>
      <c r="J76" s="1343"/>
      <c r="K76" s="1343"/>
      <c r="L76" s="1343"/>
      <c r="M76" s="1343"/>
      <c r="N76" s="1343"/>
      <c r="O76" s="1343"/>
      <c r="P76" s="1343"/>
      <c r="Q76" s="1343"/>
      <c r="R76" s="1343"/>
      <c r="S76" s="1343"/>
      <c r="T76" s="1343"/>
      <c r="U76" s="1343"/>
      <c r="V76" s="1343"/>
      <c r="W76" s="1343"/>
      <c r="X76" s="1343"/>
      <c r="Y76" s="1343"/>
      <c r="Z76" s="1343"/>
      <c r="AA76" s="1343"/>
      <c r="AB76" s="1343"/>
      <c r="AC76" s="1343"/>
      <c r="AD76" s="1343"/>
      <c r="AE76" s="1343"/>
      <c r="AF76" s="1343"/>
      <c r="AG76" s="1343"/>
      <c r="AH76" s="1343"/>
    </row>
    <row r="77" spans="2:34" ht="15">
      <c r="B77" s="1237"/>
      <c r="C77" s="1237"/>
      <c r="D77" s="1237"/>
      <c r="E77" s="1237"/>
      <c r="F77" s="1343"/>
      <c r="G77" s="1343"/>
      <c r="H77" s="1343"/>
      <c r="I77" s="1343"/>
      <c r="J77" s="1343"/>
      <c r="K77" s="1343"/>
      <c r="L77" s="1343"/>
      <c r="M77" s="1343"/>
      <c r="N77" s="1343"/>
      <c r="O77" s="1343"/>
      <c r="P77" s="1343"/>
      <c r="Q77" s="1343"/>
      <c r="R77" s="1343"/>
      <c r="S77" s="1343"/>
      <c r="T77" s="1343"/>
      <c r="U77" s="1343"/>
      <c r="V77" s="1343"/>
      <c r="W77" s="1343"/>
      <c r="X77" s="1343"/>
      <c r="Y77" s="1343"/>
      <c r="Z77" s="1343"/>
      <c r="AA77" s="1343"/>
      <c r="AB77" s="1343"/>
      <c r="AC77" s="1343"/>
      <c r="AD77" s="1343"/>
      <c r="AE77" s="1343"/>
      <c r="AF77" s="1343"/>
      <c r="AG77" s="1343"/>
      <c r="AH77" s="1343"/>
    </row>
    <row r="78" spans="2:34" ht="15">
      <c r="B78" s="1237"/>
      <c r="C78" s="1237"/>
      <c r="D78" s="1237"/>
      <c r="E78" s="1237"/>
      <c r="F78" s="1343"/>
      <c r="G78" s="1343"/>
      <c r="H78" s="1343"/>
      <c r="I78" s="1343"/>
      <c r="J78" s="1343"/>
      <c r="K78" s="1343"/>
      <c r="L78" s="1343"/>
      <c r="M78" s="1343"/>
      <c r="N78" s="1343"/>
      <c r="O78" s="1343"/>
      <c r="P78" s="1343"/>
      <c r="Q78" s="1343"/>
      <c r="R78" s="1343"/>
      <c r="S78" s="1343"/>
      <c r="T78" s="1343"/>
      <c r="U78" s="1343"/>
      <c r="V78" s="1343"/>
      <c r="W78" s="1343"/>
      <c r="X78" s="1343"/>
      <c r="Y78" s="1343"/>
      <c r="Z78" s="1343"/>
      <c r="AA78" s="1343"/>
      <c r="AB78" s="1343"/>
      <c r="AC78" s="1343"/>
      <c r="AD78" s="1343"/>
      <c r="AE78" s="1343"/>
      <c r="AF78" s="1343"/>
      <c r="AG78" s="1343"/>
      <c r="AH78" s="1343"/>
    </row>
    <row r="79" spans="2:34" ht="15">
      <c r="B79" s="1237"/>
      <c r="C79" s="1237"/>
      <c r="D79" s="1237"/>
      <c r="E79" s="1237"/>
      <c r="F79" s="1343"/>
      <c r="G79" s="1343"/>
      <c r="H79" s="1343"/>
      <c r="I79" s="1343"/>
      <c r="J79" s="1343"/>
      <c r="K79" s="1343"/>
      <c r="L79" s="1343"/>
      <c r="M79" s="1343"/>
      <c r="N79" s="1343"/>
      <c r="O79" s="1343"/>
      <c r="P79" s="1343"/>
      <c r="Q79" s="1343"/>
      <c r="R79" s="1343"/>
      <c r="S79" s="1343"/>
      <c r="T79" s="1343"/>
      <c r="U79" s="1343"/>
      <c r="V79" s="1343"/>
      <c r="W79" s="1343"/>
      <c r="X79" s="1343"/>
      <c r="Y79" s="1343"/>
      <c r="Z79" s="1343"/>
      <c r="AA79" s="1343"/>
      <c r="AB79" s="1343"/>
      <c r="AC79" s="1343"/>
      <c r="AD79" s="1343"/>
      <c r="AE79" s="1343"/>
      <c r="AF79" s="1343"/>
      <c r="AG79" s="1343"/>
      <c r="AH79" s="1343"/>
    </row>
    <row r="80" spans="2:34" ht="15">
      <c r="B80" s="1237"/>
      <c r="C80" s="1237"/>
      <c r="D80" s="1237"/>
      <c r="E80" s="1237"/>
      <c r="F80" s="1343"/>
      <c r="G80" s="1343"/>
      <c r="H80" s="1343"/>
      <c r="I80" s="1343"/>
      <c r="J80" s="1343"/>
      <c r="K80" s="1343"/>
      <c r="L80" s="1343"/>
      <c r="M80" s="1343"/>
      <c r="N80" s="1343"/>
      <c r="O80" s="1343"/>
      <c r="P80" s="1343"/>
      <c r="Q80" s="1343"/>
      <c r="R80" s="1343"/>
      <c r="S80" s="1343"/>
      <c r="T80" s="1343"/>
      <c r="U80" s="1343"/>
      <c r="V80" s="1343"/>
      <c r="W80" s="1343"/>
      <c r="X80" s="1343"/>
      <c r="Y80" s="1343"/>
      <c r="Z80" s="1343"/>
      <c r="AA80" s="1343"/>
      <c r="AB80" s="1343"/>
      <c r="AC80" s="1343"/>
      <c r="AD80" s="1343"/>
      <c r="AE80" s="1343"/>
      <c r="AF80" s="1343"/>
      <c r="AG80" s="1343"/>
      <c r="AH80" s="1343"/>
    </row>
    <row r="81" spans="2:34" ht="15">
      <c r="B81" s="1237"/>
      <c r="C81" s="1237"/>
      <c r="D81" s="1237"/>
      <c r="E81" s="1237"/>
      <c r="F81" s="1343"/>
      <c r="G81" s="1343"/>
      <c r="H81" s="1343"/>
      <c r="I81" s="1343"/>
      <c r="J81" s="1343"/>
      <c r="K81" s="1343"/>
      <c r="L81" s="1343"/>
      <c r="M81" s="1343"/>
      <c r="N81" s="1343"/>
      <c r="O81" s="1343"/>
      <c r="P81" s="1343"/>
      <c r="Q81" s="1343"/>
      <c r="R81" s="1343"/>
      <c r="S81" s="1343"/>
      <c r="T81" s="1343"/>
      <c r="U81" s="1343"/>
      <c r="V81" s="1343"/>
      <c r="W81" s="1343"/>
      <c r="X81" s="1343"/>
      <c r="Y81" s="1343"/>
      <c r="Z81" s="1343"/>
      <c r="AA81" s="1343"/>
      <c r="AB81" s="1343"/>
      <c r="AC81" s="1343"/>
      <c r="AD81" s="1343"/>
      <c r="AE81" s="1343"/>
      <c r="AF81" s="1343"/>
      <c r="AG81" s="1343"/>
      <c r="AH81" s="1343"/>
    </row>
    <row r="82" spans="2:34" ht="15">
      <c r="B82" s="1237"/>
      <c r="C82" s="1237"/>
      <c r="D82" s="1237"/>
      <c r="E82" s="1237"/>
      <c r="F82" s="1343"/>
      <c r="G82" s="1343"/>
      <c r="H82" s="1343"/>
      <c r="I82" s="1343"/>
      <c r="J82" s="1343"/>
      <c r="K82" s="1343"/>
      <c r="L82" s="1343"/>
      <c r="M82" s="1343"/>
      <c r="N82" s="1343"/>
      <c r="O82" s="1343"/>
      <c r="P82" s="1343"/>
      <c r="Q82" s="1343"/>
      <c r="R82" s="1343"/>
      <c r="S82" s="1343"/>
      <c r="T82" s="1343"/>
      <c r="U82" s="1343"/>
      <c r="V82" s="1343"/>
      <c r="W82" s="1343"/>
      <c r="X82" s="1343"/>
      <c r="Y82" s="1343"/>
      <c r="Z82" s="1343"/>
      <c r="AA82" s="1343"/>
      <c r="AB82" s="1343"/>
      <c r="AC82" s="1343"/>
      <c r="AD82" s="1343"/>
      <c r="AE82" s="1343"/>
      <c r="AF82" s="1343"/>
      <c r="AG82" s="1343"/>
      <c r="AH82" s="1343"/>
    </row>
    <row r="83" spans="2:34" ht="15">
      <c r="B83" s="1237"/>
      <c r="C83" s="1237"/>
      <c r="D83" s="1237"/>
      <c r="E83" s="1237"/>
      <c r="F83" s="1343"/>
      <c r="G83" s="1343"/>
      <c r="H83" s="1343"/>
      <c r="I83" s="1343"/>
      <c r="J83" s="1343"/>
      <c r="K83" s="1343"/>
      <c r="L83" s="1343"/>
      <c r="M83" s="1343"/>
      <c r="N83" s="1343"/>
      <c r="O83" s="1343"/>
      <c r="P83" s="1343"/>
      <c r="Q83" s="1343"/>
      <c r="R83" s="1343"/>
      <c r="S83" s="1343"/>
      <c r="T83" s="1343"/>
      <c r="U83" s="1343"/>
      <c r="V83" s="1343"/>
      <c r="W83" s="1343"/>
      <c r="X83" s="1343"/>
      <c r="Y83" s="1343"/>
      <c r="Z83" s="1343"/>
      <c r="AA83" s="1343"/>
      <c r="AB83" s="1343"/>
      <c r="AC83" s="1343"/>
      <c r="AD83" s="1343"/>
      <c r="AE83" s="1343"/>
      <c r="AF83" s="1343"/>
      <c r="AG83" s="1343"/>
      <c r="AH83" s="1343"/>
    </row>
    <row r="84" spans="2:34" ht="15">
      <c r="B84" s="1237"/>
      <c r="C84" s="1237"/>
      <c r="D84" s="1237"/>
      <c r="E84" s="1237"/>
      <c r="F84" s="1343"/>
      <c r="G84" s="1343"/>
      <c r="H84" s="1343"/>
      <c r="I84" s="1343"/>
      <c r="J84" s="1343"/>
      <c r="K84" s="1343"/>
      <c r="L84" s="1343"/>
      <c r="M84" s="1343"/>
      <c r="N84" s="1343"/>
      <c r="O84" s="1343"/>
      <c r="P84" s="1343"/>
      <c r="Q84" s="1343"/>
      <c r="R84" s="1343"/>
      <c r="S84" s="1343"/>
      <c r="T84" s="1343"/>
      <c r="U84" s="1343"/>
      <c r="V84" s="1343"/>
      <c r="W84" s="1343"/>
      <c r="X84" s="1343"/>
      <c r="Y84" s="1343"/>
      <c r="Z84" s="1343"/>
      <c r="AA84" s="1343"/>
      <c r="AB84" s="1343"/>
      <c r="AC84" s="1343"/>
      <c r="AD84" s="1343"/>
      <c r="AE84" s="1343"/>
      <c r="AF84" s="1343"/>
      <c r="AG84" s="1343"/>
      <c r="AH84" s="1343"/>
    </row>
    <row r="85" spans="2:34" ht="15">
      <c r="B85" s="1265" t="s">
        <v>1074</v>
      </c>
      <c r="C85" s="1237"/>
      <c r="D85" s="1237"/>
      <c r="E85" s="1237"/>
      <c r="F85" s="1343"/>
      <c r="G85" s="1343"/>
      <c r="H85" s="1343"/>
      <c r="I85" s="1343"/>
      <c r="J85" s="1343"/>
      <c r="K85" s="1343"/>
      <c r="L85" s="1343"/>
      <c r="M85" s="1343"/>
      <c r="N85" s="1343"/>
      <c r="O85" s="1343"/>
      <c r="P85" s="1343"/>
      <c r="Q85" s="1343"/>
      <c r="R85" s="1343"/>
      <c r="S85" s="1343"/>
      <c r="T85" s="1343"/>
      <c r="U85" s="1343"/>
      <c r="V85" s="1343"/>
      <c r="W85" s="1343"/>
      <c r="X85" s="1343"/>
      <c r="Y85" s="1343"/>
      <c r="Z85" s="1343"/>
      <c r="AA85" s="1343"/>
      <c r="AB85" s="1343"/>
      <c r="AC85" s="1343"/>
      <c r="AD85" s="1343"/>
      <c r="AE85" s="1343"/>
      <c r="AF85" s="1343"/>
      <c r="AG85" s="1343"/>
      <c r="AH85" s="1343"/>
    </row>
    <row r="86" spans="2:34" ht="15">
      <c r="B86" s="1237"/>
      <c r="C86" s="1237"/>
      <c r="D86" s="1237"/>
      <c r="E86" s="1237"/>
      <c r="F86" s="1343"/>
      <c r="G86" s="1343"/>
      <c r="H86" s="1343"/>
      <c r="I86" s="1343"/>
      <c r="J86" s="1343"/>
      <c r="K86" s="1343"/>
      <c r="L86" s="1343"/>
      <c r="M86" s="1343"/>
      <c r="N86" s="1343"/>
      <c r="O86" s="1343"/>
      <c r="P86" s="1343"/>
      <c r="Q86" s="1343"/>
      <c r="R86" s="1343"/>
      <c r="S86" s="1343"/>
      <c r="T86" s="1343"/>
      <c r="U86" s="1343"/>
      <c r="V86" s="1343"/>
      <c r="W86" s="1343"/>
      <c r="X86" s="1343"/>
      <c r="Y86" s="1343"/>
      <c r="Z86" s="1343"/>
      <c r="AA86" s="1343"/>
      <c r="AB86" s="1343"/>
      <c r="AC86" s="1343"/>
      <c r="AD86" s="1343"/>
      <c r="AE86" s="1343"/>
      <c r="AF86" s="1343"/>
      <c r="AG86" s="1343"/>
      <c r="AH86" s="1343"/>
    </row>
    <row r="87" spans="2:34">
      <c r="B87" s="1266" t="s">
        <v>1075</v>
      </c>
      <c r="C87" s="1267"/>
      <c r="D87" s="1315"/>
      <c r="E87" s="1267"/>
      <c r="F87" s="1267"/>
      <c r="G87" s="1343"/>
      <c r="H87" s="1343"/>
      <c r="I87" s="1343"/>
      <c r="J87" s="1343"/>
      <c r="K87" s="1343"/>
      <c r="L87" s="1343"/>
      <c r="M87" s="1343"/>
      <c r="N87" s="1343"/>
      <c r="O87" s="1343"/>
      <c r="P87" s="1343"/>
      <c r="Q87" s="1343"/>
      <c r="R87" s="1343"/>
      <c r="S87" s="1343"/>
      <c r="T87" s="1343"/>
      <c r="U87" s="1343"/>
      <c r="V87" s="1343"/>
      <c r="W87" s="1343"/>
      <c r="X87" s="1343"/>
      <c r="Y87" s="1343"/>
      <c r="Z87" s="1343"/>
      <c r="AA87" s="1343"/>
      <c r="AB87" s="1343"/>
      <c r="AC87" s="1343"/>
      <c r="AD87" s="1343"/>
      <c r="AE87" s="1343"/>
      <c r="AF87" s="1343"/>
      <c r="AG87" s="1343"/>
      <c r="AH87" s="1343"/>
    </row>
    <row r="88" spans="2:34">
      <c r="B88" s="1268">
        <v>1000</v>
      </c>
      <c r="C88" s="1269"/>
      <c r="D88" s="1316"/>
      <c r="E88" s="1269"/>
      <c r="F88" s="1274">
        <v>1011039363.6799999</v>
      </c>
      <c r="G88" s="1343"/>
      <c r="H88" s="1343"/>
      <c r="I88" s="1343"/>
      <c r="J88" s="1343"/>
      <c r="K88" s="1343"/>
      <c r="L88" s="1343"/>
      <c r="M88" s="1343"/>
      <c r="N88" s="1343"/>
      <c r="O88" s="1343"/>
      <c r="P88" s="1343"/>
      <c r="Q88" s="1343"/>
      <c r="R88" s="1343"/>
      <c r="S88" s="1343"/>
      <c r="T88" s="1343"/>
      <c r="U88" s="1343"/>
      <c r="V88" s="1343"/>
      <c r="W88" s="1343"/>
      <c r="X88" s="1343"/>
      <c r="Y88" s="1343"/>
      <c r="Z88" s="1343"/>
      <c r="AA88" s="1343"/>
      <c r="AB88" s="1343"/>
      <c r="AC88" s="1343"/>
      <c r="AD88" s="1343"/>
      <c r="AE88" s="1343"/>
      <c r="AF88" s="1343"/>
      <c r="AG88" s="1343"/>
      <c r="AH88" s="1343"/>
    </row>
    <row r="89" spans="2:34" ht="15">
      <c r="B89" s="1268">
        <v>1030</v>
      </c>
      <c r="C89" s="1269"/>
      <c r="D89" s="1316"/>
      <c r="E89" s="1269"/>
      <c r="F89" s="1270">
        <v>1011039363.6799999</v>
      </c>
      <c r="G89" s="1237"/>
      <c r="H89" s="1343"/>
      <c r="I89" s="1237"/>
      <c r="J89" s="1237"/>
      <c r="K89" s="1237"/>
      <c r="L89" s="1237"/>
      <c r="M89" s="1237"/>
      <c r="N89" s="1237"/>
      <c r="O89" s="1237"/>
      <c r="P89" s="1237"/>
      <c r="Q89" s="1237"/>
      <c r="R89" s="1237"/>
      <c r="S89" s="1237"/>
      <c r="T89" s="1237"/>
      <c r="U89" s="1237"/>
      <c r="V89" s="1237"/>
      <c r="W89" s="1237"/>
      <c r="X89" s="1237"/>
      <c r="Y89" s="1237"/>
      <c r="Z89" s="1237"/>
      <c r="AA89" s="1237"/>
      <c r="AB89" s="1237"/>
      <c r="AC89" s="1237"/>
      <c r="AD89" s="1237"/>
      <c r="AE89" s="1237"/>
      <c r="AF89" s="1237"/>
      <c r="AG89" s="1237"/>
      <c r="AH89" s="1237"/>
    </row>
    <row r="90" spans="2:34" ht="15">
      <c r="B90" s="1268">
        <v>1031</v>
      </c>
      <c r="C90" s="1269"/>
      <c r="D90" s="1316"/>
      <c r="E90" s="1269"/>
      <c r="F90" s="1270">
        <v>879619986.59000003</v>
      </c>
      <c r="G90" s="1237"/>
      <c r="H90" s="1237"/>
      <c r="I90" s="1237"/>
      <c r="J90" s="1237"/>
      <c r="K90" s="1237"/>
      <c r="L90" s="1237"/>
      <c r="M90" s="1237"/>
      <c r="N90" s="1237"/>
      <c r="O90" s="1237"/>
      <c r="P90" s="1237"/>
      <c r="Q90" s="1237"/>
      <c r="R90" s="1237"/>
      <c r="S90" s="1237"/>
      <c r="T90" s="1237"/>
      <c r="U90" s="1237"/>
      <c r="V90" s="1237"/>
      <c r="W90" s="1237"/>
      <c r="X90" s="1237"/>
      <c r="Y90" s="1237"/>
      <c r="Z90" s="1237"/>
      <c r="AA90" s="1237"/>
      <c r="AB90" s="1237"/>
      <c r="AC90" s="1237"/>
      <c r="AD90" s="1237"/>
      <c r="AE90" s="1237"/>
      <c r="AF90" s="1237"/>
      <c r="AG90" s="1237"/>
      <c r="AH90" s="1237"/>
    </row>
    <row r="91" spans="2:34" ht="15">
      <c r="B91" s="1268">
        <v>1032</v>
      </c>
      <c r="C91" s="1269"/>
      <c r="D91" s="1316"/>
      <c r="E91" s="1269"/>
      <c r="F91" s="1270">
        <v>131419377.09</v>
      </c>
      <c r="G91" s="1237"/>
      <c r="H91" s="1237"/>
      <c r="I91" s="1237"/>
      <c r="J91" s="1237"/>
      <c r="K91" s="1237"/>
      <c r="L91" s="1237"/>
      <c r="M91" s="1237"/>
      <c r="N91" s="1237"/>
      <c r="O91" s="1237"/>
      <c r="P91" s="1237"/>
      <c r="Q91" s="1237"/>
      <c r="R91" s="1237"/>
      <c r="S91" s="1237"/>
      <c r="T91" s="1237"/>
      <c r="U91" s="1237"/>
      <c r="V91" s="1237"/>
      <c r="W91" s="1237"/>
      <c r="X91" s="1237"/>
      <c r="Y91" s="1237"/>
      <c r="Z91" s="1237"/>
      <c r="AA91" s="1237"/>
      <c r="AB91" s="1237"/>
      <c r="AC91" s="1237"/>
      <c r="AD91" s="1237"/>
      <c r="AE91" s="1237"/>
      <c r="AF91" s="1237"/>
      <c r="AG91" s="1237"/>
      <c r="AH91" s="1237"/>
    </row>
    <row r="92" spans="2:34" ht="15">
      <c r="B92" s="1271" t="s">
        <v>171</v>
      </c>
      <c r="C92" s="1272"/>
      <c r="D92" s="1317"/>
      <c r="E92" s="1272"/>
      <c r="F92" s="1273">
        <v>1011039363.6799999</v>
      </c>
      <c r="G92" s="1237"/>
      <c r="H92" s="1237"/>
      <c r="I92" s="1237"/>
      <c r="J92" s="1237"/>
      <c r="K92" s="1237"/>
      <c r="L92" s="1237"/>
      <c r="M92" s="1237"/>
      <c r="N92" s="1237"/>
      <c r="O92" s="1237"/>
      <c r="P92" s="1237"/>
      <c r="Q92" s="1237"/>
      <c r="R92" s="1237"/>
      <c r="S92" s="1237"/>
      <c r="T92" s="1237"/>
      <c r="U92" s="1237"/>
      <c r="V92" s="1237"/>
      <c r="W92" s="1237"/>
      <c r="X92" s="1237"/>
      <c r="Y92" s="1237"/>
      <c r="Z92" s="1237"/>
      <c r="AA92" s="1237"/>
      <c r="AB92" s="1237"/>
      <c r="AC92" s="1237"/>
      <c r="AD92" s="1237"/>
      <c r="AE92" s="1237"/>
      <c r="AF92" s="1237"/>
      <c r="AG92" s="1237"/>
      <c r="AH92" s="1237"/>
    </row>
    <row r="93" spans="2:34" ht="15">
      <c r="B93" s="1266" t="s">
        <v>16</v>
      </c>
      <c r="C93" s="1267"/>
      <c r="D93" s="1315"/>
      <c r="E93" s="1267"/>
      <c r="F93" s="1267"/>
      <c r="G93" s="1237"/>
      <c r="H93" s="1237"/>
      <c r="I93" s="1237"/>
      <c r="J93" s="1237"/>
      <c r="K93" s="1237"/>
      <c r="L93" s="1237"/>
      <c r="M93" s="1237"/>
      <c r="N93" s="1237"/>
      <c r="O93" s="1237"/>
      <c r="P93" s="1237"/>
      <c r="Q93" s="1237"/>
      <c r="R93" s="1237"/>
      <c r="S93" s="1237"/>
      <c r="T93" s="1237"/>
      <c r="U93" s="1237"/>
      <c r="V93" s="1237"/>
      <c r="W93" s="1237"/>
      <c r="X93" s="1237"/>
      <c r="Y93" s="1237"/>
      <c r="Z93" s="1237"/>
      <c r="AA93" s="1237"/>
      <c r="AB93" s="1237"/>
      <c r="AC93" s="1237"/>
      <c r="AD93" s="1237"/>
      <c r="AE93" s="1237"/>
      <c r="AF93" s="1237"/>
      <c r="AG93" s="1237"/>
      <c r="AH93" s="1237"/>
    </row>
    <row r="94" spans="2:34" ht="15">
      <c r="B94" s="1268">
        <v>1000</v>
      </c>
      <c r="C94" s="1269"/>
      <c r="D94" s="1316"/>
      <c r="E94" s="1269"/>
      <c r="F94" s="1274">
        <v>292162557</v>
      </c>
      <c r="G94" s="1237"/>
      <c r="H94" s="1237"/>
      <c r="I94" s="1237"/>
      <c r="J94" s="1237"/>
      <c r="K94" s="1237"/>
      <c r="L94" s="1237"/>
      <c r="M94" s="1237"/>
      <c r="N94" s="1237"/>
      <c r="O94" s="1237"/>
      <c r="P94" s="1237"/>
      <c r="Q94" s="1237"/>
      <c r="R94" s="1237"/>
      <c r="S94" s="1237"/>
      <c r="T94" s="1237"/>
      <c r="U94" s="1237"/>
      <c r="V94" s="1237"/>
      <c r="W94" s="1237"/>
      <c r="X94" s="1237"/>
      <c r="Y94" s="1237"/>
      <c r="Z94" s="1237"/>
      <c r="AA94" s="1237"/>
      <c r="AB94" s="1237"/>
      <c r="AC94" s="1237"/>
      <c r="AD94" s="1237"/>
      <c r="AE94" s="1237"/>
      <c r="AF94" s="1237"/>
      <c r="AG94" s="1237"/>
      <c r="AH94" s="1237"/>
    </row>
    <row r="95" spans="2:34" ht="15">
      <c r="B95" s="1268">
        <v>1030</v>
      </c>
      <c r="C95" s="1269"/>
      <c r="D95" s="1316"/>
      <c r="E95" s="1269"/>
      <c r="F95" s="1274">
        <v>292162557</v>
      </c>
      <c r="G95" s="1237"/>
      <c r="H95" s="1237"/>
      <c r="I95" s="1237"/>
      <c r="J95" s="1237"/>
      <c r="K95" s="1237"/>
      <c r="L95" s="1237"/>
      <c r="M95" s="1237"/>
      <c r="N95" s="1237"/>
      <c r="O95" s="1237"/>
      <c r="P95" s="1237"/>
      <c r="Q95" s="1237"/>
      <c r="R95" s="1237"/>
      <c r="S95" s="1237"/>
      <c r="T95" s="1237"/>
      <c r="U95" s="1237"/>
      <c r="V95" s="1237"/>
      <c r="W95" s="1237"/>
      <c r="X95" s="1237"/>
      <c r="Y95" s="1237"/>
      <c r="Z95" s="1237"/>
      <c r="AA95" s="1237"/>
      <c r="AB95" s="1237"/>
      <c r="AC95" s="1237"/>
      <c r="AD95" s="1237"/>
      <c r="AE95" s="1237"/>
      <c r="AF95" s="1237"/>
      <c r="AG95" s="1237"/>
      <c r="AH95" s="1237"/>
    </row>
    <row r="96" spans="2:34" ht="15">
      <c r="B96" s="1268">
        <v>1031</v>
      </c>
      <c r="C96" s="1269"/>
      <c r="D96" s="1316"/>
      <c r="E96" s="1269"/>
      <c r="F96" s="1274">
        <v>292162557</v>
      </c>
      <c r="G96" s="1237"/>
      <c r="H96" s="1237"/>
      <c r="I96" s="1237"/>
      <c r="J96" s="1237"/>
      <c r="K96" s="1237"/>
      <c r="L96" s="1237"/>
      <c r="M96" s="1237"/>
      <c r="N96" s="1237"/>
      <c r="O96" s="1237"/>
      <c r="P96" s="1237"/>
      <c r="Q96" s="1237"/>
      <c r="R96" s="1237"/>
      <c r="S96" s="1237"/>
      <c r="T96" s="1237"/>
      <c r="U96" s="1237"/>
      <c r="V96" s="1237"/>
      <c r="W96" s="1237"/>
      <c r="X96" s="1237"/>
      <c r="Y96" s="1237"/>
      <c r="Z96" s="1237"/>
      <c r="AA96" s="1237"/>
      <c r="AB96" s="1237"/>
      <c r="AC96" s="1237"/>
      <c r="AD96" s="1237"/>
      <c r="AE96" s="1237"/>
      <c r="AF96" s="1237"/>
      <c r="AG96" s="1237"/>
      <c r="AH96" s="1237"/>
    </row>
    <row r="97" spans="2:9" ht="15">
      <c r="B97" s="1271" t="s">
        <v>171</v>
      </c>
      <c r="C97" s="1272"/>
      <c r="D97" s="1317"/>
      <c r="E97" s="1272"/>
      <c r="F97" s="1275">
        <v>292162557</v>
      </c>
      <c r="G97" s="1237"/>
      <c r="H97" s="1237"/>
      <c r="I97" s="1237"/>
    </row>
    <row r="102" spans="2:9" ht="15">
      <c r="B102" s="1237"/>
      <c r="C102" s="1237"/>
      <c r="D102" s="1237"/>
      <c r="E102" s="1237"/>
      <c r="F102" s="1408"/>
      <c r="G102" s="1409"/>
      <c r="H102" s="1408"/>
      <c r="I102" s="1408"/>
    </row>
    <row r="103" spans="2:9" ht="15">
      <c r="B103" s="1572" t="s">
        <v>1076</v>
      </c>
      <c r="C103" s="1572"/>
      <c r="D103" s="1318" t="s">
        <v>72</v>
      </c>
      <c r="E103" s="1237"/>
      <c r="F103" s="1408"/>
      <c r="G103" s="1409"/>
      <c r="H103" s="1408"/>
      <c r="I103" s="1408"/>
    </row>
    <row r="104" spans="2:9" ht="15">
      <c r="B104" s="1276" t="s">
        <v>1077</v>
      </c>
      <c r="C104" s="1237"/>
      <c r="D104" s="1238"/>
      <c r="E104" s="1237"/>
      <c r="F104" s="1408"/>
      <c r="G104" s="1409"/>
      <c r="H104" s="1408"/>
      <c r="I104" s="1408"/>
    </row>
    <row r="105" spans="2:9" ht="15">
      <c r="B105" s="1277" t="s">
        <v>997</v>
      </c>
      <c r="C105" s="1237"/>
      <c r="D105" s="1238"/>
      <c r="E105" s="1237"/>
      <c r="F105" s="1408"/>
      <c r="G105" s="1409"/>
      <c r="H105" s="1408"/>
      <c r="I105" s="1408"/>
    </row>
    <row r="106" spans="2:9" ht="15">
      <c r="B106" s="1570" t="s">
        <v>699</v>
      </c>
      <c r="C106" s="1570"/>
      <c r="D106" s="1570"/>
      <c r="E106" s="1237"/>
      <c r="F106" s="1408"/>
      <c r="G106" s="1409"/>
      <c r="H106" s="1408"/>
      <c r="I106" s="1408"/>
    </row>
    <row r="107" spans="2:9" ht="15">
      <c r="B107" s="1570" t="s">
        <v>123</v>
      </c>
      <c r="C107" s="1570"/>
      <c r="D107" s="1570"/>
      <c r="E107" s="1237"/>
      <c r="F107" s="1408"/>
      <c r="G107" s="1409"/>
      <c r="H107" s="1408"/>
      <c r="I107" s="1408"/>
    </row>
    <row r="108" spans="2:9" ht="15.75" thickBot="1">
      <c r="B108" s="1237"/>
      <c r="C108" s="1237"/>
      <c r="D108" s="1238"/>
      <c r="E108" s="1237"/>
      <c r="F108" s="1408"/>
      <c r="G108" s="1409"/>
      <c r="H108" s="1408"/>
      <c r="I108" s="1408"/>
    </row>
    <row r="109" spans="2:9" ht="15">
      <c r="B109" s="1278" t="s">
        <v>148</v>
      </c>
      <c r="C109" s="1279" t="s">
        <v>149</v>
      </c>
      <c r="D109" s="1319" t="s">
        <v>150</v>
      </c>
      <c r="E109" s="1237"/>
      <c r="F109" s="1408"/>
      <c r="G109" s="1409"/>
      <c r="H109" s="1408"/>
      <c r="I109" s="1409"/>
    </row>
    <row r="110" spans="2:9" ht="15.75" thickBot="1">
      <c r="B110" s="1280"/>
      <c r="C110" s="1281"/>
      <c r="D110" s="1320"/>
      <c r="E110" s="1237"/>
      <c r="F110" s="1408"/>
      <c r="G110" s="1409"/>
      <c r="H110" s="1408"/>
      <c r="I110" s="1409"/>
    </row>
    <row r="111" spans="2:9" ht="15.75" thickBot="1">
      <c r="B111" s="1282" t="s">
        <v>151</v>
      </c>
      <c r="C111" s="1283"/>
      <c r="D111" s="1321">
        <v>9279647374.8000011</v>
      </c>
      <c r="E111" s="1285"/>
      <c r="F111" s="1408"/>
      <c r="G111" s="1409"/>
      <c r="H111" s="1408"/>
      <c r="I111" s="1409"/>
    </row>
    <row r="112" spans="2:9" ht="15">
      <c r="B112" s="1268">
        <v>1000</v>
      </c>
      <c r="C112" s="1286"/>
      <c r="D112" s="1322">
        <v>9071767200</v>
      </c>
      <c r="E112" s="1285"/>
      <c r="F112" s="1409"/>
      <c r="G112" s="1409"/>
      <c r="H112" s="1409"/>
      <c r="I112" s="1409"/>
    </row>
    <row r="113" spans="2:9" ht="15">
      <c r="B113" s="1268">
        <v>1030</v>
      </c>
      <c r="C113" s="1286"/>
      <c r="D113" s="1322">
        <v>9071767200</v>
      </c>
      <c r="E113" s="1285"/>
      <c r="F113" s="1410"/>
      <c r="G113" s="1409"/>
      <c r="H113" s="1410"/>
      <c r="I113" s="1409"/>
    </row>
    <row r="114" spans="2:9" ht="15">
      <c r="B114" s="1268">
        <v>1031</v>
      </c>
      <c r="C114" s="1286"/>
      <c r="D114" s="1322">
        <v>9071767200</v>
      </c>
      <c r="E114" s="1285"/>
      <c r="F114" s="1409"/>
      <c r="G114" s="1409"/>
      <c r="H114" s="1409"/>
      <c r="I114" s="1409"/>
    </row>
    <row r="115" spans="2:9" ht="15">
      <c r="B115" s="1268">
        <v>3000</v>
      </c>
      <c r="C115" s="1286">
        <v>7077238416.8999996</v>
      </c>
      <c r="D115" s="1322">
        <v>652165612</v>
      </c>
      <c r="E115" s="1285"/>
      <c r="F115" s="1410"/>
      <c r="G115" s="1409"/>
      <c r="H115" s="1409"/>
      <c r="I115" s="1409"/>
    </row>
    <row r="116" spans="2:9" ht="15">
      <c r="B116" s="1268">
        <v>3010</v>
      </c>
      <c r="C116" s="1286">
        <v>7077238416.8999996</v>
      </c>
      <c r="D116" s="1322">
        <v>652165612</v>
      </c>
      <c r="E116" s="1285">
        <v>6425072804.8999996</v>
      </c>
      <c r="F116" s="1237"/>
      <c r="G116" s="1237"/>
      <c r="H116" s="1237"/>
      <c r="I116" s="1237"/>
    </row>
    <row r="117" spans="2:9" ht="15">
      <c r="B117" s="1268">
        <v>4000</v>
      </c>
      <c r="C117" s="1286">
        <v>3856000000</v>
      </c>
      <c r="D117" s="1322">
        <v>3856000000</v>
      </c>
      <c r="E117" s="1285"/>
      <c r="F117" s="1237"/>
      <c r="G117" s="1237"/>
      <c r="H117" s="1237"/>
      <c r="I117" s="1237"/>
    </row>
    <row r="118" spans="2:9" ht="15">
      <c r="B118" s="1268">
        <v>4010</v>
      </c>
      <c r="C118" s="1286">
        <v>3856000000</v>
      </c>
      <c r="D118" s="1322">
        <v>3856000000</v>
      </c>
      <c r="E118" s="1285"/>
      <c r="F118" s="1237"/>
      <c r="G118" s="1237"/>
      <c r="H118" s="1237"/>
      <c r="I118" s="1237"/>
    </row>
    <row r="119" spans="2:9" ht="15">
      <c r="B119" s="1268">
        <v>6200</v>
      </c>
      <c r="C119" s="1286">
        <v>2591080.7799999998</v>
      </c>
      <c r="D119" s="1322"/>
      <c r="E119" s="1285"/>
      <c r="F119" s="1237"/>
      <c r="G119" s="1237"/>
      <c r="H119" s="1237"/>
      <c r="I119" s="1237"/>
    </row>
    <row r="120" spans="2:9" ht="15">
      <c r="B120" s="1268">
        <v>6250</v>
      </c>
      <c r="C120" s="1286">
        <v>2591080.7799999998</v>
      </c>
      <c r="D120" s="1322"/>
      <c r="E120" s="1285"/>
      <c r="F120" s="1237"/>
      <c r="G120" s="1237"/>
      <c r="H120" s="1237"/>
      <c r="I120" s="1237"/>
    </row>
    <row r="121" spans="2:9" ht="15">
      <c r="B121" s="1287" t="s">
        <v>678</v>
      </c>
      <c r="C121" s="1286">
        <v>2591080.7799999998</v>
      </c>
      <c r="D121" s="1322"/>
      <c r="E121" s="1285"/>
      <c r="F121" s="1237"/>
      <c r="G121" s="1237"/>
      <c r="H121" s="1237"/>
      <c r="I121" s="1237"/>
    </row>
    <row r="122" spans="2:9" ht="15">
      <c r="B122" s="1268">
        <v>7400</v>
      </c>
      <c r="C122" s="1286"/>
      <c r="D122" s="1322">
        <v>1857395834.5599999</v>
      </c>
      <c r="E122" s="1285"/>
      <c r="F122" s="1237"/>
      <c r="G122" s="1237"/>
      <c r="H122" s="1237"/>
      <c r="I122" s="1237"/>
    </row>
    <row r="123" spans="2:9" ht="15">
      <c r="B123" s="1268">
        <v>7430</v>
      </c>
      <c r="C123" s="1286"/>
      <c r="D123" s="1322">
        <v>1857395834.5599999</v>
      </c>
      <c r="E123" s="1285"/>
      <c r="F123" s="1237"/>
      <c r="G123" s="1237"/>
      <c r="H123" s="1237"/>
      <c r="I123" s="1237"/>
    </row>
    <row r="124" spans="2:9" ht="15.75" thickBot="1">
      <c r="B124" s="1287" t="s">
        <v>692</v>
      </c>
      <c r="C124" s="1286"/>
      <c r="D124" s="1322">
        <v>1857395834.5599999</v>
      </c>
      <c r="E124" s="1285"/>
      <c r="F124" s="1237"/>
      <c r="G124" s="1237"/>
      <c r="H124" s="1237"/>
      <c r="I124" s="1237"/>
    </row>
    <row r="125" spans="2:9" ht="15">
      <c r="B125" s="1288" t="s">
        <v>152</v>
      </c>
      <c r="C125" s="1289">
        <v>10935829497.679998</v>
      </c>
      <c r="D125" s="1323">
        <v>15437328646.560001</v>
      </c>
      <c r="E125" s="1285"/>
      <c r="F125" s="1237"/>
      <c r="G125" s="1237"/>
      <c r="H125" s="1237"/>
      <c r="I125" s="1237"/>
    </row>
    <row r="126" spans="2:9" ht="15.75" thickBot="1">
      <c r="B126" s="1290" t="s">
        <v>153</v>
      </c>
      <c r="C126" s="1291"/>
      <c r="D126" s="1324">
        <v>13781146523.68</v>
      </c>
      <c r="E126" s="1285"/>
      <c r="F126" s="1237"/>
      <c r="G126" s="1237"/>
      <c r="H126" s="1237"/>
      <c r="I126" s="1237"/>
    </row>
    <row r="127" spans="2:9" ht="15">
      <c r="B127" s="1237"/>
      <c r="C127" s="1237"/>
      <c r="D127" s="1238"/>
      <c r="E127" s="1237"/>
      <c r="F127" s="1237"/>
      <c r="G127" s="1237"/>
      <c r="H127" s="1237"/>
      <c r="I127" s="1237"/>
    </row>
    <row r="128" spans="2:9" ht="15">
      <c r="B128" s="1237"/>
      <c r="C128" s="1237"/>
      <c r="D128" s="1238"/>
      <c r="E128" s="1237"/>
      <c r="F128" s="1237"/>
      <c r="G128" s="1237"/>
      <c r="H128" s="1237"/>
      <c r="I128" s="1237"/>
    </row>
    <row r="129" spans="2:5" ht="15">
      <c r="B129" s="1572" t="s">
        <v>1076</v>
      </c>
      <c r="C129" s="1572"/>
      <c r="D129" s="1318" t="s">
        <v>72</v>
      </c>
      <c r="E129" s="1237"/>
    </row>
    <row r="130" spans="2:5" ht="15">
      <c r="B130" s="1276" t="s">
        <v>1078</v>
      </c>
      <c r="C130" s="1237"/>
      <c r="D130" s="1238"/>
      <c r="E130" s="1237"/>
    </row>
    <row r="131" spans="2:5" ht="15">
      <c r="B131" s="1277" t="s">
        <v>997</v>
      </c>
      <c r="C131" s="1237"/>
      <c r="D131" s="1238"/>
      <c r="E131" s="1237"/>
    </row>
    <row r="132" spans="2:5" ht="15">
      <c r="B132" s="1570" t="s">
        <v>699</v>
      </c>
      <c r="C132" s="1570"/>
      <c r="D132" s="1570"/>
      <c r="E132" s="1237"/>
    </row>
    <row r="133" spans="2:5" ht="15">
      <c r="B133" s="1570" t="s">
        <v>123</v>
      </c>
      <c r="C133" s="1570"/>
      <c r="D133" s="1570"/>
      <c r="E133" s="1237"/>
    </row>
    <row r="134" spans="2:5" ht="15.75" thickBot="1">
      <c r="B134" s="1237"/>
      <c r="C134" s="1237"/>
      <c r="D134" s="1238"/>
      <c r="E134" s="1237"/>
    </row>
    <row r="135" spans="2:5" ht="15">
      <c r="B135" s="1278" t="s">
        <v>148</v>
      </c>
      <c r="C135" s="1279" t="s">
        <v>149</v>
      </c>
      <c r="D135" s="1319" t="s">
        <v>150</v>
      </c>
      <c r="E135" s="1237"/>
    </row>
    <row r="136" spans="2:5" ht="15.75" thickBot="1">
      <c r="B136" s="1280"/>
      <c r="C136" s="1281"/>
      <c r="D136" s="1320"/>
      <c r="E136" s="1237"/>
    </row>
    <row r="137" spans="2:5" ht="13.5" thickBot="1">
      <c r="B137" s="1282" t="s">
        <v>151</v>
      </c>
      <c r="C137" s="1283"/>
      <c r="D137" s="1321">
        <v>3135585502.8000002</v>
      </c>
      <c r="E137" s="1285"/>
    </row>
    <row r="138" spans="2:5">
      <c r="B138" s="1268">
        <v>1000</v>
      </c>
      <c r="C138" s="1286">
        <v>6416091287.1000004</v>
      </c>
      <c r="D138" s="1322">
        <v>3621354040.3600001</v>
      </c>
      <c r="E138" s="1285"/>
    </row>
    <row r="139" spans="2:5">
      <c r="B139" s="1268">
        <v>1030</v>
      </c>
      <c r="C139" s="1286">
        <v>6416091287.1000004</v>
      </c>
      <c r="D139" s="1322">
        <v>3621354040.3600001</v>
      </c>
      <c r="E139" s="1285"/>
    </row>
    <row r="140" spans="2:5">
      <c r="B140" s="1268">
        <v>1031</v>
      </c>
      <c r="C140" s="1286">
        <v>4244549617.8000002</v>
      </c>
      <c r="D140" s="1322">
        <v>2909917780.3600001</v>
      </c>
      <c r="E140" s="1285"/>
    </row>
    <row r="141" spans="2:5">
      <c r="B141" s="1268">
        <v>1032</v>
      </c>
      <c r="C141" s="1286">
        <v>2171541669.3000002</v>
      </c>
      <c r="D141" s="1322">
        <v>711436260</v>
      </c>
      <c r="E141" s="1285"/>
    </row>
    <row r="142" spans="2:5">
      <c r="B142" s="1268">
        <v>1200</v>
      </c>
      <c r="C142" s="1286">
        <v>1146246503.8800001</v>
      </c>
      <c r="D142" s="1322">
        <v>627674242.50999999</v>
      </c>
      <c r="E142" s="1285"/>
    </row>
    <row r="143" spans="2:5">
      <c r="B143" s="1268">
        <v>1240</v>
      </c>
      <c r="C143" s="1286">
        <v>1146246503.8800001</v>
      </c>
      <c r="D143" s="1322">
        <v>627674242.50999999</v>
      </c>
      <c r="E143" s="1285"/>
    </row>
    <row r="144" spans="2:5">
      <c r="B144" s="1268">
        <v>3300</v>
      </c>
      <c r="C144" s="1286"/>
      <c r="D144" s="1322">
        <v>266784831.80000001</v>
      </c>
      <c r="E144" s="1285"/>
    </row>
    <row r="145" spans="2:5">
      <c r="B145" s="1268">
        <v>3310</v>
      </c>
      <c r="C145" s="1286"/>
      <c r="D145" s="1322">
        <v>266784831.80000001</v>
      </c>
      <c r="E145" s="1285"/>
    </row>
    <row r="146" spans="2:5">
      <c r="B146" s="1287" t="s">
        <v>13</v>
      </c>
      <c r="C146" s="1286"/>
      <c r="D146" s="1322">
        <v>266784831.80000001</v>
      </c>
      <c r="E146" s="1285"/>
    </row>
    <row r="147" spans="2:5">
      <c r="B147" s="1268">
        <v>4000</v>
      </c>
      <c r="C147" s="1286">
        <v>652165612</v>
      </c>
      <c r="D147" s="1322">
        <v>7077238416.8999996</v>
      </c>
      <c r="E147" s="1285"/>
    </row>
    <row r="148" spans="2:5">
      <c r="B148" s="1268">
        <v>4010</v>
      </c>
      <c r="C148" s="1286">
        <v>652165612</v>
      </c>
      <c r="D148" s="1322">
        <v>7077238416.8999996</v>
      </c>
      <c r="E148" s="1285">
        <v>6425072804.8999996</v>
      </c>
    </row>
    <row r="149" spans="2:5">
      <c r="B149" s="1268">
        <v>6200</v>
      </c>
      <c r="C149" s="1286">
        <v>1430170.83</v>
      </c>
      <c r="D149" s="1322"/>
      <c r="E149" s="1285"/>
    </row>
    <row r="150" spans="2:5">
      <c r="B150" s="1268">
        <v>6250</v>
      </c>
      <c r="C150" s="1286">
        <v>1430170.83</v>
      </c>
      <c r="D150" s="1322"/>
      <c r="E150" s="1285"/>
    </row>
    <row r="151" spans="2:5">
      <c r="B151" s="1287" t="s">
        <v>678</v>
      </c>
      <c r="C151" s="1286">
        <v>1430170.83</v>
      </c>
      <c r="D151" s="1322"/>
      <c r="E151" s="1285"/>
    </row>
    <row r="152" spans="2:5">
      <c r="B152" s="1268">
        <v>7400</v>
      </c>
      <c r="C152" s="1286"/>
      <c r="D152" s="1322">
        <v>609796135.05999994</v>
      </c>
      <c r="E152" s="1285"/>
    </row>
    <row r="153" spans="2:5">
      <c r="B153" s="1268">
        <v>7430</v>
      </c>
      <c r="C153" s="1286"/>
      <c r="D153" s="1322">
        <v>609796135.05999994</v>
      </c>
      <c r="E153" s="1285"/>
    </row>
    <row r="154" spans="2:5" ht="13.5" thickBot="1">
      <c r="B154" s="1287" t="s">
        <v>692</v>
      </c>
      <c r="C154" s="1286"/>
      <c r="D154" s="1322">
        <v>609796135.05999994</v>
      </c>
      <c r="E154" s="1285"/>
    </row>
    <row r="155" spans="2:5">
      <c r="B155" s="1288" t="s">
        <v>152</v>
      </c>
      <c r="C155" s="1289">
        <v>8215933573.8099995</v>
      </c>
      <c r="D155" s="1323">
        <v>12202847666.629999</v>
      </c>
      <c r="E155" s="1285"/>
    </row>
    <row r="156" spans="2:5" ht="13.5" thickBot="1">
      <c r="B156" s="1290" t="s">
        <v>153</v>
      </c>
      <c r="C156" s="1291"/>
      <c r="D156" s="1324">
        <v>7122499595.6200008</v>
      </c>
      <c r="E156" s="1285"/>
    </row>
    <row r="157" spans="2:5" ht="15">
      <c r="B157" s="1237"/>
      <c r="C157" s="1285"/>
      <c r="D157" s="1325"/>
      <c r="E157" s="1285"/>
    </row>
    <row r="158" spans="2:5" ht="15">
      <c r="B158" s="1237"/>
      <c r="C158" s="1285"/>
      <c r="D158" s="1325"/>
      <c r="E158" s="1285">
        <v>12415232877.600002</v>
      </c>
    </row>
    <row r="159" spans="2:5" ht="15">
      <c r="B159" s="1237"/>
      <c r="C159" s="1285"/>
      <c r="D159" s="1325"/>
      <c r="E159" s="1285"/>
    </row>
    <row r="160" spans="2:5">
      <c r="B160" s="1268">
        <v>1000</v>
      </c>
      <c r="C160" s="1285">
        <v>6934663548.4700003</v>
      </c>
      <c r="D160" s="1325">
        <v>12959906072.16</v>
      </c>
      <c r="E160" s="1285">
        <v>6025242523.6899996</v>
      </c>
    </row>
    <row r="161" spans="2:5">
      <c r="B161" s="1268">
        <v>1200</v>
      </c>
      <c r="C161" s="1285"/>
      <c r="D161" s="1325"/>
      <c r="E161" s="1285"/>
    </row>
    <row r="162" spans="2:5">
      <c r="B162" s="1268">
        <v>1240</v>
      </c>
      <c r="C162" s="1285"/>
      <c r="D162" s="1325"/>
      <c r="E162" s="1285"/>
    </row>
    <row r="163" spans="2:5">
      <c r="B163" s="1268">
        <v>3300</v>
      </c>
      <c r="C163" s="1285"/>
      <c r="D163" s="1325"/>
      <c r="E163" s="1285"/>
    </row>
    <row r="164" spans="2:5">
      <c r="B164" s="1268">
        <v>3310</v>
      </c>
      <c r="C164" s="1285"/>
      <c r="D164" s="1325"/>
      <c r="E164" s="1285"/>
    </row>
    <row r="165" spans="2:5">
      <c r="B165" s="1287" t="s">
        <v>13</v>
      </c>
      <c r="C165" s="1285"/>
      <c r="D165" s="1325"/>
      <c r="E165" s="1285"/>
    </row>
    <row r="166" spans="2:5">
      <c r="B166" s="1268">
        <v>4000</v>
      </c>
      <c r="C166" s="1285"/>
      <c r="D166" s="1325"/>
      <c r="E166" s="1285"/>
    </row>
    <row r="167" spans="2:5">
      <c r="B167" s="1268">
        <v>4010</v>
      </c>
      <c r="C167" s="1285"/>
      <c r="D167" s="1325"/>
      <c r="E167" s="1285"/>
    </row>
    <row r="168" spans="2:5">
      <c r="B168" s="1268">
        <v>6200</v>
      </c>
      <c r="C168" s="1285">
        <v>4021251.61</v>
      </c>
      <c r="D168" s="1325"/>
      <c r="E168" s="1285">
        <v>-4021251.61</v>
      </c>
    </row>
    <row r="169" spans="2:5">
      <c r="B169" s="1268">
        <v>6250</v>
      </c>
      <c r="C169" s="1285"/>
      <c r="D169" s="1325"/>
      <c r="E169" s="1285"/>
    </row>
    <row r="170" spans="2:5">
      <c r="B170" s="1287" t="s">
        <v>678</v>
      </c>
      <c r="C170" s="1285"/>
      <c r="D170" s="1325"/>
      <c r="E170" s="1285"/>
    </row>
    <row r="171" spans="2:5">
      <c r="B171" s="1268">
        <v>7400</v>
      </c>
      <c r="C171" s="1285"/>
      <c r="D171" s="1325">
        <v>2467191969.6199999</v>
      </c>
      <c r="E171" s="1285">
        <v>2467191969.6199999</v>
      </c>
    </row>
    <row r="172" spans="2:5">
      <c r="B172" s="1268">
        <v>7430</v>
      </c>
      <c r="C172" s="1285"/>
      <c r="D172" s="1325"/>
      <c r="E172" s="1285"/>
    </row>
    <row r="173" spans="2:5">
      <c r="B173" s="1287" t="s">
        <v>692</v>
      </c>
      <c r="C173" s="1285"/>
      <c r="D173" s="1325"/>
      <c r="E173" s="1285"/>
    </row>
    <row r="174" spans="2:5" ht="15">
      <c r="B174" s="1237"/>
      <c r="C174" s="1285"/>
      <c r="D174" s="1325"/>
      <c r="E174" s="1285">
        <v>20903646119.299999</v>
      </c>
    </row>
    <row r="175" spans="2:5" ht="15">
      <c r="B175" s="1237"/>
      <c r="C175" s="1285"/>
      <c r="D175" s="1325"/>
      <c r="E175" s="1285">
        <v>20903646119.300003</v>
      </c>
    </row>
    <row r="176" spans="2:5" ht="15">
      <c r="B176" s="1237"/>
      <c r="C176" s="1239"/>
      <c r="D176" s="1326"/>
      <c r="E176" s="1239"/>
    </row>
    <row r="178" spans="2:6" ht="15">
      <c r="B178" s="1573" t="s">
        <v>1076</v>
      </c>
      <c r="C178" s="1573"/>
      <c r="D178" s="1327" t="s">
        <v>72</v>
      </c>
      <c r="E178" s="1237"/>
      <c r="F178" s="1237"/>
    </row>
    <row r="179" spans="2:6" ht="15">
      <c r="B179" s="1292" t="s">
        <v>1079</v>
      </c>
      <c r="C179" s="1293"/>
      <c r="D179" s="1328"/>
      <c r="E179" s="1237"/>
      <c r="F179" s="1237"/>
    </row>
    <row r="180" spans="2:6" ht="15">
      <c r="B180" s="1294" t="s">
        <v>997</v>
      </c>
      <c r="C180" s="1293"/>
      <c r="D180" s="1328"/>
      <c r="E180" s="1237"/>
      <c r="F180" s="1237"/>
    </row>
    <row r="181" spans="2:6" ht="15">
      <c r="B181" s="1293"/>
      <c r="C181" s="1293"/>
      <c r="D181" s="1328"/>
      <c r="E181" s="1237"/>
      <c r="F181" s="1237"/>
    </row>
    <row r="182" spans="2:6" ht="15">
      <c r="B182" s="1574" t="s">
        <v>123</v>
      </c>
      <c r="C182" s="1574"/>
      <c r="D182" s="1574"/>
      <c r="E182" s="1237"/>
      <c r="F182" s="1237"/>
    </row>
    <row r="183" spans="2:6" ht="15.75" thickBot="1">
      <c r="B183" s="1293"/>
      <c r="C183" s="1293"/>
      <c r="D183" s="1328"/>
      <c r="E183" s="1237"/>
      <c r="F183" s="1237"/>
    </row>
    <row r="184" spans="2:6" ht="15">
      <c r="B184" s="1295" t="s">
        <v>148</v>
      </c>
      <c r="C184" s="1296" t="s">
        <v>149</v>
      </c>
      <c r="D184" s="1329" t="s">
        <v>150</v>
      </c>
      <c r="E184" s="1237"/>
      <c r="F184" s="1237"/>
    </row>
    <row r="185" spans="2:6" ht="15.75" thickBot="1">
      <c r="B185" s="1297"/>
      <c r="C185" s="1298"/>
      <c r="D185" s="1330"/>
      <c r="E185" s="1237"/>
      <c r="F185" s="1237"/>
    </row>
    <row r="186" spans="2:6" ht="13.5" thickBot="1">
      <c r="B186" s="1299" t="s">
        <v>151</v>
      </c>
      <c r="C186" s="1300"/>
      <c r="D186" s="1331">
        <v>47338351.600000001</v>
      </c>
      <c r="E186" s="1239"/>
      <c r="F186" s="1239"/>
    </row>
    <row r="187" spans="2:6">
      <c r="B187" s="1301">
        <v>1000</v>
      </c>
      <c r="C187" s="1302">
        <v>1011039363.6799999</v>
      </c>
      <c r="D187" s="1332"/>
      <c r="E187" s="1239"/>
      <c r="F187" s="1239"/>
    </row>
    <row r="188" spans="2:6">
      <c r="B188" s="1301">
        <v>1200</v>
      </c>
      <c r="C188" s="1302">
        <v>137183534.59</v>
      </c>
      <c r="D188" s="1332">
        <v>133023968.81999999</v>
      </c>
      <c r="E188" s="1239"/>
      <c r="F188" s="1239"/>
    </row>
    <row r="189" spans="2:6">
      <c r="B189" s="1301">
        <v>3300</v>
      </c>
      <c r="C189" s="1302">
        <v>878718.97</v>
      </c>
      <c r="D189" s="1332"/>
      <c r="E189" s="1239"/>
      <c r="F189" s="1239"/>
    </row>
    <row r="190" spans="2:6">
      <c r="B190" s="1301">
        <v>6200</v>
      </c>
      <c r="C190" s="1302">
        <v>832086.35</v>
      </c>
      <c r="D190" s="1332"/>
      <c r="E190" s="1239"/>
      <c r="F190" s="1239"/>
    </row>
    <row r="191" spans="2:6">
      <c r="B191" s="1301">
        <v>7300</v>
      </c>
      <c r="C191" s="1302"/>
      <c r="D191" s="1332">
        <v>1097819285.3299999</v>
      </c>
      <c r="E191" s="1239"/>
      <c r="F191" s="1239"/>
    </row>
    <row r="192" spans="2:6" ht="13.5" thickBot="1">
      <c r="B192" s="1301">
        <v>7400</v>
      </c>
      <c r="C192" s="1302"/>
      <c r="D192" s="1332">
        <v>13334786.609999999</v>
      </c>
      <c r="E192" s="1239"/>
      <c r="F192" s="1239"/>
    </row>
    <row r="193" spans="2:6">
      <c r="B193" s="1303" t="s">
        <v>152</v>
      </c>
      <c r="C193" s="1304">
        <v>1149933703.5899999</v>
      </c>
      <c r="D193" s="1333">
        <v>1244178040.76</v>
      </c>
      <c r="E193" s="1239"/>
      <c r="F193" s="1239"/>
    </row>
    <row r="194" spans="2:6" ht="13.5" thickBot="1">
      <c r="B194" s="1305" t="s">
        <v>153</v>
      </c>
      <c r="C194" s="1306"/>
      <c r="D194" s="1334">
        <v>141582688.77000001</v>
      </c>
      <c r="E194" s="1239"/>
      <c r="F194" s="1239"/>
    </row>
    <row r="195" spans="2:6" ht="15">
      <c r="B195" s="1237"/>
      <c r="C195" s="1239"/>
      <c r="D195" s="1326"/>
      <c r="E195" s="1239"/>
      <c r="F195" s="1239"/>
    </row>
    <row r="196" spans="2:6" ht="15">
      <c r="B196" s="1573" t="s">
        <v>1076</v>
      </c>
      <c r="C196" s="1573"/>
      <c r="D196" s="1327" t="s">
        <v>72</v>
      </c>
      <c r="E196" s="1237"/>
      <c r="F196" s="1237"/>
    </row>
    <row r="197" spans="2:6" ht="15">
      <c r="B197" s="1292" t="s">
        <v>1080</v>
      </c>
      <c r="C197" s="1293"/>
      <c r="D197" s="1328"/>
      <c r="E197" s="1237"/>
      <c r="F197" s="1237"/>
    </row>
    <row r="198" spans="2:6" ht="15">
      <c r="B198" s="1294" t="s">
        <v>997</v>
      </c>
      <c r="C198" s="1293"/>
      <c r="D198" s="1328"/>
      <c r="E198" s="1237"/>
      <c r="F198" s="1237"/>
    </row>
    <row r="199" spans="2:6" ht="15">
      <c r="B199" s="1293"/>
      <c r="C199" s="1293"/>
      <c r="D199" s="1328"/>
      <c r="E199" s="1237"/>
      <c r="F199" s="1237"/>
    </row>
    <row r="200" spans="2:6" ht="15">
      <c r="B200" s="1574" t="s">
        <v>123</v>
      </c>
      <c r="C200" s="1574"/>
      <c r="D200" s="1574"/>
      <c r="E200" s="1237"/>
      <c r="F200" s="1237"/>
    </row>
    <row r="201" spans="2:6" ht="15.75" thickBot="1">
      <c r="B201" s="1293"/>
      <c r="C201" s="1293"/>
      <c r="D201" s="1328"/>
      <c r="E201" s="1237"/>
      <c r="F201" s="1237"/>
    </row>
    <row r="202" spans="2:6" ht="15">
      <c r="B202" s="1295" t="s">
        <v>148</v>
      </c>
      <c r="C202" s="1296" t="s">
        <v>149</v>
      </c>
      <c r="D202" s="1329" t="s">
        <v>150</v>
      </c>
      <c r="E202" s="1237"/>
      <c r="F202" s="1237"/>
    </row>
    <row r="203" spans="2:6" ht="15.75" thickBot="1">
      <c r="B203" s="1297"/>
      <c r="C203" s="1298"/>
      <c r="D203" s="1330"/>
      <c r="E203" s="1237"/>
      <c r="F203" s="1237"/>
    </row>
    <row r="204" spans="2:6" ht="15.75" thickBot="1">
      <c r="B204" s="1299" t="s">
        <v>151</v>
      </c>
      <c r="C204" s="1307"/>
      <c r="D204" s="1335"/>
      <c r="E204" s="1237"/>
      <c r="F204" s="1237"/>
    </row>
    <row r="205" spans="2:6" ht="15">
      <c r="B205" s="1301">
        <v>1000</v>
      </c>
      <c r="C205" s="1308">
        <v>3806452.85</v>
      </c>
      <c r="D205" s="1336"/>
      <c r="E205" s="1237"/>
      <c r="F205" s="1237"/>
    </row>
    <row r="206" spans="2:6" ht="15">
      <c r="B206" s="1301">
        <v>1200</v>
      </c>
      <c r="C206" s="1308">
        <v>1018672.46</v>
      </c>
      <c r="D206" s="1336">
        <v>1018672.46</v>
      </c>
      <c r="E206" s="1237"/>
      <c r="F206" s="1237"/>
    </row>
    <row r="207" spans="2:6" ht="15.75" thickBot="1">
      <c r="B207" s="1301">
        <v>7300</v>
      </c>
      <c r="C207" s="1309"/>
      <c r="D207" s="1336">
        <v>5091946.17</v>
      </c>
      <c r="E207" s="1237"/>
      <c r="F207" s="1237"/>
    </row>
    <row r="208" spans="2:6" ht="15">
      <c r="B208" s="1303" t="s">
        <v>152</v>
      </c>
      <c r="C208" s="1310">
        <v>4825125.3099999996</v>
      </c>
      <c r="D208" s="1337">
        <v>6110618.6299999999</v>
      </c>
      <c r="E208" s="1237"/>
      <c r="F208" s="1237"/>
    </row>
    <row r="209" spans="2:7" ht="15.75" thickBot="1">
      <c r="B209" s="1305" t="s">
        <v>153</v>
      </c>
      <c r="C209" s="1311"/>
      <c r="D209" s="1338">
        <v>1285493.32</v>
      </c>
      <c r="E209" s="1237"/>
      <c r="F209" s="1237"/>
      <c r="G209" s="1237"/>
    </row>
    <row r="217" spans="2:7" ht="15">
      <c r="B217" s="1572" t="s">
        <v>1076</v>
      </c>
      <c r="C217" s="1572"/>
      <c r="D217" s="1318" t="s">
        <v>72</v>
      </c>
      <c r="E217" s="1237"/>
      <c r="F217" s="1237"/>
      <c r="G217" s="1237"/>
    </row>
    <row r="218" spans="2:7" ht="15">
      <c r="B218" s="1276" t="s">
        <v>1081</v>
      </c>
      <c r="C218" s="1237"/>
      <c r="D218" s="1238"/>
      <c r="E218" s="1237"/>
      <c r="F218" s="1237"/>
      <c r="G218" s="1237"/>
    </row>
    <row r="219" spans="2:7" ht="15">
      <c r="B219" s="1277" t="s">
        <v>997</v>
      </c>
      <c r="C219" s="1237"/>
      <c r="D219" s="1238"/>
      <c r="E219" s="1237"/>
      <c r="F219" s="1237"/>
      <c r="G219" s="1237"/>
    </row>
    <row r="220" spans="2:7" ht="15">
      <c r="B220" s="1570" t="s">
        <v>699</v>
      </c>
      <c r="C220" s="1570"/>
      <c r="D220" s="1570"/>
      <c r="E220" s="1237"/>
      <c r="F220" s="1237"/>
      <c r="G220" s="1237"/>
    </row>
    <row r="221" spans="2:7" ht="15">
      <c r="B221" s="1570" t="s">
        <v>123</v>
      </c>
      <c r="C221" s="1570"/>
      <c r="D221" s="1570"/>
      <c r="E221" s="1237"/>
      <c r="F221" s="1237"/>
      <c r="G221" s="1237"/>
    </row>
    <row r="222" spans="2:7" ht="15.75" thickBot="1">
      <c r="B222" s="1237"/>
      <c r="C222" s="1237"/>
      <c r="D222" s="1238"/>
      <c r="E222" s="1237"/>
      <c r="F222" s="1237"/>
      <c r="G222" s="1237"/>
    </row>
    <row r="223" spans="2:7">
      <c r="B223" s="1344" t="s">
        <v>148</v>
      </c>
      <c r="C223" s="1345" t="s">
        <v>149</v>
      </c>
      <c r="D223" s="1346" t="s">
        <v>150</v>
      </c>
      <c r="E223" s="1295" t="s">
        <v>148</v>
      </c>
      <c r="F223" s="1296" t="s">
        <v>149</v>
      </c>
      <c r="G223" s="1371" t="s">
        <v>150</v>
      </c>
    </row>
    <row r="224" spans="2:7" ht="13.5" thickBot="1">
      <c r="B224" s="1348"/>
      <c r="C224" s="1349"/>
      <c r="D224" s="1350"/>
      <c r="E224" s="1297"/>
      <c r="F224" s="1298"/>
      <c r="G224" s="1372"/>
    </row>
    <row r="225" spans="2:7" ht="24.75" thickBot="1">
      <c r="B225" s="1351" t="s">
        <v>151</v>
      </c>
      <c r="C225" s="1283">
        <v>783397885.78999996</v>
      </c>
      <c r="D225" s="1321"/>
      <c r="E225" s="1299" t="s">
        <v>151</v>
      </c>
      <c r="F225" s="1373">
        <v>783397885.78999996</v>
      </c>
      <c r="G225" s="1374"/>
    </row>
    <row r="226" spans="2:7">
      <c r="B226" s="1352">
        <v>1000</v>
      </c>
      <c r="C226" s="1308">
        <v>182836033683.33002</v>
      </c>
      <c r="D226" s="1375">
        <v>182836033683.33002</v>
      </c>
      <c r="E226" s="1301">
        <v>1000</v>
      </c>
      <c r="F226" s="1308">
        <v>182836033683.33002</v>
      </c>
      <c r="G226" s="1375">
        <v>182836033683.33002</v>
      </c>
    </row>
    <row r="227" spans="2:7">
      <c r="B227" s="1352">
        <v>1010</v>
      </c>
      <c r="C227" s="1308">
        <v>19960767863</v>
      </c>
      <c r="D227" s="1375">
        <v>25436674</v>
      </c>
      <c r="E227" s="1301">
        <v>1010</v>
      </c>
      <c r="F227" s="1308">
        <v>19960767863</v>
      </c>
      <c r="G227" s="1375">
        <v>25436674</v>
      </c>
    </row>
    <row r="228" spans="2:7">
      <c r="B228" s="1352">
        <v>1011</v>
      </c>
      <c r="C228" s="1309"/>
      <c r="D228" s="1375">
        <v>441620</v>
      </c>
      <c r="E228" s="1301">
        <v>1011</v>
      </c>
      <c r="F228" s="1309"/>
      <c r="G228" s="1375">
        <v>441620</v>
      </c>
    </row>
    <row r="229" spans="2:7">
      <c r="B229" s="1352">
        <v>1020</v>
      </c>
      <c r="C229" s="1308">
        <v>63342684675.529999</v>
      </c>
      <c r="D229" s="1375">
        <v>63359573243.059998</v>
      </c>
      <c r="E229" s="1301">
        <v>1020</v>
      </c>
      <c r="F229" s="1308">
        <v>63342684675.529999</v>
      </c>
      <c r="G229" s="1375">
        <v>63359573243.059998</v>
      </c>
    </row>
    <row r="230" spans="2:7">
      <c r="B230" s="1352">
        <v>1030</v>
      </c>
      <c r="C230" s="1308">
        <v>98080131258.37999</v>
      </c>
      <c r="D230" s="1375">
        <v>116903037530.60999</v>
      </c>
      <c r="E230" s="1301">
        <v>1030</v>
      </c>
      <c r="F230" s="1308">
        <v>98080131258.37999</v>
      </c>
      <c r="G230" s="1375">
        <v>116903037530.60999</v>
      </c>
    </row>
    <row r="231" spans="2:7">
      <c r="B231" s="1352">
        <v>1031</v>
      </c>
      <c r="C231" s="1308">
        <v>64665366522.18</v>
      </c>
      <c r="D231" s="1375">
        <v>59655477652.729996</v>
      </c>
      <c r="E231" s="1301">
        <v>1031</v>
      </c>
      <c r="F231" s="1308">
        <v>64665366522.18</v>
      </c>
      <c r="G231" s="1375">
        <v>59655477652.729996</v>
      </c>
    </row>
    <row r="232" spans="2:7">
      <c r="B232" s="1352">
        <v>1032</v>
      </c>
      <c r="C232" s="1308">
        <v>33414764736.200001</v>
      </c>
      <c r="D232" s="1375">
        <v>57247559877.880005</v>
      </c>
      <c r="E232" s="1301">
        <v>1032</v>
      </c>
      <c r="F232" s="1308">
        <v>33414764736.200001</v>
      </c>
      <c r="G232" s="1375">
        <v>57247559877.880005</v>
      </c>
    </row>
    <row r="233" spans="2:7">
      <c r="B233" s="1352">
        <v>1040</v>
      </c>
      <c r="C233" s="1308">
        <v>17606182.420000002</v>
      </c>
      <c r="D233" s="1375">
        <v>1007011182.42</v>
      </c>
      <c r="E233" s="1301">
        <v>1040</v>
      </c>
      <c r="F233" s="1308">
        <v>17606182.420000002</v>
      </c>
      <c r="G233" s="1375">
        <v>1007011182.42</v>
      </c>
    </row>
    <row r="234" spans="2:7">
      <c r="B234" s="1352">
        <v>1050</v>
      </c>
      <c r="C234" s="1308">
        <v>1434843704</v>
      </c>
      <c r="D234" s="1375">
        <v>1433434000</v>
      </c>
      <c r="E234" s="1301">
        <v>1050</v>
      </c>
      <c r="F234" s="1308">
        <v>1434843704</v>
      </c>
      <c r="G234" s="1375">
        <v>1433434000</v>
      </c>
    </row>
    <row r="235" spans="2:7">
      <c r="B235" s="1352">
        <v>1200</v>
      </c>
      <c r="C235" s="1308">
        <v>137652118389.79001</v>
      </c>
      <c r="D235" s="1375">
        <v>105310941937.32001</v>
      </c>
      <c r="E235" s="1301">
        <v>1200</v>
      </c>
      <c r="F235" s="1308">
        <v>137652118389.79001</v>
      </c>
      <c r="G235" s="1375">
        <v>105310941937.32001</v>
      </c>
    </row>
    <row r="236" spans="2:7">
      <c r="B236" s="1352">
        <v>1210</v>
      </c>
      <c r="C236" s="1308">
        <v>43179114170.279999</v>
      </c>
      <c r="D236" s="1375">
        <v>16043388.199999999</v>
      </c>
      <c r="E236" s="1301">
        <v>1210</v>
      </c>
      <c r="F236" s="1308">
        <v>43179114170.279999</v>
      </c>
      <c r="G236" s="1375">
        <v>16043388.199999999</v>
      </c>
    </row>
    <row r="237" spans="2:7">
      <c r="B237" s="1353" t="s">
        <v>10</v>
      </c>
      <c r="C237" s="1308">
        <v>42777477076.080002</v>
      </c>
      <c r="D237" s="1375">
        <v>16043388.199999999</v>
      </c>
      <c r="E237" s="1376" t="s">
        <v>10</v>
      </c>
      <c r="F237" s="1308">
        <v>42777477076.080002</v>
      </c>
      <c r="G237" s="1375">
        <v>16043388.199999999</v>
      </c>
    </row>
    <row r="238" spans="2:7">
      <c r="B238" s="1353" t="s">
        <v>558</v>
      </c>
      <c r="C238" s="1308">
        <v>401637094.19999999</v>
      </c>
      <c r="D238" s="1377"/>
      <c r="E238" s="1376" t="s">
        <v>558</v>
      </c>
      <c r="F238" s="1308">
        <v>401637094.19999999</v>
      </c>
      <c r="G238" s="1377"/>
    </row>
    <row r="239" spans="2:7">
      <c r="B239" s="1352">
        <v>1220</v>
      </c>
      <c r="C239" s="1308">
        <v>396976830.99000001</v>
      </c>
      <c r="D239" s="1375">
        <v>1260108359.5799999</v>
      </c>
      <c r="E239" s="1301">
        <v>1220</v>
      </c>
      <c r="F239" s="1308">
        <v>396976830.99000001</v>
      </c>
      <c r="G239" s="1375">
        <v>1260108359.5799999</v>
      </c>
    </row>
    <row r="240" spans="2:7">
      <c r="B240" s="1352">
        <v>1240</v>
      </c>
      <c r="C240" s="1308">
        <v>83203250811.609985</v>
      </c>
      <c r="D240" s="1375">
        <v>84521187578.549988</v>
      </c>
      <c r="E240" s="1301">
        <v>1240</v>
      </c>
      <c r="F240" s="1308">
        <v>83203250811.609985</v>
      </c>
      <c r="G240" s="1375">
        <v>84521187578.549988</v>
      </c>
    </row>
    <row r="241" spans="2:7">
      <c r="B241" s="1352">
        <v>1250</v>
      </c>
      <c r="C241" s="1308">
        <v>51483744</v>
      </c>
      <c r="D241" s="1375">
        <v>145636163.38999999</v>
      </c>
      <c r="E241" s="1301">
        <v>1250</v>
      </c>
      <c r="F241" s="1308">
        <v>51483744</v>
      </c>
      <c r="G241" s="1375">
        <v>145636163.38999999</v>
      </c>
    </row>
    <row r="242" spans="2:7">
      <c r="B242" s="1353" t="s">
        <v>642</v>
      </c>
      <c r="C242" s="1308">
        <v>23392556</v>
      </c>
      <c r="D242" s="1375">
        <v>110601677.39</v>
      </c>
      <c r="E242" s="1376" t="s">
        <v>642</v>
      </c>
      <c r="F242" s="1308">
        <v>23392556</v>
      </c>
      <c r="G242" s="1375">
        <v>110601677.39</v>
      </c>
    </row>
    <row r="243" spans="2:7">
      <c r="B243" s="1353" t="s">
        <v>643</v>
      </c>
      <c r="C243" s="1309"/>
      <c r="D243" s="1375">
        <v>7060</v>
      </c>
      <c r="E243" s="1376" t="s">
        <v>643</v>
      </c>
      <c r="F243" s="1309"/>
      <c r="G243" s="1375">
        <v>7060</v>
      </c>
    </row>
    <row r="244" spans="2:7">
      <c r="B244" s="1353" t="s">
        <v>644</v>
      </c>
      <c r="C244" s="1308">
        <v>21500000</v>
      </c>
      <c r="D244" s="1375">
        <v>28757500</v>
      </c>
      <c r="E244" s="1376" t="s">
        <v>644</v>
      </c>
      <c r="F244" s="1308">
        <v>21500000</v>
      </c>
      <c r="G244" s="1375">
        <v>28757500</v>
      </c>
    </row>
    <row r="245" spans="2:7">
      <c r="B245" s="1353" t="s">
        <v>645</v>
      </c>
      <c r="C245" s="1308">
        <v>6591188</v>
      </c>
      <c r="D245" s="1375">
        <v>6269926</v>
      </c>
      <c r="E245" s="1376" t="s">
        <v>645</v>
      </c>
      <c r="F245" s="1308">
        <v>6591188</v>
      </c>
      <c r="G245" s="1375">
        <v>6269926</v>
      </c>
    </row>
    <row r="246" spans="2:7">
      <c r="B246" s="1352">
        <v>1270</v>
      </c>
      <c r="C246" s="1308">
        <v>734407.56</v>
      </c>
      <c r="D246" s="1377"/>
      <c r="E246" s="1301">
        <v>1270</v>
      </c>
      <c r="F246" s="1308">
        <v>734407.56</v>
      </c>
      <c r="G246" s="1377"/>
    </row>
    <row r="247" spans="2:7">
      <c r="B247" s="1353" t="s">
        <v>647</v>
      </c>
      <c r="C247" s="1308">
        <v>734407.56</v>
      </c>
      <c r="D247" s="1377"/>
      <c r="E247" s="1376" t="s">
        <v>647</v>
      </c>
      <c r="F247" s="1308">
        <v>734407.56</v>
      </c>
      <c r="G247" s="1377"/>
    </row>
    <row r="248" spans="2:7">
      <c r="B248" s="1352">
        <v>1280</v>
      </c>
      <c r="C248" s="1308">
        <v>10820558425.349998</v>
      </c>
      <c r="D248" s="1375">
        <v>19367966447.599998</v>
      </c>
      <c r="E248" s="1301">
        <v>1280</v>
      </c>
      <c r="F248" s="1308">
        <v>10820558425.349998</v>
      </c>
      <c r="G248" s="1375">
        <v>19367966447.599998</v>
      </c>
    </row>
    <row r="249" spans="2:7">
      <c r="B249" s="1353" t="s">
        <v>1082</v>
      </c>
      <c r="C249" s="1309"/>
      <c r="D249" s="1375">
        <v>17075985.899999999</v>
      </c>
      <c r="E249" s="1376" t="s">
        <v>1082</v>
      </c>
      <c r="F249" s="1309"/>
      <c r="G249" s="1375">
        <v>17075985.899999999</v>
      </c>
    </row>
    <row r="250" spans="2:7">
      <c r="B250" s="1353" t="s">
        <v>250</v>
      </c>
      <c r="C250" s="1308">
        <v>10800301463.299999</v>
      </c>
      <c r="D250" s="1375">
        <v>19350671266.699997</v>
      </c>
      <c r="E250" s="1376" t="s">
        <v>250</v>
      </c>
      <c r="F250" s="1308">
        <v>10800301463.299999</v>
      </c>
      <c r="G250" s="1375">
        <v>19350671266.699997</v>
      </c>
    </row>
    <row r="251" spans="2:7">
      <c r="B251" s="1353" t="s">
        <v>649</v>
      </c>
      <c r="C251" s="1308">
        <v>19307136.050000001</v>
      </c>
      <c r="D251" s="1377"/>
      <c r="E251" s="1376" t="s">
        <v>649</v>
      </c>
      <c r="F251" s="1308">
        <v>19307136.050000001</v>
      </c>
      <c r="G251" s="1377"/>
    </row>
    <row r="252" spans="2:7">
      <c r="B252" s="1353" t="s">
        <v>650</v>
      </c>
      <c r="C252" s="1308">
        <v>949826</v>
      </c>
      <c r="D252" s="1375">
        <v>219195</v>
      </c>
      <c r="E252" s="1376" t="s">
        <v>650</v>
      </c>
      <c r="F252" s="1308">
        <v>949826</v>
      </c>
      <c r="G252" s="1375">
        <v>219195</v>
      </c>
    </row>
    <row r="253" spans="2:7">
      <c r="B253" s="1352">
        <v>1400</v>
      </c>
      <c r="C253" s="1309"/>
      <c r="D253" s="1375">
        <v>275155500.39999998</v>
      </c>
      <c r="E253" s="1301">
        <v>1400</v>
      </c>
      <c r="F253" s="1309"/>
      <c r="G253" s="1375">
        <v>275155500.39999998</v>
      </c>
    </row>
    <row r="254" spans="2:7">
      <c r="B254" s="1353" t="s">
        <v>653</v>
      </c>
      <c r="C254" s="1309"/>
      <c r="D254" s="1375">
        <v>177055124</v>
      </c>
      <c r="E254" s="1376" t="s">
        <v>653</v>
      </c>
      <c r="F254" s="1309"/>
      <c r="G254" s="1375">
        <v>177055124</v>
      </c>
    </row>
    <row r="255" spans="2:7">
      <c r="B255" s="1352">
        <v>1420</v>
      </c>
      <c r="C255" s="1309"/>
      <c r="D255" s="1375">
        <v>96448992.400000006</v>
      </c>
      <c r="E255" s="1301">
        <v>1420</v>
      </c>
      <c r="F255" s="1309"/>
      <c r="G255" s="1375">
        <v>96448992.400000006</v>
      </c>
    </row>
    <row r="256" spans="2:7">
      <c r="B256" s="1352">
        <v>1430</v>
      </c>
      <c r="C256" s="1309"/>
      <c r="D256" s="1375">
        <v>1651384</v>
      </c>
      <c r="E256" s="1301">
        <v>1430</v>
      </c>
      <c r="F256" s="1309"/>
      <c r="G256" s="1375">
        <v>1651384</v>
      </c>
    </row>
    <row r="257" spans="2:7">
      <c r="B257" s="1353" t="s">
        <v>654</v>
      </c>
      <c r="C257" s="1309"/>
      <c r="D257" s="1375">
        <v>10000</v>
      </c>
      <c r="E257" s="1376" t="s">
        <v>654</v>
      </c>
      <c r="F257" s="1309"/>
      <c r="G257" s="1375">
        <v>10000</v>
      </c>
    </row>
    <row r="258" spans="2:7">
      <c r="B258" s="1353" t="s">
        <v>655</v>
      </c>
      <c r="C258" s="1309"/>
      <c r="D258" s="1375">
        <v>4960</v>
      </c>
      <c r="E258" s="1376" t="s">
        <v>655</v>
      </c>
      <c r="F258" s="1309"/>
      <c r="G258" s="1375">
        <v>4960</v>
      </c>
    </row>
    <row r="259" spans="2:7">
      <c r="B259" s="1353" t="s">
        <v>656</v>
      </c>
      <c r="C259" s="1309"/>
      <c r="D259" s="1375">
        <v>112974</v>
      </c>
      <c r="E259" s="1376" t="s">
        <v>656</v>
      </c>
      <c r="F259" s="1309"/>
      <c r="G259" s="1375">
        <v>112974</v>
      </c>
    </row>
    <row r="260" spans="2:7">
      <c r="B260" s="1353" t="s">
        <v>657</v>
      </c>
      <c r="C260" s="1309"/>
      <c r="D260" s="1375">
        <v>1523450</v>
      </c>
      <c r="E260" s="1376" t="s">
        <v>657</v>
      </c>
      <c r="F260" s="1309"/>
      <c r="G260" s="1375">
        <v>1523450</v>
      </c>
    </row>
    <row r="261" spans="2:7">
      <c r="B261" s="1352">
        <v>1600</v>
      </c>
      <c r="C261" s="1308">
        <v>389844328.69999999</v>
      </c>
      <c r="D261" s="1375">
        <v>2492645200.0099998</v>
      </c>
      <c r="E261" s="1301">
        <v>1600</v>
      </c>
      <c r="F261" s="1308">
        <v>389844328.69999999</v>
      </c>
      <c r="G261" s="1375">
        <v>2492645200.0099998</v>
      </c>
    </row>
    <row r="262" spans="2:7">
      <c r="B262" s="1352">
        <v>1610</v>
      </c>
      <c r="C262" s="1308">
        <v>389844328.69999999</v>
      </c>
      <c r="D262" s="1375">
        <v>2492645200.0099998</v>
      </c>
      <c r="E262" s="1301">
        <v>1610</v>
      </c>
      <c r="F262" s="1308">
        <v>389844328.69999999</v>
      </c>
      <c r="G262" s="1375">
        <v>2492645200.0099998</v>
      </c>
    </row>
    <row r="263" spans="2:7">
      <c r="B263" s="1352">
        <v>1611</v>
      </c>
      <c r="C263" s="1308">
        <v>371496531.39999998</v>
      </c>
      <c r="D263" s="1375">
        <v>1638663473.02</v>
      </c>
      <c r="E263" s="1301">
        <v>1611</v>
      </c>
      <c r="F263" s="1308">
        <v>371496531.39999998</v>
      </c>
      <c r="G263" s="1375">
        <v>1638663473.02</v>
      </c>
    </row>
    <row r="264" spans="2:7">
      <c r="B264" s="1353" t="s">
        <v>659</v>
      </c>
      <c r="C264" s="1308">
        <v>371389745.89999998</v>
      </c>
      <c r="D264" s="1375">
        <v>1209636233.5699999</v>
      </c>
      <c r="E264" s="1376" t="s">
        <v>659</v>
      </c>
      <c r="F264" s="1308">
        <v>371389745.89999998</v>
      </c>
      <c r="G264" s="1375">
        <v>1209636233.5699999</v>
      </c>
    </row>
    <row r="265" spans="2:7">
      <c r="B265" s="1353" t="s">
        <v>660</v>
      </c>
      <c r="C265" s="1308">
        <v>106785.5</v>
      </c>
      <c r="D265" s="1375">
        <v>429027239.44999999</v>
      </c>
      <c r="E265" s="1376" t="s">
        <v>660</v>
      </c>
      <c r="F265" s="1308">
        <v>106785.5</v>
      </c>
      <c r="G265" s="1375">
        <v>429027239.44999999</v>
      </c>
    </row>
    <row r="266" spans="2:7">
      <c r="B266" s="1352">
        <v>1612</v>
      </c>
      <c r="C266" s="1308">
        <v>18347797.300000001</v>
      </c>
      <c r="D266" s="1375">
        <v>853981726.99000001</v>
      </c>
      <c r="E266" s="1301">
        <v>1612</v>
      </c>
      <c r="F266" s="1308">
        <v>18347797.300000001</v>
      </c>
      <c r="G266" s="1375">
        <v>853981726.99000001</v>
      </c>
    </row>
    <row r="267" spans="2:7">
      <c r="B267" s="1353" t="s">
        <v>661</v>
      </c>
      <c r="C267" s="1308">
        <v>17714902.359999999</v>
      </c>
      <c r="D267" s="1375">
        <v>668803267.44000006</v>
      </c>
      <c r="E267" s="1376" t="s">
        <v>661</v>
      </c>
      <c r="F267" s="1308">
        <v>17714902.359999999</v>
      </c>
      <c r="G267" s="1375">
        <v>668803267.44000006</v>
      </c>
    </row>
    <row r="268" spans="2:7">
      <c r="B268" s="1353" t="s">
        <v>662</v>
      </c>
      <c r="C268" s="1308">
        <v>632894.93999999994</v>
      </c>
      <c r="D268" s="1375">
        <v>185178459.55000001</v>
      </c>
      <c r="E268" s="1376" t="s">
        <v>662</v>
      </c>
      <c r="F268" s="1308">
        <v>632894.93999999994</v>
      </c>
      <c r="G268" s="1375">
        <v>185178459.55000001</v>
      </c>
    </row>
    <row r="269" spans="2:7">
      <c r="B269" s="1352">
        <v>2100</v>
      </c>
      <c r="C269" s="1309"/>
      <c r="D269" s="1375">
        <v>9700000</v>
      </c>
      <c r="E269" s="1301">
        <v>2100</v>
      </c>
      <c r="F269" s="1309"/>
      <c r="G269" s="1375">
        <v>9700000</v>
      </c>
    </row>
    <row r="270" spans="2:7">
      <c r="B270" s="1352">
        <v>2150</v>
      </c>
      <c r="C270" s="1309"/>
      <c r="D270" s="1375">
        <v>9700000</v>
      </c>
      <c r="E270" s="1301">
        <v>2150</v>
      </c>
      <c r="F270" s="1309"/>
      <c r="G270" s="1375">
        <v>9700000</v>
      </c>
    </row>
    <row r="271" spans="2:7">
      <c r="B271" s="1353" t="s">
        <v>663</v>
      </c>
      <c r="C271" s="1309"/>
      <c r="D271" s="1375">
        <v>9700000</v>
      </c>
      <c r="E271" s="1376" t="s">
        <v>663</v>
      </c>
      <c r="F271" s="1309"/>
      <c r="G271" s="1375">
        <v>9700000</v>
      </c>
    </row>
    <row r="272" spans="2:7">
      <c r="B272" s="1352">
        <v>3000</v>
      </c>
      <c r="C272" s="1308">
        <v>3974999572.8000002</v>
      </c>
      <c r="D272" s="1375">
        <v>8489717082.0999994</v>
      </c>
      <c r="E272" s="1301">
        <v>3000</v>
      </c>
      <c r="F272" s="1308">
        <v>3974999572.8000002</v>
      </c>
      <c r="G272" s="1375">
        <v>8489717082.0999994</v>
      </c>
    </row>
    <row r="273" spans="2:7">
      <c r="B273" s="1352">
        <v>3010</v>
      </c>
      <c r="C273" s="1308">
        <v>3621354040.3600001</v>
      </c>
      <c r="D273" s="1375">
        <v>6416091287.1000004</v>
      </c>
      <c r="E273" s="1301">
        <v>3010</v>
      </c>
      <c r="F273" s="1308">
        <v>3621354040.3600001</v>
      </c>
      <c r="G273" s="1375">
        <v>6416091287.1000004</v>
      </c>
    </row>
    <row r="274" spans="2:7">
      <c r="B274" s="1352">
        <v>3030</v>
      </c>
      <c r="C274" s="1309"/>
      <c r="D274" s="1375">
        <v>2073625795</v>
      </c>
      <c r="E274" s="1301">
        <v>3030</v>
      </c>
      <c r="F274" s="1309"/>
      <c r="G274" s="1375">
        <v>2073625795</v>
      </c>
    </row>
    <row r="275" spans="2:7">
      <c r="B275" s="1352">
        <v>3031</v>
      </c>
      <c r="C275" s="1309"/>
      <c r="D275" s="1375">
        <v>2073625795</v>
      </c>
      <c r="E275" s="1301">
        <v>3031</v>
      </c>
      <c r="F275" s="1309"/>
      <c r="G275" s="1375">
        <v>2073625795</v>
      </c>
    </row>
    <row r="276" spans="2:7">
      <c r="B276" s="1352">
        <v>3050</v>
      </c>
      <c r="C276" s="1308">
        <v>353645532.44</v>
      </c>
      <c r="D276" s="1377"/>
      <c r="E276" s="1301">
        <v>3050</v>
      </c>
      <c r="F276" s="1308">
        <v>353645532.44</v>
      </c>
      <c r="G276" s="1377"/>
    </row>
    <row r="277" spans="2:7">
      <c r="B277" s="1353" t="s">
        <v>665</v>
      </c>
      <c r="C277" s="1308">
        <v>353645532.44</v>
      </c>
      <c r="D277" s="1377"/>
      <c r="E277" s="1376" t="s">
        <v>665</v>
      </c>
      <c r="F277" s="1308">
        <v>353645532.44</v>
      </c>
      <c r="G277" s="1377"/>
    </row>
    <row r="278" spans="2:7">
      <c r="B278" s="1352">
        <v>3100</v>
      </c>
      <c r="C278" s="1308">
        <v>22398</v>
      </c>
      <c r="D278" s="1375">
        <v>1049573630.85</v>
      </c>
      <c r="E278" s="1301">
        <v>3100</v>
      </c>
      <c r="F278" s="1308">
        <v>22398</v>
      </c>
      <c r="G278" s="1375">
        <v>1049573630.85</v>
      </c>
    </row>
    <row r="279" spans="2:7">
      <c r="B279" s="1352">
        <v>3110</v>
      </c>
      <c r="C279" s="1309"/>
      <c r="D279" s="1375">
        <v>115107433</v>
      </c>
      <c r="E279" s="1301">
        <v>3110</v>
      </c>
      <c r="F279" s="1309"/>
      <c r="G279" s="1375">
        <v>115107433</v>
      </c>
    </row>
    <row r="280" spans="2:7">
      <c r="B280" s="1352">
        <v>3120</v>
      </c>
      <c r="C280" s="1309"/>
      <c r="D280" s="1375">
        <v>260952204.28</v>
      </c>
      <c r="E280" s="1301">
        <v>3120</v>
      </c>
      <c r="F280" s="1309"/>
      <c r="G280" s="1375">
        <v>260952204.28</v>
      </c>
    </row>
    <row r="281" spans="2:7">
      <c r="B281" s="1352">
        <v>3130</v>
      </c>
      <c r="C281" s="1309"/>
      <c r="D281" s="1375">
        <v>367709900</v>
      </c>
      <c r="E281" s="1301">
        <v>3130</v>
      </c>
      <c r="F281" s="1309"/>
      <c r="G281" s="1375">
        <v>367709900</v>
      </c>
    </row>
    <row r="282" spans="2:7">
      <c r="B282" s="1353" t="s">
        <v>268</v>
      </c>
      <c r="C282" s="1309"/>
      <c r="D282" s="1375">
        <v>367709900</v>
      </c>
      <c r="E282" s="1376" t="s">
        <v>268</v>
      </c>
      <c r="F282" s="1309"/>
      <c r="G282" s="1375">
        <v>367709900</v>
      </c>
    </row>
    <row r="283" spans="2:7">
      <c r="B283" s="1352">
        <v>3150</v>
      </c>
      <c r="C283" s="1309"/>
      <c r="D283" s="1375">
        <v>185449776.63999999</v>
      </c>
      <c r="E283" s="1301">
        <v>3150</v>
      </c>
      <c r="F283" s="1309"/>
      <c r="G283" s="1375">
        <v>185449776.63999999</v>
      </c>
    </row>
    <row r="284" spans="2:7">
      <c r="B284" s="1352">
        <v>3160</v>
      </c>
      <c r="C284" s="1309"/>
      <c r="D284" s="1375">
        <v>921522</v>
      </c>
      <c r="E284" s="1301">
        <v>3160</v>
      </c>
      <c r="F284" s="1309"/>
      <c r="G284" s="1375">
        <v>921522</v>
      </c>
    </row>
    <row r="285" spans="2:7">
      <c r="B285" s="1352">
        <v>3170</v>
      </c>
      <c r="C285" s="1309"/>
      <c r="D285" s="1375">
        <v>1367433</v>
      </c>
      <c r="E285" s="1301">
        <v>3170</v>
      </c>
      <c r="F285" s="1309"/>
      <c r="G285" s="1375">
        <v>1367433</v>
      </c>
    </row>
    <row r="286" spans="2:7">
      <c r="B286" s="1352">
        <v>3180</v>
      </c>
      <c r="C286" s="1309"/>
      <c r="D286" s="1375">
        <v>91305360</v>
      </c>
      <c r="E286" s="1301">
        <v>3180</v>
      </c>
      <c r="F286" s="1309"/>
      <c r="G286" s="1375">
        <v>91305360</v>
      </c>
    </row>
    <row r="287" spans="2:7">
      <c r="B287" s="1352">
        <v>3190</v>
      </c>
      <c r="C287" s="1308">
        <v>22398</v>
      </c>
      <c r="D287" s="1375">
        <v>26760001.93</v>
      </c>
      <c r="E287" s="1301">
        <v>3190</v>
      </c>
      <c r="F287" s="1308">
        <v>22398</v>
      </c>
      <c r="G287" s="1375">
        <v>26760001.93</v>
      </c>
    </row>
    <row r="288" spans="2:7">
      <c r="B288" s="1352">
        <v>3200</v>
      </c>
      <c r="C288" s="1308">
        <v>1489403.45</v>
      </c>
      <c r="D288" s="1375">
        <v>325056338.63</v>
      </c>
      <c r="E288" s="1301">
        <v>3200</v>
      </c>
      <c r="F288" s="1308">
        <v>1489403.45</v>
      </c>
      <c r="G288" s="1375">
        <v>325056338.63</v>
      </c>
    </row>
    <row r="289" spans="2:7">
      <c r="B289" s="1352">
        <v>3210</v>
      </c>
      <c r="C289" s="1308">
        <v>1006697.14</v>
      </c>
      <c r="D289" s="1375">
        <v>83237183.049999997</v>
      </c>
      <c r="E289" s="1301">
        <v>3210</v>
      </c>
      <c r="F289" s="1308">
        <v>1006697.14</v>
      </c>
      <c r="G289" s="1375">
        <v>83237183.049999997</v>
      </c>
    </row>
    <row r="290" spans="2:7">
      <c r="B290" s="1352">
        <v>3220</v>
      </c>
      <c r="C290" s="1308">
        <v>482706.31</v>
      </c>
      <c r="D290" s="1375">
        <v>241819155.58000001</v>
      </c>
      <c r="E290" s="1301">
        <v>3220</v>
      </c>
      <c r="F290" s="1308">
        <v>482706.31</v>
      </c>
      <c r="G290" s="1375">
        <v>241819155.58000001</v>
      </c>
    </row>
    <row r="291" spans="2:7">
      <c r="B291" s="1352">
        <v>3300</v>
      </c>
      <c r="C291" s="1308">
        <v>229163728.31</v>
      </c>
      <c r="D291" s="1375">
        <v>25596881601.869999</v>
      </c>
      <c r="E291" s="1301">
        <v>3300</v>
      </c>
      <c r="F291" s="1308">
        <v>229163728.31</v>
      </c>
      <c r="G291" s="1375">
        <v>25596881601.869999</v>
      </c>
    </row>
    <row r="292" spans="2:7">
      <c r="B292" s="1352">
        <v>3310</v>
      </c>
      <c r="C292" s="1308">
        <v>138485589.84</v>
      </c>
      <c r="D292" s="1375">
        <v>22283103892.559998</v>
      </c>
      <c r="E292" s="1301">
        <v>3310</v>
      </c>
      <c r="F292" s="1308">
        <v>138485589.84</v>
      </c>
      <c r="G292" s="1375">
        <v>22283103892.559998</v>
      </c>
    </row>
    <row r="293" spans="2:7">
      <c r="B293" s="1353" t="s">
        <v>666</v>
      </c>
      <c r="C293" s="1308">
        <v>43350856.020000003</v>
      </c>
      <c r="D293" s="1375">
        <v>4306113591.0100002</v>
      </c>
      <c r="E293" s="1376" t="s">
        <v>666</v>
      </c>
      <c r="F293" s="1308">
        <v>43350856.020000003</v>
      </c>
      <c r="G293" s="1375">
        <v>4306113591.0100002</v>
      </c>
    </row>
    <row r="294" spans="2:7">
      <c r="B294" s="1353" t="s">
        <v>12</v>
      </c>
      <c r="C294" s="1308">
        <v>60051806.850000001</v>
      </c>
      <c r="D294" s="1375">
        <v>5178668050.0900002</v>
      </c>
      <c r="E294" s="1376" t="s">
        <v>12</v>
      </c>
      <c r="F294" s="1308">
        <v>60051806.850000001</v>
      </c>
      <c r="G294" s="1375">
        <v>5178668050.0900002</v>
      </c>
    </row>
    <row r="295" spans="2:7">
      <c r="B295" s="1353" t="s">
        <v>13</v>
      </c>
      <c r="C295" s="1308">
        <v>31437318.969999999</v>
      </c>
      <c r="D295" s="1375">
        <v>12762789504.459999</v>
      </c>
      <c r="E295" s="1376" t="s">
        <v>13</v>
      </c>
      <c r="F295" s="1308">
        <v>31437318.969999999</v>
      </c>
      <c r="G295" s="1375">
        <v>12762789504.459999</v>
      </c>
    </row>
    <row r="296" spans="2:7">
      <c r="B296" s="1353" t="s">
        <v>667</v>
      </c>
      <c r="C296" s="1308">
        <v>3645608</v>
      </c>
      <c r="D296" s="1375">
        <v>35532747</v>
      </c>
      <c r="E296" s="1376" t="s">
        <v>667</v>
      </c>
      <c r="F296" s="1308">
        <v>3645608</v>
      </c>
      <c r="G296" s="1375">
        <v>35532747</v>
      </c>
    </row>
    <row r="297" spans="2:7">
      <c r="B297" s="1352">
        <v>3320</v>
      </c>
      <c r="C297" s="1309"/>
      <c r="D297" s="1375">
        <v>429324687.39999998</v>
      </c>
      <c r="E297" s="1301">
        <v>3320</v>
      </c>
      <c r="F297" s="1309"/>
      <c r="G297" s="1375">
        <v>429324687.39999998</v>
      </c>
    </row>
    <row r="298" spans="2:7">
      <c r="B298" s="1352">
        <v>3340</v>
      </c>
      <c r="C298" s="1308">
        <v>65000</v>
      </c>
      <c r="D298" s="1375">
        <v>65000</v>
      </c>
      <c r="E298" s="1301">
        <v>3340</v>
      </c>
      <c r="F298" s="1308">
        <v>65000</v>
      </c>
      <c r="G298" s="1375">
        <v>65000</v>
      </c>
    </row>
    <row r="299" spans="2:7">
      <c r="B299" s="1352">
        <v>3350</v>
      </c>
      <c r="C299" s="1308">
        <v>16470167.66</v>
      </c>
      <c r="D299" s="1375">
        <v>1685199180.8199999</v>
      </c>
      <c r="E299" s="1301">
        <v>3350</v>
      </c>
      <c r="F299" s="1308">
        <v>16470167.66</v>
      </c>
      <c r="G299" s="1375">
        <v>1685199180.8199999</v>
      </c>
    </row>
    <row r="300" spans="2:7">
      <c r="B300" s="1352">
        <v>3380</v>
      </c>
      <c r="C300" s="1309"/>
      <c r="D300" s="1375">
        <v>1014845816.53</v>
      </c>
      <c r="E300" s="1301">
        <v>3380</v>
      </c>
      <c r="F300" s="1309"/>
      <c r="G300" s="1375">
        <v>1014845816.53</v>
      </c>
    </row>
    <row r="301" spans="2:7">
      <c r="B301" s="1353" t="s">
        <v>265</v>
      </c>
      <c r="C301" s="1309"/>
      <c r="D301" s="1375">
        <v>1011039363.6799999</v>
      </c>
      <c r="E301" s="1376" t="s">
        <v>265</v>
      </c>
      <c r="F301" s="1309"/>
      <c r="G301" s="1375">
        <v>1011039363.6799999</v>
      </c>
    </row>
    <row r="302" spans="2:7">
      <c r="B302" s="1353" t="s">
        <v>267</v>
      </c>
      <c r="C302" s="1309"/>
      <c r="D302" s="1375">
        <v>3806452.85</v>
      </c>
      <c r="E302" s="1376" t="s">
        <v>267</v>
      </c>
      <c r="F302" s="1309"/>
      <c r="G302" s="1375">
        <v>3806452.85</v>
      </c>
    </row>
    <row r="303" spans="2:7">
      <c r="B303" s="1352">
        <v>3390</v>
      </c>
      <c r="C303" s="1308">
        <v>74142970.810000002</v>
      </c>
      <c r="D303" s="1375">
        <v>184343024.56</v>
      </c>
      <c r="E303" s="1301">
        <v>3390</v>
      </c>
      <c r="F303" s="1308">
        <v>74142970.810000002</v>
      </c>
      <c r="G303" s="1375">
        <v>184343024.56</v>
      </c>
    </row>
    <row r="304" spans="2:7">
      <c r="B304" s="1353" t="s">
        <v>668</v>
      </c>
      <c r="C304" s="1308">
        <v>1525</v>
      </c>
      <c r="D304" s="1375">
        <v>2020</v>
      </c>
      <c r="E304" s="1376" t="s">
        <v>668</v>
      </c>
      <c r="F304" s="1308">
        <v>1525</v>
      </c>
      <c r="G304" s="1375">
        <v>2020</v>
      </c>
    </row>
    <row r="305" spans="2:7">
      <c r="B305" s="1353" t="s">
        <v>263</v>
      </c>
      <c r="C305" s="1308">
        <v>73614072</v>
      </c>
      <c r="D305" s="1375">
        <v>172886686.59999999</v>
      </c>
      <c r="E305" s="1376" t="s">
        <v>263</v>
      </c>
      <c r="F305" s="1308">
        <v>73614072</v>
      </c>
      <c r="G305" s="1375">
        <v>172886686.59999999</v>
      </c>
    </row>
    <row r="306" spans="2:7">
      <c r="B306" s="1353" t="s">
        <v>261</v>
      </c>
      <c r="C306" s="1308">
        <v>527373.81000000006</v>
      </c>
      <c r="D306" s="1375">
        <v>11454317.960000001</v>
      </c>
      <c r="E306" s="1376" t="s">
        <v>261</v>
      </c>
      <c r="F306" s="1308">
        <v>527373.81000000006</v>
      </c>
      <c r="G306" s="1375">
        <v>11454317.960000001</v>
      </c>
    </row>
    <row r="307" spans="2:7">
      <c r="B307" s="1352">
        <v>3500</v>
      </c>
      <c r="C307" s="1308">
        <v>456697090.05000001</v>
      </c>
      <c r="D307" s="1375">
        <v>2149262231.1100001</v>
      </c>
      <c r="E307" s="1301">
        <v>3500</v>
      </c>
      <c r="F307" s="1308">
        <v>456697090.05000001</v>
      </c>
      <c r="G307" s="1375">
        <v>2149262231.1100001</v>
      </c>
    </row>
    <row r="308" spans="2:7">
      <c r="B308" s="1352">
        <v>3510</v>
      </c>
      <c r="C308" s="1308">
        <v>456697090.05000001</v>
      </c>
      <c r="D308" s="1375">
        <v>829999</v>
      </c>
      <c r="E308" s="1301">
        <v>3510</v>
      </c>
      <c r="F308" s="1308">
        <v>456697090.05000001</v>
      </c>
      <c r="G308" s="1375">
        <v>829999</v>
      </c>
    </row>
    <row r="309" spans="2:7">
      <c r="B309" s="1353" t="s">
        <v>669</v>
      </c>
      <c r="C309" s="1308">
        <v>453181565.63999999</v>
      </c>
      <c r="D309" s="1375">
        <v>829999</v>
      </c>
      <c r="E309" s="1376" t="s">
        <v>669</v>
      </c>
      <c r="F309" s="1308">
        <v>453181565.63999999</v>
      </c>
      <c r="G309" s="1375">
        <v>829999</v>
      </c>
    </row>
    <row r="310" spans="2:7">
      <c r="B310" s="1353" t="s">
        <v>260</v>
      </c>
      <c r="C310" s="1308">
        <v>2922996.41</v>
      </c>
      <c r="D310" s="1377"/>
      <c r="E310" s="1376" t="s">
        <v>260</v>
      </c>
      <c r="F310" s="1308">
        <v>2922996.41</v>
      </c>
      <c r="G310" s="1377"/>
    </row>
    <row r="311" spans="2:7">
      <c r="B311" s="1353" t="s">
        <v>670</v>
      </c>
      <c r="C311" s="1308">
        <v>592528</v>
      </c>
      <c r="D311" s="1377"/>
      <c r="E311" s="1376" t="s">
        <v>670</v>
      </c>
      <c r="F311" s="1308">
        <v>592528</v>
      </c>
      <c r="G311" s="1377"/>
    </row>
    <row r="312" spans="2:7">
      <c r="B312" s="1352">
        <v>3540</v>
      </c>
      <c r="C312" s="1309"/>
      <c r="D312" s="1375">
        <v>2148432232.1100001</v>
      </c>
      <c r="E312" s="1301">
        <v>3540</v>
      </c>
      <c r="F312" s="1309"/>
      <c r="G312" s="1375">
        <v>2148432232.1100001</v>
      </c>
    </row>
    <row r="313" spans="2:7">
      <c r="B313" s="1353" t="s">
        <v>264</v>
      </c>
      <c r="C313" s="1309"/>
      <c r="D313" s="1375">
        <v>2148432232.1100001</v>
      </c>
      <c r="E313" s="1376" t="s">
        <v>264</v>
      </c>
      <c r="F313" s="1309"/>
      <c r="G313" s="1375">
        <v>2148432232.1100001</v>
      </c>
    </row>
    <row r="314" spans="2:7">
      <c r="B314" s="1352">
        <v>4000</v>
      </c>
      <c r="C314" s="1308">
        <v>9071767200</v>
      </c>
      <c r="D314" s="1377"/>
      <c r="E314" s="1301">
        <v>4000</v>
      </c>
      <c r="F314" s="1308">
        <v>9071767200</v>
      </c>
      <c r="G314" s="1377"/>
    </row>
    <row r="315" spans="2:7">
      <c r="B315" s="1352">
        <v>4010</v>
      </c>
      <c r="C315" s="1308">
        <v>9071767200</v>
      </c>
      <c r="D315" s="1377"/>
      <c r="E315" s="1301">
        <v>4010</v>
      </c>
      <c r="F315" s="1308">
        <v>9071767200</v>
      </c>
      <c r="G315" s="1377"/>
    </row>
    <row r="316" spans="2:7">
      <c r="B316" s="1352">
        <v>6200</v>
      </c>
      <c r="C316" s="1308">
        <v>4599033882.5600004</v>
      </c>
      <c r="D316" s="1377"/>
      <c r="E316" s="1301">
        <v>6200</v>
      </c>
      <c r="F316" s="1308">
        <v>4599033882.5600004</v>
      </c>
      <c r="G316" s="1377"/>
    </row>
    <row r="317" spans="2:7">
      <c r="B317" s="1352">
        <v>6250</v>
      </c>
      <c r="C317" s="1308">
        <v>4326309239.8599997</v>
      </c>
      <c r="D317" s="1377"/>
      <c r="E317" s="1301">
        <v>6250</v>
      </c>
      <c r="F317" s="1308">
        <v>4326309239.8599997</v>
      </c>
      <c r="G317" s="1377"/>
    </row>
    <row r="318" spans="2:7">
      <c r="B318" s="1353" t="s">
        <v>678</v>
      </c>
      <c r="C318" s="1308">
        <v>4326309239.8599997</v>
      </c>
      <c r="D318" s="1377"/>
      <c r="E318" s="1376" t="s">
        <v>678</v>
      </c>
      <c r="F318" s="1308">
        <v>4326309239.8599997</v>
      </c>
      <c r="G318" s="1377"/>
    </row>
    <row r="319" spans="2:7" ht="22.5">
      <c r="B319" s="1353" t="s">
        <v>972</v>
      </c>
      <c r="C319" s="1308">
        <v>4326309239.8599997</v>
      </c>
      <c r="D319" s="1377"/>
      <c r="E319" s="1376"/>
      <c r="F319" s="1308">
        <v>4326309239.8599997</v>
      </c>
      <c r="G319" s="1377"/>
    </row>
    <row r="320" spans="2:7">
      <c r="B320" s="1352">
        <v>6280</v>
      </c>
      <c r="C320" s="1308">
        <v>272724642.69999999</v>
      </c>
      <c r="D320" s="1377"/>
      <c r="E320" s="1301">
        <v>6280</v>
      </c>
      <c r="F320" s="1308">
        <v>272724642.69999999</v>
      </c>
      <c r="G320" s="1377"/>
    </row>
    <row r="321" spans="2:7">
      <c r="B321" s="1353" t="s">
        <v>679</v>
      </c>
      <c r="C321" s="1308">
        <v>199247015.16</v>
      </c>
      <c r="D321" s="1377"/>
      <c r="E321" s="1376" t="s">
        <v>679</v>
      </c>
      <c r="F321" s="1308">
        <v>199247015.16</v>
      </c>
      <c r="G321" s="1377"/>
    </row>
    <row r="322" spans="2:7">
      <c r="B322" s="1353" t="s">
        <v>817</v>
      </c>
      <c r="C322" s="1308"/>
      <c r="D322" s="1377"/>
      <c r="E322" s="1376"/>
      <c r="F322" s="1308"/>
      <c r="G322" s="1377"/>
    </row>
    <row r="323" spans="2:7">
      <c r="B323" s="1353" t="s">
        <v>682</v>
      </c>
      <c r="C323" s="1308">
        <v>73477627.540000007</v>
      </c>
      <c r="D323" s="1377"/>
      <c r="E323" s="1376" t="s">
        <v>682</v>
      </c>
      <c r="F323" s="1308">
        <v>73477627.540000007</v>
      </c>
      <c r="G323" s="1377"/>
    </row>
    <row r="324" spans="2:7">
      <c r="B324" s="1353" t="s">
        <v>811</v>
      </c>
      <c r="C324" s="1308"/>
      <c r="D324" s="1377"/>
      <c r="E324" s="1376"/>
      <c r="F324" s="1308"/>
      <c r="G324" s="1377"/>
    </row>
    <row r="325" spans="2:7">
      <c r="B325" s="1353" t="s">
        <v>1083</v>
      </c>
      <c r="C325" s="1308"/>
      <c r="D325" s="1377"/>
      <c r="E325" s="1376"/>
      <c r="F325" s="1308"/>
      <c r="G325" s="1377"/>
    </row>
    <row r="326" spans="2:7">
      <c r="B326" s="1352">
        <v>7400</v>
      </c>
      <c r="C326" s="1309"/>
      <c r="D326" s="1375">
        <v>1019073300.04</v>
      </c>
      <c r="E326" s="1301">
        <v>7400</v>
      </c>
      <c r="F326" s="1309"/>
      <c r="G326" s="1375">
        <v>1019073300.04</v>
      </c>
    </row>
    <row r="327" spans="2:7">
      <c r="B327" s="1352">
        <v>7430</v>
      </c>
      <c r="C327" s="1309"/>
      <c r="D327" s="1375">
        <v>801983210.15999997</v>
      </c>
      <c r="E327" s="1301">
        <v>7430</v>
      </c>
      <c r="F327" s="1309"/>
      <c r="G327" s="1375">
        <v>801983210.15999997</v>
      </c>
    </row>
    <row r="328" spans="2:7">
      <c r="B328" s="1353" t="s">
        <v>692</v>
      </c>
      <c r="C328" s="1309"/>
      <c r="D328" s="1375">
        <v>801983210.15999997</v>
      </c>
      <c r="E328" s="1376" t="s">
        <v>692</v>
      </c>
      <c r="F328" s="1309"/>
      <c r="G328" s="1375">
        <v>801983210.15999997</v>
      </c>
    </row>
    <row r="329" spans="2:7" ht="22.5">
      <c r="B329" s="1353" t="s">
        <v>693</v>
      </c>
      <c r="C329" s="1309"/>
      <c r="D329" s="1375">
        <v>801983210.15999997</v>
      </c>
      <c r="E329" s="1376"/>
      <c r="F329" s="1309"/>
      <c r="G329" s="1375">
        <v>801983210.15999997</v>
      </c>
    </row>
    <row r="330" spans="2:7">
      <c r="B330" s="1352">
        <v>7470</v>
      </c>
      <c r="C330" s="1309"/>
      <c r="D330" s="1375">
        <v>217090089.88</v>
      </c>
      <c r="E330" s="1301">
        <v>7470</v>
      </c>
      <c r="F330" s="1309"/>
      <c r="G330" s="1375">
        <v>217090089.88</v>
      </c>
    </row>
    <row r="331" spans="2:7">
      <c r="B331" s="1353" t="s">
        <v>694</v>
      </c>
      <c r="C331" s="1309"/>
      <c r="D331" s="1375">
        <v>217090090.08000001</v>
      </c>
      <c r="E331" s="1376" t="s">
        <v>694</v>
      </c>
      <c r="F331" s="1309"/>
      <c r="G331" s="1375">
        <v>217090090.08000001</v>
      </c>
    </row>
    <row r="332" spans="2:7">
      <c r="B332" s="1353" t="s">
        <v>849</v>
      </c>
      <c r="C332" s="1309"/>
      <c r="D332" s="1375">
        <v>217090090.08000001</v>
      </c>
      <c r="E332" s="1376"/>
      <c r="F332" s="1309"/>
      <c r="G332" s="1375">
        <v>217090090.08000001</v>
      </c>
    </row>
    <row r="333" spans="2:7" ht="13.5" thickBot="1">
      <c r="B333" s="1353" t="s">
        <v>249</v>
      </c>
      <c r="C333" s="1309"/>
      <c r="D333" s="1378">
        <v>-0.2</v>
      </c>
      <c r="E333" s="1376" t="s">
        <v>249</v>
      </c>
      <c r="F333" s="1309"/>
      <c r="G333" s="1378">
        <v>-0.2</v>
      </c>
    </row>
    <row r="334" spans="2:7">
      <c r="B334" s="1354" t="s">
        <v>152</v>
      </c>
      <c r="C334" s="1310">
        <v>339211169676.98993</v>
      </c>
      <c r="D334" s="1379">
        <v>329563543373.81006</v>
      </c>
      <c r="E334" s="1303" t="s">
        <v>152</v>
      </c>
      <c r="F334" s="1310">
        <v>339211169676.98993</v>
      </c>
      <c r="G334" s="1379">
        <v>329563543373.81006</v>
      </c>
    </row>
    <row r="335" spans="2:7" ht="13.5" thickBot="1">
      <c r="B335" s="1355" t="s">
        <v>153</v>
      </c>
      <c r="C335" s="1380">
        <v>10431024188.970001</v>
      </c>
      <c r="D335" s="1381"/>
      <c r="E335" s="1305" t="s">
        <v>153</v>
      </c>
      <c r="F335" s="1380">
        <v>10431024188.970001</v>
      </c>
      <c r="G335" s="1381"/>
    </row>
    <row r="336" spans="2:7" ht="15">
      <c r="B336" s="1347"/>
      <c r="C336" s="1347"/>
      <c r="D336" s="1325"/>
      <c r="E336" s="1347"/>
      <c r="F336" s="1237"/>
      <c r="G336" s="1237"/>
    </row>
    <row r="337" spans="2:5">
      <c r="B337" s="1285">
        <v>3579960582.5199995</v>
      </c>
      <c r="C337" s="1347"/>
      <c r="D337" s="1325"/>
      <c r="E337" s="1347"/>
    </row>
    <row r="338" spans="2:5">
      <c r="B338" s="1347"/>
      <c r="C338" s="1347"/>
      <c r="D338" s="1325"/>
      <c r="E338" s="1347"/>
    </row>
    <row r="339" spans="2:5">
      <c r="B339" s="1347"/>
      <c r="C339" s="1347"/>
      <c r="D339" s="1325"/>
      <c r="E339" s="1347"/>
    </row>
    <row r="340" spans="2:5">
      <c r="B340" s="1571" t="s">
        <v>1076</v>
      </c>
      <c r="C340" s="1571"/>
      <c r="D340" s="1571"/>
      <c r="E340" s="1347"/>
    </row>
    <row r="341" spans="2:5">
      <c r="B341" s="1357" t="s">
        <v>1084</v>
      </c>
      <c r="C341" s="1347"/>
      <c r="D341" s="1325"/>
      <c r="E341" s="1356" t="s">
        <v>72</v>
      </c>
    </row>
    <row r="342" spans="2:5">
      <c r="B342" s="1357" t="s">
        <v>997</v>
      </c>
      <c r="C342" s="1347"/>
      <c r="D342" s="1325"/>
      <c r="E342" s="1347"/>
    </row>
    <row r="343" spans="2:5" ht="22.5">
      <c r="B343" s="1369" t="s">
        <v>960</v>
      </c>
      <c r="C343" s="1369"/>
      <c r="D343" s="1369"/>
      <c r="E343" s="1347"/>
    </row>
    <row r="344" spans="2:5">
      <c r="B344" s="1369" t="s">
        <v>123</v>
      </c>
      <c r="C344" s="1369"/>
      <c r="D344" s="1369"/>
      <c r="E344" s="1369"/>
    </row>
    <row r="345" spans="2:5">
      <c r="B345" s="1370" t="s">
        <v>1085</v>
      </c>
      <c r="C345" s="1370"/>
      <c r="D345" s="1370"/>
      <c r="E345" s="1369"/>
    </row>
    <row r="346" spans="2:5" ht="13.5" thickBot="1">
      <c r="B346" s="1347"/>
      <c r="C346" s="1347"/>
      <c r="D346" s="1325"/>
      <c r="E346" s="1370"/>
    </row>
    <row r="347" spans="2:5">
      <c r="B347" s="1344" t="s">
        <v>124</v>
      </c>
      <c r="C347" s="1345" t="s">
        <v>148</v>
      </c>
      <c r="D347" s="1358" t="s">
        <v>149</v>
      </c>
      <c r="E347" s="1359" t="s">
        <v>150</v>
      </c>
    </row>
    <row r="348" spans="2:5" ht="13.5" thickBot="1">
      <c r="B348" s="1348"/>
      <c r="C348" s="1349"/>
      <c r="D348" s="1360"/>
      <c r="E348" s="1361"/>
    </row>
    <row r="349" spans="2:5" ht="23.25" thickBot="1">
      <c r="B349" s="1362"/>
      <c r="C349" s="1363" t="s">
        <v>151</v>
      </c>
      <c r="D349" s="1339">
        <v>958608141.99000001</v>
      </c>
      <c r="E349" s="1284"/>
    </row>
    <row r="350" spans="2:5" ht="22.5">
      <c r="B350" s="1364" t="s">
        <v>902</v>
      </c>
      <c r="C350" s="1365" t="s">
        <v>151</v>
      </c>
      <c r="D350" s="1340">
        <v>958608141.99000001</v>
      </c>
      <c r="E350" s="1312"/>
    </row>
    <row r="351" spans="2:5">
      <c r="B351" s="1353"/>
      <c r="C351" s="1382">
        <v>1000</v>
      </c>
      <c r="D351" s="1308">
        <v>6403202431.3900003</v>
      </c>
      <c r="E351" s="1375">
        <v>7847355150.0100002</v>
      </c>
    </row>
    <row r="352" spans="2:5">
      <c r="B352" s="1353"/>
      <c r="C352" s="1382">
        <v>1020</v>
      </c>
      <c r="D352" s="1309"/>
      <c r="E352" s="1375">
        <v>54210</v>
      </c>
    </row>
    <row r="353" spans="2:5">
      <c r="B353" s="1353"/>
      <c r="C353" s="1382">
        <v>1030</v>
      </c>
      <c r="D353" s="1308">
        <v>6403202431.3900003</v>
      </c>
      <c r="E353" s="1375">
        <v>7847300940.0100002</v>
      </c>
    </row>
    <row r="354" spans="2:5">
      <c r="B354" s="1353"/>
      <c r="C354" s="1382">
        <v>1031</v>
      </c>
      <c r="D354" s="1308">
        <v>987505445.25999999</v>
      </c>
      <c r="E354" s="1375">
        <v>2209930530.0099998</v>
      </c>
    </row>
    <row r="355" spans="2:5">
      <c r="B355" s="1353"/>
      <c r="C355" s="1382">
        <v>1032</v>
      </c>
      <c r="D355" s="1308">
        <v>5415696986.1300001</v>
      </c>
      <c r="E355" s="1375">
        <v>5637370410</v>
      </c>
    </row>
    <row r="356" spans="2:5">
      <c r="B356" s="1353"/>
      <c r="C356" s="1382">
        <v>1200</v>
      </c>
      <c r="D356" s="1308">
        <v>3848542723.2600002</v>
      </c>
      <c r="E356" s="1375">
        <v>3690736243.2600002</v>
      </c>
    </row>
    <row r="357" spans="2:5">
      <c r="B357" s="1353"/>
      <c r="C357" s="1382">
        <v>1270</v>
      </c>
      <c r="D357" s="1308">
        <v>157806480</v>
      </c>
      <c r="E357" s="1377"/>
    </row>
    <row r="358" spans="2:5" ht="24">
      <c r="B358" s="1353"/>
      <c r="C358" s="1383" t="s">
        <v>702</v>
      </c>
      <c r="D358" s="1308">
        <v>157806480</v>
      </c>
      <c r="E358" s="1377"/>
    </row>
    <row r="359" spans="2:5">
      <c r="B359" s="1353"/>
      <c r="C359" s="1382">
        <v>1280</v>
      </c>
      <c r="D359" s="1308">
        <v>3690736243.2600002</v>
      </c>
      <c r="E359" s="1375">
        <v>3690736243.2600002</v>
      </c>
    </row>
    <row r="360" spans="2:5" ht="24">
      <c r="B360" s="1353"/>
      <c r="C360" s="1383" t="s">
        <v>250</v>
      </c>
      <c r="D360" s="1308">
        <v>3690736243.2600002</v>
      </c>
      <c r="E360" s="1375">
        <v>3690736243.2600002</v>
      </c>
    </row>
    <row r="361" spans="2:5">
      <c r="B361" s="1353"/>
      <c r="C361" s="1382">
        <v>1600</v>
      </c>
      <c r="D361" s="1308">
        <v>5674506684.54</v>
      </c>
      <c r="E361" s="1375">
        <v>5587630208.4100008</v>
      </c>
    </row>
    <row r="362" spans="2:5">
      <c r="B362" s="1353"/>
      <c r="C362" s="1382">
        <v>1610</v>
      </c>
      <c r="D362" s="1308">
        <v>5674506684.54</v>
      </c>
      <c r="E362" s="1375">
        <v>5587630208.4100008</v>
      </c>
    </row>
    <row r="363" spans="2:5" ht="24">
      <c r="B363" s="1353"/>
      <c r="C363" s="1383" t="s">
        <v>658</v>
      </c>
      <c r="D363" s="1308">
        <v>5674506684.54</v>
      </c>
      <c r="E363" s="1375">
        <v>5587630208.4100008</v>
      </c>
    </row>
    <row r="364" spans="2:5">
      <c r="B364" s="1353"/>
      <c r="C364" s="1382">
        <v>3300</v>
      </c>
      <c r="D364" s="1309"/>
      <c r="E364" s="1375">
        <v>73127.47</v>
      </c>
    </row>
    <row r="365" spans="2:5">
      <c r="B365" s="1353"/>
      <c r="C365" s="1382">
        <v>3390</v>
      </c>
      <c r="D365" s="1309"/>
      <c r="E365" s="1375">
        <v>73127.47</v>
      </c>
    </row>
    <row r="366" spans="2:5" ht="24">
      <c r="B366" s="1353"/>
      <c r="C366" s="1383" t="s">
        <v>263</v>
      </c>
      <c r="D366" s="1309"/>
      <c r="E366" s="1375">
        <v>73127.47</v>
      </c>
    </row>
    <row r="367" spans="2:5">
      <c r="B367" s="1353"/>
      <c r="C367" s="1382">
        <v>6200</v>
      </c>
      <c r="D367" s="1308">
        <v>336666467.83999997</v>
      </c>
      <c r="E367" s="1377"/>
    </row>
    <row r="368" spans="2:5">
      <c r="B368" s="1353"/>
      <c r="C368" s="1382">
        <v>6250</v>
      </c>
      <c r="D368" s="1308">
        <v>336666467.83999997</v>
      </c>
      <c r="E368" s="1377"/>
    </row>
    <row r="369" spans="2:5" ht="24">
      <c r="B369" s="1353"/>
      <c r="C369" s="1383" t="s">
        <v>678</v>
      </c>
      <c r="D369" s="1308">
        <v>336666467.83999997</v>
      </c>
      <c r="E369" s="1377"/>
    </row>
    <row r="370" spans="2:5">
      <c r="B370" s="1353"/>
      <c r="C370" s="1382">
        <v>7400</v>
      </c>
      <c r="D370" s="1309"/>
      <c r="E370" s="1375">
        <v>36718755.590000004</v>
      </c>
    </row>
    <row r="371" spans="2:5">
      <c r="B371" s="1353"/>
      <c r="C371" s="1382">
        <v>7430</v>
      </c>
      <c r="D371" s="1309"/>
      <c r="E371" s="1375">
        <v>36718755.590000004</v>
      </c>
    </row>
    <row r="372" spans="2:5" ht="24">
      <c r="B372" s="1353"/>
      <c r="C372" s="1383" t="s">
        <v>692</v>
      </c>
      <c r="D372" s="1309"/>
      <c r="E372" s="1375">
        <v>36718755.590000004</v>
      </c>
    </row>
    <row r="373" spans="2:5">
      <c r="B373" s="1366"/>
      <c r="C373" s="1384" t="s">
        <v>152</v>
      </c>
      <c r="D373" s="1385">
        <v>16262918307.029999</v>
      </c>
      <c r="E373" s="1386">
        <v>17162513484.74</v>
      </c>
    </row>
    <row r="374" spans="2:5" ht="24.75" thickBot="1">
      <c r="B374" s="1364"/>
      <c r="C374" s="1387" t="s">
        <v>153</v>
      </c>
      <c r="D374" s="1388">
        <v>59012964.280000001</v>
      </c>
      <c r="E374" s="1389"/>
    </row>
    <row r="375" spans="2:5">
      <c r="B375" s="1367"/>
      <c r="C375" s="1390" t="s">
        <v>152</v>
      </c>
      <c r="D375" s="1310">
        <v>16262918307.029999</v>
      </c>
      <c r="E375" s="1379">
        <v>17162513484.74</v>
      </c>
    </row>
    <row r="376" spans="2:5" ht="24.75" thickBot="1">
      <c r="B376" s="1367"/>
      <c r="C376" s="1391" t="s">
        <v>153</v>
      </c>
      <c r="D376" s="1380">
        <v>59012964.280000001</v>
      </c>
      <c r="E376" s="1381"/>
    </row>
    <row r="377" spans="2:5">
      <c r="B377" s="1367"/>
      <c r="C377" s="1367"/>
      <c r="D377" s="1326"/>
      <c r="E377" s="1367"/>
    </row>
    <row r="378" spans="2:5">
      <c r="B378" s="1367"/>
      <c r="C378" s="1367"/>
      <c r="D378" s="1326"/>
      <c r="E378" s="1367"/>
    </row>
    <row r="379" spans="2:5">
      <c r="B379" s="1367"/>
      <c r="C379" s="1367"/>
      <c r="D379" s="1326"/>
      <c r="E379" s="1367"/>
    </row>
    <row r="380" spans="2:5">
      <c r="B380" s="1367"/>
      <c r="C380" s="1367"/>
      <c r="D380" s="1326"/>
      <c r="E380" s="1367"/>
    </row>
    <row r="381" spans="2:5">
      <c r="B381" s="1367"/>
      <c r="C381" s="1367"/>
      <c r="D381" s="1326"/>
      <c r="E381" s="1367"/>
    </row>
    <row r="382" spans="2:5">
      <c r="B382" s="1367"/>
      <c r="C382" s="1367"/>
      <c r="D382" s="1326"/>
      <c r="E382" s="1367"/>
    </row>
    <row r="383" spans="2:5">
      <c r="B383" s="1367"/>
      <c r="C383" s="1367"/>
      <c r="D383" s="1326"/>
      <c r="E383" s="1367"/>
    </row>
    <row r="384" spans="2:5">
      <c r="B384" s="1367"/>
      <c r="C384" s="1367"/>
      <c r="D384" s="1326"/>
      <c r="E384" s="1367"/>
    </row>
    <row r="385" spans="2:5">
      <c r="B385" s="1367"/>
      <c r="C385" s="1367"/>
      <c r="D385" s="1326"/>
      <c r="E385" s="1367"/>
    </row>
    <row r="386" spans="2:5">
      <c r="B386" s="1367"/>
      <c r="C386" s="1367"/>
      <c r="D386" s="1326"/>
      <c r="E386" s="1367"/>
    </row>
    <row r="387" spans="2:5">
      <c r="B387" s="1367"/>
      <c r="C387" s="1367"/>
      <c r="D387" s="1326"/>
      <c r="E387" s="1367"/>
    </row>
    <row r="388" spans="2:5">
      <c r="B388" s="1367"/>
      <c r="C388" s="1367"/>
      <c r="D388" s="1326"/>
      <c r="E388" s="1367"/>
    </row>
    <row r="389" spans="2:5">
      <c r="B389" s="1367"/>
      <c r="C389" s="1367"/>
      <c r="D389" s="1326"/>
      <c r="E389" s="1367"/>
    </row>
    <row r="390" spans="2:5">
      <c r="B390" s="1367"/>
      <c r="C390" s="1367"/>
      <c r="D390" s="1326"/>
      <c r="E390" s="1367"/>
    </row>
    <row r="391" spans="2:5">
      <c r="B391" s="1367"/>
      <c r="C391" s="1367"/>
      <c r="D391" s="1326"/>
      <c r="E391" s="1367"/>
    </row>
    <row r="392" spans="2:5">
      <c r="B392" s="1367"/>
      <c r="C392" s="1367"/>
      <c r="D392" s="1326"/>
      <c r="E392" s="1367"/>
    </row>
    <row r="393" spans="2:5">
      <c r="B393" s="1367"/>
      <c r="C393" s="1367"/>
      <c r="D393" s="1326"/>
      <c r="E393" s="1367"/>
    </row>
    <row r="394" spans="2:5">
      <c r="B394" s="1367"/>
      <c r="C394" s="1367"/>
      <c r="D394" s="1326"/>
      <c r="E394" s="1367"/>
    </row>
    <row r="395" spans="2:5">
      <c r="B395" s="1367"/>
      <c r="C395" s="1367"/>
      <c r="D395" s="1326"/>
      <c r="E395" s="1367"/>
    </row>
    <row r="396" spans="2:5">
      <c r="B396" s="1367"/>
      <c r="C396" s="1367"/>
      <c r="D396" s="1326"/>
      <c r="E396" s="1367"/>
    </row>
    <row r="397" spans="2:5">
      <c r="B397" s="1367"/>
      <c r="C397" s="1367"/>
      <c r="D397" s="1326"/>
      <c r="E397" s="1367"/>
    </row>
    <row r="398" spans="2:5">
      <c r="B398" s="1367"/>
      <c r="C398" s="1367"/>
      <c r="D398" s="1326"/>
      <c r="E398" s="1367"/>
    </row>
    <row r="399" spans="2:5">
      <c r="B399" s="1367"/>
      <c r="C399" s="1367"/>
      <c r="D399" s="1326"/>
      <c r="E399" s="1367"/>
    </row>
    <row r="400" spans="2:5">
      <c r="B400" s="1367"/>
      <c r="C400" s="1367"/>
      <c r="D400" s="1326"/>
      <c r="E400" s="1367"/>
    </row>
    <row r="401" spans="2:5">
      <c r="B401" s="1367"/>
      <c r="C401" s="1367"/>
      <c r="D401" s="1326"/>
      <c r="E401" s="1367"/>
    </row>
    <row r="402" spans="2:5">
      <c r="B402" s="1367"/>
      <c r="C402" s="1367"/>
      <c r="D402" s="1326"/>
      <c r="E402" s="1367"/>
    </row>
    <row r="403" spans="2:5">
      <c r="B403" s="1367"/>
      <c r="C403" s="1367"/>
      <c r="D403" s="1326"/>
      <c r="E403" s="1367"/>
    </row>
    <row r="404" spans="2:5">
      <c r="B404" s="1367"/>
      <c r="C404" s="1367"/>
      <c r="D404" s="1326"/>
      <c r="E404" s="1367"/>
    </row>
    <row r="405" spans="2:5">
      <c r="B405" s="1367"/>
      <c r="C405" s="1367"/>
      <c r="D405" s="1326"/>
      <c r="E405" s="1367"/>
    </row>
    <row r="406" spans="2:5">
      <c r="B406" s="1367"/>
      <c r="C406" s="1367"/>
      <c r="D406" s="1326"/>
      <c r="E406" s="1367"/>
    </row>
  </sheetData>
  <mergeCells count="14">
    <mergeCell ref="B221:D221"/>
    <mergeCell ref="B340:D340"/>
    <mergeCell ref="B220:D220"/>
    <mergeCell ref="B103:C103"/>
    <mergeCell ref="B106:D106"/>
    <mergeCell ref="B107:D107"/>
    <mergeCell ref="B129:C129"/>
    <mergeCell ref="B132:D132"/>
    <mergeCell ref="B133:D133"/>
    <mergeCell ref="B178:C178"/>
    <mergeCell ref="B182:D182"/>
    <mergeCell ref="B196:C196"/>
    <mergeCell ref="B200:D200"/>
    <mergeCell ref="B217:C2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J176"/>
  <sheetViews>
    <sheetView workbookViewId="0">
      <selection activeCell="I22" sqref="I22:I26"/>
    </sheetView>
  </sheetViews>
  <sheetFormatPr defaultRowHeight="12.75"/>
  <cols>
    <col min="2" max="2" width="28" customWidth="1"/>
    <col min="3" max="3" width="14.7109375" customWidth="1"/>
    <col min="4" max="4" width="15.85546875" customWidth="1"/>
    <col min="7" max="7" width="15.140625" customWidth="1"/>
    <col min="8" max="8" width="14.7109375" customWidth="1"/>
    <col min="9" max="9" width="16.7109375" style="1163" customWidth="1"/>
  </cols>
  <sheetData>
    <row r="1" spans="1:8" ht="18.75">
      <c r="A1" s="1168"/>
      <c r="B1" s="1182" t="s">
        <v>990</v>
      </c>
      <c r="C1" s="1168"/>
      <c r="D1" s="1168"/>
      <c r="E1" s="1168"/>
      <c r="F1" s="1168"/>
      <c r="G1" s="1168"/>
      <c r="H1" s="1168"/>
    </row>
    <row r="3" spans="1:8" ht="15">
      <c r="A3" s="1168"/>
      <c r="B3" s="1168"/>
      <c r="C3" s="1183">
        <v>2015</v>
      </c>
      <c r="D3" s="1168"/>
      <c r="E3" s="1168" t="s">
        <v>158</v>
      </c>
      <c r="F3" s="1168" t="s">
        <v>991</v>
      </c>
      <c r="G3" s="1168"/>
      <c r="H3" s="1168"/>
    </row>
    <row r="4" spans="1:8" ht="15">
      <c r="A4" s="1168">
        <v>1</v>
      </c>
      <c r="B4" s="1168" t="s">
        <v>100</v>
      </c>
      <c r="C4" s="1169">
        <f>D4/1000</f>
        <v>-1025.2126699999571</v>
      </c>
      <c r="D4" s="1206">
        <f>I64+I142</f>
        <v>-1025212.6699999571</v>
      </c>
      <c r="E4" s="1168"/>
      <c r="F4" s="1181"/>
      <c r="G4" s="1168"/>
      <c r="H4" s="1168"/>
    </row>
    <row r="5" spans="1:8" ht="15">
      <c r="A5" s="1168"/>
      <c r="B5" s="1168" t="s">
        <v>101</v>
      </c>
      <c r="C5" s="1169">
        <f t="shared" ref="C5:C14" si="0">D5/1000</f>
        <v>-68.383719999999983</v>
      </c>
      <c r="D5" s="1206">
        <f>I68+I150</f>
        <v>-68383.719999999987</v>
      </c>
      <c r="E5" s="1168"/>
      <c r="F5" s="1181"/>
      <c r="G5" s="1168"/>
      <c r="H5" s="1168"/>
    </row>
    <row r="6" spans="1:8" ht="15">
      <c r="A6" s="1168">
        <v>2</v>
      </c>
      <c r="B6" s="1168" t="s">
        <v>992</v>
      </c>
      <c r="C6" s="1169">
        <f t="shared" si="0"/>
        <v>-110673.36194</v>
      </c>
      <c r="D6" s="1206">
        <f>I66+I146+I60+I140</f>
        <v>-110673361.94</v>
      </c>
      <c r="E6" s="1168"/>
      <c r="F6" s="1168"/>
      <c r="G6" s="1168"/>
      <c r="H6" s="1168"/>
    </row>
    <row r="7" spans="1:8" ht="15">
      <c r="A7" s="1168">
        <v>3</v>
      </c>
      <c r="B7" s="1168" t="s">
        <v>234</v>
      </c>
      <c r="C7" s="1169">
        <f t="shared" si="0"/>
        <v>-31059.624360000013</v>
      </c>
      <c r="D7" s="1206">
        <f>I74+I154</f>
        <v>-31059624.360000014</v>
      </c>
      <c r="E7" s="1168"/>
      <c r="F7" s="1181"/>
      <c r="G7" s="1168"/>
      <c r="H7" s="1209"/>
    </row>
    <row r="8" spans="1:8" ht="15">
      <c r="A8" s="1168">
        <v>4</v>
      </c>
      <c r="B8" s="1168" t="s">
        <v>182</v>
      </c>
      <c r="C8" s="1169">
        <f t="shared" si="0"/>
        <v>276075.57803999993</v>
      </c>
      <c r="D8" s="1206">
        <f>I28+I106</f>
        <v>276075578.03999996</v>
      </c>
      <c r="E8" s="1168"/>
      <c r="F8" s="1168"/>
      <c r="G8" s="1168"/>
      <c r="H8" s="1168"/>
    </row>
    <row r="9" spans="1:8" ht="15">
      <c r="A9" s="1168">
        <v>5</v>
      </c>
      <c r="B9" s="1168" t="s">
        <v>233</v>
      </c>
      <c r="C9" s="1169">
        <f t="shared" si="0"/>
        <v>0</v>
      </c>
      <c r="D9" s="1206"/>
      <c r="E9" s="1168"/>
      <c r="F9" s="1168"/>
      <c r="G9" s="1168"/>
      <c r="H9" s="1168"/>
    </row>
    <row r="10" spans="1:8" ht="15">
      <c r="A10" s="1168">
        <v>6</v>
      </c>
      <c r="B10" s="1168" t="s">
        <v>111</v>
      </c>
      <c r="C10" s="1169">
        <f t="shared" si="0"/>
        <v>-1027.44271</v>
      </c>
      <c r="D10" s="1206">
        <f>I79+I158</f>
        <v>-1027442.71</v>
      </c>
      <c r="E10" s="1168"/>
      <c r="F10" s="1168"/>
      <c r="G10" s="1168"/>
      <c r="H10" s="1168"/>
    </row>
    <row r="11" spans="1:8" ht="15">
      <c r="A11" s="1168">
        <v>7</v>
      </c>
      <c r="B11" s="1168" t="s">
        <v>160</v>
      </c>
      <c r="C11" s="1169">
        <f t="shared" si="0"/>
        <v>-49317.508459999997</v>
      </c>
      <c r="D11" s="1206">
        <f>I50+I128</f>
        <v>-49317508.460000001</v>
      </c>
      <c r="E11" s="1168"/>
      <c r="F11" s="1168"/>
      <c r="G11" s="1168"/>
      <c r="H11" s="1168"/>
    </row>
    <row r="12" spans="1:8" ht="15">
      <c r="A12" s="1168">
        <v>8</v>
      </c>
      <c r="B12" s="1168" t="s">
        <v>993</v>
      </c>
      <c r="C12" s="1169">
        <f t="shared" si="0"/>
        <v>41781.292310000004</v>
      </c>
      <c r="D12" s="1206">
        <f>I43+I121</f>
        <v>41781292.310000002</v>
      </c>
      <c r="E12" s="1168"/>
      <c r="F12" s="1168"/>
      <c r="G12" s="1168"/>
      <c r="H12" s="1168"/>
    </row>
    <row r="13" spans="1:8" ht="15">
      <c r="A13" s="1168">
        <v>10</v>
      </c>
      <c r="B13" s="1168" t="s">
        <v>162</v>
      </c>
      <c r="C13" s="1169">
        <f t="shared" si="0"/>
        <v>14470.94644</v>
      </c>
      <c r="D13" s="1206">
        <f>I52+I137+I130</f>
        <v>14470946.439999999</v>
      </c>
      <c r="E13" s="1168"/>
      <c r="F13" s="1168"/>
      <c r="G13" s="1168"/>
      <c r="H13" s="1168"/>
    </row>
    <row r="14" spans="1:8" ht="15">
      <c r="A14" s="1168">
        <v>11</v>
      </c>
      <c r="B14" s="1168" t="s">
        <v>994</v>
      </c>
      <c r="C14" s="1169">
        <f t="shared" si="0"/>
        <v>-25901.69</v>
      </c>
      <c r="D14" s="1181">
        <f>I34+I112</f>
        <v>-25901690</v>
      </c>
      <c r="E14" s="1168"/>
      <c r="F14" s="1168"/>
      <c r="G14" s="1168"/>
      <c r="H14" s="1168"/>
    </row>
    <row r="15" spans="1:8" ht="15">
      <c r="A15" s="1168"/>
      <c r="B15" s="1168"/>
      <c r="C15" s="1169">
        <f>SUM(C4:C14)</f>
        <v>113254.59292999996</v>
      </c>
      <c r="D15" s="1181">
        <f>SUM(D4:D14)</f>
        <v>113254592.93000001</v>
      </c>
      <c r="E15" s="1181"/>
      <c r="F15" s="1181"/>
      <c r="G15" s="1168"/>
      <c r="H15" s="1168"/>
    </row>
    <row r="16" spans="1:8" ht="15">
      <c r="A16" s="1168"/>
      <c r="B16" s="1168"/>
      <c r="C16" s="1168"/>
      <c r="D16" s="1181"/>
      <c r="E16" s="1168"/>
      <c r="F16" s="1168"/>
      <c r="G16" s="1168"/>
      <c r="H16" s="1168"/>
    </row>
    <row r="17" spans="2:10" ht="15">
      <c r="B17" s="1168"/>
      <c r="C17" s="1168"/>
      <c r="D17" s="1181" t="e">
        <f>#REF!-#REF!</f>
        <v>#REF!</v>
      </c>
      <c r="E17" s="1168"/>
      <c r="F17" s="1168"/>
      <c r="G17" s="1168"/>
      <c r="H17" s="1168"/>
      <c r="I17" s="1231"/>
      <c r="J17" s="1168"/>
    </row>
    <row r="18" spans="2:10" ht="15">
      <c r="B18" s="1168"/>
      <c r="C18" s="1168"/>
      <c r="D18" s="1181"/>
      <c r="E18" s="1168"/>
      <c r="F18" s="1168"/>
      <c r="G18" s="1168"/>
      <c r="H18" s="1168"/>
      <c r="I18" s="1231"/>
      <c r="J18" s="1168"/>
    </row>
    <row r="19" spans="2:10" ht="15">
      <c r="B19" s="1168"/>
      <c r="C19" s="1168"/>
      <c r="D19" s="1181" t="e">
        <f>D17-D15</f>
        <v>#REF!</v>
      </c>
      <c r="E19" s="1168"/>
      <c r="F19" s="1184" t="s">
        <v>995</v>
      </c>
      <c r="G19" s="1213"/>
      <c r="H19" s="1210" t="s">
        <v>72</v>
      </c>
      <c r="I19" s="1231"/>
      <c r="J19" s="1168"/>
    </row>
    <row r="20" spans="2:10" ht="45">
      <c r="B20" s="1168"/>
      <c r="C20" s="1168"/>
      <c r="D20" s="1168"/>
      <c r="E20" s="1168"/>
      <c r="F20" s="1392" t="s">
        <v>996</v>
      </c>
      <c r="G20" s="1393"/>
      <c r="H20" s="1393"/>
      <c r="I20" s="1231"/>
      <c r="J20" s="1168"/>
    </row>
    <row r="21" spans="2:10" ht="36.75">
      <c r="B21" s="1168"/>
      <c r="C21" s="1168"/>
      <c r="D21" s="1168"/>
      <c r="E21" s="1168"/>
      <c r="F21" s="1394" t="s">
        <v>769</v>
      </c>
      <c r="G21" s="1393"/>
      <c r="H21" s="1393"/>
      <c r="I21" s="1231"/>
      <c r="J21" s="1168"/>
    </row>
    <row r="22" spans="2:10" ht="15">
      <c r="B22" s="1168"/>
      <c r="C22" s="1168"/>
      <c r="D22" s="1168"/>
      <c r="E22" s="1168"/>
      <c r="F22" s="1575" t="s">
        <v>699</v>
      </c>
      <c r="G22" s="1575"/>
      <c r="H22" s="1575"/>
      <c r="I22" s="1231"/>
      <c r="J22" s="1168"/>
    </row>
    <row r="23" spans="2:10" ht="15">
      <c r="B23" s="1168"/>
      <c r="C23" s="1168"/>
      <c r="D23" s="1168"/>
      <c r="E23" s="1168"/>
      <c r="F23" s="1575" t="s">
        <v>123</v>
      </c>
      <c r="G23" s="1575"/>
      <c r="H23" s="1575"/>
      <c r="I23" s="1231"/>
      <c r="J23" s="1168"/>
    </row>
    <row r="24" spans="2:10" ht="15.75" thickBot="1">
      <c r="B24" s="1168"/>
      <c r="C24" s="1168"/>
      <c r="D24" s="1168"/>
      <c r="E24" s="1168"/>
      <c r="F24" s="1393"/>
      <c r="G24" s="1393"/>
      <c r="H24" s="1393"/>
      <c r="I24" s="1231"/>
      <c r="J24" s="1168"/>
    </row>
    <row r="25" spans="2:10" ht="15">
      <c r="B25" s="1171" t="s">
        <v>148</v>
      </c>
      <c r="C25" s="1172" t="s">
        <v>149</v>
      </c>
      <c r="D25" s="1173" t="s">
        <v>150</v>
      </c>
      <c r="E25" s="1168"/>
      <c r="F25" s="1395" t="s">
        <v>148</v>
      </c>
      <c r="G25" s="1396" t="s">
        <v>149</v>
      </c>
      <c r="H25" s="1396" t="s">
        <v>150</v>
      </c>
      <c r="I25" s="1231"/>
      <c r="J25" s="1168"/>
    </row>
    <row r="26" spans="2:10" ht="15.75" thickBot="1">
      <c r="B26" s="1174"/>
      <c r="C26" s="1175"/>
      <c r="D26" s="1176"/>
      <c r="E26" s="1168"/>
      <c r="F26" s="1397"/>
      <c r="G26" s="1398"/>
      <c r="H26" s="1398"/>
      <c r="I26" s="1226"/>
      <c r="J26" s="1168"/>
    </row>
    <row r="27" spans="2:10" ht="24.75" thickBot="1">
      <c r="B27" s="1177" t="s">
        <v>151</v>
      </c>
      <c r="C27" s="1189"/>
      <c r="D27" s="1190"/>
      <c r="E27" s="1168"/>
      <c r="F27" s="1399" t="s">
        <v>151</v>
      </c>
      <c r="G27" s="1400"/>
      <c r="H27" s="1229"/>
      <c r="I27" s="1231"/>
      <c r="J27" s="1168"/>
    </row>
    <row r="28" spans="2:10" ht="15">
      <c r="B28" s="1178">
        <v>1000</v>
      </c>
      <c r="C28" s="1191"/>
      <c r="D28" s="1192">
        <v>4326309239.8599997</v>
      </c>
      <c r="E28" s="1168">
        <v>4</v>
      </c>
      <c r="F28" s="1401">
        <v>1000</v>
      </c>
      <c r="G28" s="1402"/>
      <c r="H28" s="1233">
        <v>1617484607.4200001</v>
      </c>
      <c r="I28" s="1421">
        <f>H28</f>
        <v>1617484607.4200001</v>
      </c>
      <c r="J28" s="1168" t="s">
        <v>998</v>
      </c>
    </row>
    <row r="29" spans="2:10" ht="15">
      <c r="B29" s="1178">
        <v>1011</v>
      </c>
      <c r="C29" s="1191"/>
      <c r="D29" s="1192">
        <v>28251.87</v>
      </c>
      <c r="E29" s="1168"/>
      <c r="F29" s="1401">
        <v>1011</v>
      </c>
      <c r="G29" s="1402"/>
      <c r="H29" s="1233">
        <v>4744.3</v>
      </c>
      <c r="I29" s="1421"/>
      <c r="J29" s="1168"/>
    </row>
    <row r="30" spans="2:10" ht="15">
      <c r="B30" s="1178">
        <v>1030</v>
      </c>
      <c r="C30" s="1191"/>
      <c r="D30" s="1192">
        <v>4326035050.0600004</v>
      </c>
      <c r="E30" s="1168"/>
      <c r="F30" s="1401">
        <v>1030</v>
      </c>
      <c r="G30" s="1402"/>
      <c r="H30" s="1233">
        <v>1616896008.6700001</v>
      </c>
      <c r="I30" s="1421"/>
      <c r="J30" s="1168"/>
    </row>
    <row r="31" spans="2:10" ht="15">
      <c r="B31" s="1178">
        <v>1032</v>
      </c>
      <c r="C31" s="1191"/>
      <c r="D31" s="1192">
        <v>4326035050.0600004</v>
      </c>
      <c r="E31" s="1168"/>
      <c r="F31" s="1401">
        <v>1032</v>
      </c>
      <c r="G31" s="1402"/>
      <c r="H31" s="1233">
        <v>1616896008.6700001</v>
      </c>
      <c r="I31" s="1421"/>
      <c r="J31" s="1168"/>
    </row>
    <row r="32" spans="2:10" ht="15">
      <c r="B32" s="1178">
        <v>1060</v>
      </c>
      <c r="C32" s="1191"/>
      <c r="D32" s="1192">
        <v>245937.93</v>
      </c>
      <c r="E32" s="1168"/>
      <c r="F32" s="1401">
        <v>1060</v>
      </c>
      <c r="G32" s="1402"/>
      <c r="H32" s="1233">
        <v>583854.44999999995</v>
      </c>
      <c r="I32" s="1421"/>
      <c r="J32" s="1168"/>
    </row>
    <row r="33" spans="2:10" ht="15">
      <c r="B33" s="1193" t="s">
        <v>770</v>
      </c>
      <c r="C33" s="1191"/>
      <c r="D33" s="1192">
        <v>245937.93</v>
      </c>
      <c r="E33" s="1168"/>
      <c r="F33" s="1422" t="s">
        <v>770</v>
      </c>
      <c r="G33" s="1402"/>
      <c r="H33" s="1233">
        <v>583854.44999999995</v>
      </c>
      <c r="I33" s="1421"/>
      <c r="J33" s="1168"/>
    </row>
    <row r="34" spans="2:10" ht="15">
      <c r="B34" s="1178">
        <v>1100</v>
      </c>
      <c r="C34" s="1191"/>
      <c r="D34" s="1192">
        <v>501321959.56</v>
      </c>
      <c r="E34" s="1168"/>
      <c r="F34" s="1401">
        <v>1100</v>
      </c>
      <c r="G34" s="1402"/>
      <c r="H34" s="1233">
        <v>214799220.62</v>
      </c>
      <c r="I34" s="1421">
        <f>H34</f>
        <v>214799220.62</v>
      </c>
      <c r="J34" s="1168" t="s">
        <v>1087</v>
      </c>
    </row>
    <row r="35" spans="2:10" ht="15">
      <c r="B35" s="1178">
        <v>1120</v>
      </c>
      <c r="C35" s="1191"/>
      <c r="D35" s="1192">
        <v>501321959.56</v>
      </c>
      <c r="E35" s="1168"/>
      <c r="F35" s="1401">
        <v>1120</v>
      </c>
      <c r="G35" s="1402"/>
      <c r="H35" s="1233">
        <v>214799220.62</v>
      </c>
      <c r="I35" s="1421"/>
      <c r="J35" s="1168"/>
    </row>
    <row r="36" spans="2:10" ht="15">
      <c r="B36" s="1178">
        <v>1122</v>
      </c>
      <c r="C36" s="1191"/>
      <c r="D36" s="1192">
        <v>501321959.56</v>
      </c>
      <c r="E36" s="1168"/>
      <c r="F36" s="1401">
        <v>1122</v>
      </c>
      <c r="G36" s="1402"/>
      <c r="H36" s="1233">
        <v>214799220.62</v>
      </c>
      <c r="I36" s="1421"/>
      <c r="J36" s="1168"/>
    </row>
    <row r="37" spans="2:10" ht="15">
      <c r="B37" s="1193" t="s">
        <v>73</v>
      </c>
      <c r="C37" s="1191"/>
      <c r="D37" s="1192">
        <v>496980000.01999998</v>
      </c>
      <c r="E37" s="1168"/>
      <c r="F37" s="1422" t="s">
        <v>73</v>
      </c>
      <c r="G37" s="1402"/>
      <c r="H37" s="1233">
        <v>209990500</v>
      </c>
      <c r="I37" s="1421"/>
      <c r="J37" s="1168"/>
    </row>
    <row r="38" spans="2:10" ht="15">
      <c r="B38" s="1193" t="s">
        <v>84</v>
      </c>
      <c r="C38" s="1191"/>
      <c r="D38" s="1192">
        <v>3686.93</v>
      </c>
      <c r="E38" s="1168"/>
      <c r="F38" s="1422" t="s">
        <v>84</v>
      </c>
      <c r="G38" s="1402"/>
      <c r="H38" s="1233">
        <v>171377.62</v>
      </c>
      <c r="I38" s="1421"/>
      <c r="J38" s="1168"/>
    </row>
    <row r="39" spans="2:10" ht="15">
      <c r="B39" s="1193" t="s">
        <v>87</v>
      </c>
      <c r="C39" s="1191"/>
      <c r="D39" s="1192">
        <v>96886.69</v>
      </c>
      <c r="E39" s="1168"/>
      <c r="F39" s="1422" t="s">
        <v>87</v>
      </c>
      <c r="G39" s="1402"/>
      <c r="H39" s="1233">
        <v>998996.69</v>
      </c>
      <c r="I39" s="1421"/>
      <c r="J39" s="1168"/>
    </row>
    <row r="40" spans="2:10" ht="15">
      <c r="B40" s="1193" t="s">
        <v>85</v>
      </c>
      <c r="C40" s="1191"/>
      <c r="D40" s="1192">
        <v>4241385.92</v>
      </c>
      <c r="E40" s="1168"/>
      <c r="F40" s="1422" t="s">
        <v>85</v>
      </c>
      <c r="G40" s="1402"/>
      <c r="H40" s="1233">
        <v>1182843.28</v>
      </c>
      <c r="I40" s="1421"/>
      <c r="J40" s="1168"/>
    </row>
    <row r="41" spans="2:10" ht="15">
      <c r="B41" s="1178">
        <v>1200</v>
      </c>
      <c r="C41" s="1191"/>
      <c r="D41" s="1192">
        <v>2389563942.48</v>
      </c>
      <c r="E41" s="1168"/>
      <c r="F41" s="1422" t="s">
        <v>86</v>
      </c>
      <c r="G41" s="1402"/>
      <c r="H41" s="1233">
        <v>2455503.0299999998</v>
      </c>
      <c r="I41" s="1421"/>
      <c r="J41" s="1168"/>
    </row>
    <row r="42" spans="2:10" ht="15">
      <c r="B42" s="1178">
        <v>1210</v>
      </c>
      <c r="C42" s="1191"/>
      <c r="D42" s="1192">
        <v>1730133214.6199999</v>
      </c>
      <c r="E42" s="1168">
        <v>8</v>
      </c>
      <c r="F42" s="1401">
        <v>1200</v>
      </c>
      <c r="G42" s="1402"/>
      <c r="H42" s="1233">
        <v>494012131.56999999</v>
      </c>
      <c r="I42" s="1421"/>
      <c r="J42" s="1168"/>
    </row>
    <row r="43" spans="2:10" ht="15">
      <c r="B43" s="1193" t="s">
        <v>10</v>
      </c>
      <c r="C43" s="1191"/>
      <c r="D43" s="1192">
        <v>1713768832.6499999</v>
      </c>
      <c r="E43" s="1168"/>
      <c r="F43" s="1401">
        <v>1210</v>
      </c>
      <c r="G43" s="1402"/>
      <c r="H43" s="1233">
        <v>460090869.48000002</v>
      </c>
      <c r="I43" s="1421">
        <f>H43</f>
        <v>460090869.48000002</v>
      </c>
      <c r="J43" s="1168" t="s">
        <v>1088</v>
      </c>
    </row>
    <row r="44" spans="2:10" ht="15">
      <c r="B44" s="1193" t="s">
        <v>558</v>
      </c>
      <c r="C44" s="1191"/>
      <c r="D44" s="1192">
        <v>16364381.970000001</v>
      </c>
      <c r="E44" s="1168"/>
      <c r="F44" s="1422" t="s">
        <v>10</v>
      </c>
      <c r="G44" s="1402"/>
      <c r="H44" s="1233">
        <v>455278903.82999998</v>
      </c>
      <c r="I44" s="1421"/>
      <c r="J44" s="1168"/>
    </row>
    <row r="45" spans="2:10" ht="15">
      <c r="B45" s="1178">
        <v>1270</v>
      </c>
      <c r="C45" s="1191"/>
      <c r="D45" s="1192">
        <v>529925.62</v>
      </c>
      <c r="E45" s="1168">
        <v>7</v>
      </c>
      <c r="F45" s="1422" t="s">
        <v>558</v>
      </c>
      <c r="G45" s="1402"/>
      <c r="H45" s="1233">
        <v>4811965.6500000004</v>
      </c>
      <c r="I45" s="1421"/>
      <c r="J45" s="1168"/>
    </row>
    <row r="46" spans="2:10" ht="15">
      <c r="B46" s="1193" t="s">
        <v>646</v>
      </c>
      <c r="C46" s="1191"/>
      <c r="D46" s="1192">
        <v>509413.86</v>
      </c>
      <c r="E46" s="1168"/>
      <c r="F46" s="1401">
        <v>1270</v>
      </c>
      <c r="G46" s="1402"/>
      <c r="H46" s="1233">
        <v>337959.87</v>
      </c>
      <c r="I46" s="1421"/>
      <c r="J46" s="1168"/>
    </row>
    <row r="47" spans="2:10" ht="15">
      <c r="B47" s="1193" t="s">
        <v>647</v>
      </c>
      <c r="C47" s="1191"/>
      <c r="D47" s="1192">
        <v>2147.69</v>
      </c>
      <c r="E47" s="1168"/>
      <c r="F47" s="1422" t="s">
        <v>646</v>
      </c>
      <c r="G47" s="1402"/>
      <c r="H47" s="1233">
        <v>55502.83</v>
      </c>
      <c r="I47" s="1421"/>
      <c r="J47" s="1168"/>
    </row>
    <row r="48" spans="2:10" ht="15">
      <c r="B48" s="1178">
        <v>1271</v>
      </c>
      <c r="C48" s="1191"/>
      <c r="D48" s="1192">
        <v>18364.07</v>
      </c>
      <c r="E48" s="1168"/>
      <c r="F48" s="1401">
        <v>1271</v>
      </c>
      <c r="G48" s="1402"/>
      <c r="H48" s="1233">
        <v>282457.03999999998</v>
      </c>
      <c r="I48" s="1421"/>
      <c r="J48" s="1168"/>
    </row>
    <row r="49" spans="2:10" ht="15">
      <c r="B49" s="1193" t="s">
        <v>648</v>
      </c>
      <c r="C49" s="1191"/>
      <c r="D49" s="1192">
        <v>18364.07</v>
      </c>
      <c r="E49" s="1168"/>
      <c r="F49" s="1422" t="s">
        <v>648</v>
      </c>
      <c r="G49" s="1402"/>
      <c r="H49" s="1233">
        <v>282457.03999999998</v>
      </c>
      <c r="I49" s="1421"/>
    </row>
    <row r="50" spans="2:10" ht="15">
      <c r="B50" s="1178">
        <v>1280</v>
      </c>
      <c r="C50" s="1191"/>
      <c r="D50" s="1192">
        <v>658900802.24000001</v>
      </c>
      <c r="E50" s="1168">
        <v>7</v>
      </c>
      <c r="F50" s="1401">
        <v>1280</v>
      </c>
      <c r="G50" s="1402"/>
      <c r="H50" s="1233">
        <v>33583302.219999999</v>
      </c>
      <c r="I50" s="1421">
        <f>H50+H46</f>
        <v>33921262.089999996</v>
      </c>
      <c r="J50" s="1046" t="s">
        <v>999</v>
      </c>
    </row>
    <row r="51" spans="2:10" ht="15">
      <c r="B51" s="1193" t="s">
        <v>250</v>
      </c>
      <c r="C51" s="1191"/>
      <c r="D51" s="1192">
        <v>658900802.24000001</v>
      </c>
      <c r="E51" s="1168"/>
      <c r="F51" s="1422" t="s">
        <v>250</v>
      </c>
      <c r="G51" s="1402"/>
      <c r="H51" s="1233">
        <v>33583302.219999999</v>
      </c>
      <c r="I51" s="1421"/>
    </row>
    <row r="52" spans="2:10" ht="15">
      <c r="B52" s="1178">
        <v>1600</v>
      </c>
      <c r="C52" s="1191"/>
      <c r="D52" s="1192">
        <v>97450946.079999998</v>
      </c>
      <c r="E52" s="1168">
        <v>10</v>
      </c>
      <c r="F52" s="1401">
        <v>1600</v>
      </c>
      <c r="G52" s="1402"/>
      <c r="H52" s="1233">
        <v>15253186.199999999</v>
      </c>
      <c r="I52" s="1421">
        <f>H52</f>
        <v>15253186.199999999</v>
      </c>
      <c r="J52" s="1046" t="s">
        <v>1089</v>
      </c>
    </row>
    <row r="53" spans="2:10" ht="15">
      <c r="B53" s="1178">
        <v>1610</v>
      </c>
      <c r="C53" s="1191"/>
      <c r="D53" s="1192">
        <v>97450946.079999998</v>
      </c>
      <c r="E53" s="1168"/>
      <c r="F53" s="1401">
        <v>1610</v>
      </c>
      <c r="G53" s="1402"/>
      <c r="H53" s="1233">
        <v>15253186.199999999</v>
      </c>
      <c r="I53" s="1421"/>
    </row>
    <row r="54" spans="2:10" ht="15">
      <c r="B54" s="1193" t="s">
        <v>658</v>
      </c>
      <c r="C54" s="1191"/>
      <c r="D54" s="1192">
        <v>17034946.27</v>
      </c>
      <c r="E54" s="1168"/>
      <c r="F54" s="1422" t="s">
        <v>658</v>
      </c>
      <c r="G54" s="1402"/>
      <c r="H54" s="1232">
        <v>0.02</v>
      </c>
      <c r="I54" s="1421"/>
    </row>
    <row r="55" spans="2:10" ht="15">
      <c r="B55" s="1178">
        <v>1611</v>
      </c>
      <c r="C55" s="1191"/>
      <c r="D55" s="1192">
        <v>66222043.93</v>
      </c>
      <c r="E55" s="1168"/>
      <c r="F55" s="1401">
        <v>1611</v>
      </c>
      <c r="G55" s="1402"/>
      <c r="H55" s="1233">
        <v>14640267.5</v>
      </c>
      <c r="I55" s="1421"/>
    </row>
    <row r="56" spans="2:10" ht="15">
      <c r="B56" s="1193" t="s">
        <v>660</v>
      </c>
      <c r="C56" s="1191"/>
      <c r="D56" s="1192">
        <v>66222043.93</v>
      </c>
      <c r="E56" s="1168"/>
      <c r="F56" s="1422" t="s">
        <v>660</v>
      </c>
      <c r="G56" s="1402"/>
      <c r="H56" s="1233">
        <v>14640267.5</v>
      </c>
      <c r="I56" s="1421"/>
    </row>
    <row r="57" spans="2:10" ht="15">
      <c r="B57" s="1178">
        <v>1612</v>
      </c>
      <c r="C57" s="1191"/>
      <c r="D57" s="1192">
        <v>14193955.880000001</v>
      </c>
      <c r="E57" s="1168"/>
      <c r="F57" s="1401">
        <v>1612</v>
      </c>
      <c r="G57" s="1402"/>
      <c r="H57" s="1233">
        <v>612918.68000000005</v>
      </c>
      <c r="I57" s="1421"/>
    </row>
    <row r="58" spans="2:10" ht="15">
      <c r="B58" s="1193" t="s">
        <v>662</v>
      </c>
      <c r="C58" s="1191"/>
      <c r="D58" s="1192">
        <v>14193955.880000001</v>
      </c>
      <c r="E58" s="1168"/>
      <c r="F58" s="1422" t="s">
        <v>662</v>
      </c>
      <c r="G58" s="1402"/>
      <c r="H58" s="1233">
        <v>612918.68000000005</v>
      </c>
      <c r="I58" s="1421"/>
    </row>
    <row r="59" spans="2:10" ht="15">
      <c r="B59" s="1178">
        <v>2100</v>
      </c>
      <c r="C59" s="1191"/>
      <c r="D59" s="1192">
        <v>317844</v>
      </c>
      <c r="E59" s="1168">
        <v>7</v>
      </c>
      <c r="F59" s="1401">
        <v>3000</v>
      </c>
      <c r="G59" s="1402"/>
      <c r="H59" s="1233">
        <v>121814500</v>
      </c>
      <c r="I59" s="1421"/>
    </row>
    <row r="60" spans="2:10" ht="15">
      <c r="B60" s="1178">
        <v>2110</v>
      </c>
      <c r="C60" s="1191"/>
      <c r="D60" s="1192">
        <v>317844</v>
      </c>
      <c r="E60" s="1168"/>
      <c r="F60" s="1401">
        <v>3010</v>
      </c>
      <c r="G60" s="1402"/>
      <c r="H60" s="1233">
        <v>121814500</v>
      </c>
      <c r="I60" s="1421">
        <f>H60</f>
        <v>121814500</v>
      </c>
    </row>
    <row r="61" spans="2:10" ht="15">
      <c r="B61" s="1178">
        <v>2900</v>
      </c>
      <c r="C61" s="1191"/>
      <c r="D61" s="1192">
        <v>254128.95</v>
      </c>
      <c r="E61" s="1168">
        <v>10</v>
      </c>
      <c r="F61" s="1401">
        <v>3300</v>
      </c>
      <c r="G61" s="1402"/>
      <c r="H61" s="1233">
        <v>770804626.25999999</v>
      </c>
      <c r="I61" s="1421"/>
    </row>
    <row r="62" spans="2:10" ht="15">
      <c r="B62" s="1178">
        <v>2910</v>
      </c>
      <c r="C62" s="1191"/>
      <c r="D62" s="1192">
        <v>254128.95</v>
      </c>
      <c r="E62" s="1168"/>
      <c r="F62" s="1401">
        <v>3310</v>
      </c>
      <c r="G62" s="1402"/>
      <c r="H62" s="1233">
        <v>769362089.75999999</v>
      </c>
      <c r="I62" s="1421"/>
    </row>
    <row r="63" spans="2:10" ht="15">
      <c r="B63" s="1178">
        <v>3000</v>
      </c>
      <c r="C63" s="1191"/>
      <c r="D63" s="1192">
        <v>1430170.83</v>
      </c>
      <c r="E63" s="1168"/>
      <c r="F63" s="1422" t="s">
        <v>666</v>
      </c>
      <c r="G63" s="1402"/>
      <c r="H63" s="1233">
        <v>108839980.70999999</v>
      </c>
      <c r="I63" s="1421"/>
    </row>
    <row r="64" spans="2:10" ht="15">
      <c r="B64" s="1178">
        <v>3010</v>
      </c>
      <c r="C64" s="1191"/>
      <c r="D64" s="1192">
        <v>1430170.83</v>
      </c>
      <c r="E64" s="1168">
        <v>2</v>
      </c>
      <c r="F64" s="1422" t="s">
        <v>12</v>
      </c>
      <c r="G64" s="1402"/>
      <c r="H64" s="1233">
        <v>17346.03</v>
      </c>
      <c r="I64" s="1421">
        <f>H62</f>
        <v>769362089.75999999</v>
      </c>
      <c r="J64" s="1046" t="s">
        <v>1088</v>
      </c>
    </row>
    <row r="65" spans="2:10" ht="15">
      <c r="B65" s="1178">
        <v>3300</v>
      </c>
      <c r="C65" s="1191"/>
      <c r="D65" s="1192">
        <v>550168958.63999999</v>
      </c>
      <c r="E65" s="1168"/>
      <c r="F65" s="1422" t="s">
        <v>13</v>
      </c>
      <c r="G65" s="1402"/>
      <c r="H65" s="1233">
        <v>660504763.01999998</v>
      </c>
      <c r="I65" s="1421"/>
    </row>
    <row r="66" spans="2:10" ht="15">
      <c r="B66" s="1178">
        <v>3310</v>
      </c>
      <c r="C66" s="1191"/>
      <c r="D66" s="1192">
        <v>536278874.41000003</v>
      </c>
      <c r="E66" s="1168">
        <v>1</v>
      </c>
      <c r="F66" s="1401">
        <v>3380</v>
      </c>
      <c r="G66" s="1402"/>
      <c r="H66" s="1233">
        <v>1434544.49</v>
      </c>
      <c r="I66" s="1421">
        <f>H66</f>
        <v>1434544.49</v>
      </c>
      <c r="J66" s="1046" t="s">
        <v>1093</v>
      </c>
    </row>
    <row r="67" spans="2:10" ht="15">
      <c r="B67" s="1193" t="s">
        <v>666</v>
      </c>
      <c r="C67" s="1191"/>
      <c r="D67" s="1192">
        <v>797885.52</v>
      </c>
      <c r="E67" s="1168"/>
      <c r="F67" s="1422" t="s">
        <v>265</v>
      </c>
      <c r="G67" s="1402"/>
      <c r="H67" s="1233">
        <v>1434544.49</v>
      </c>
      <c r="I67" s="1421"/>
    </row>
    <row r="68" spans="2:10" ht="15">
      <c r="B68" s="1193" t="s">
        <v>12</v>
      </c>
      <c r="C68" s="1191"/>
      <c r="D68" s="1192">
        <v>12102731.460000001</v>
      </c>
      <c r="E68" s="1168"/>
      <c r="F68" s="1401">
        <v>3390</v>
      </c>
      <c r="G68" s="1402"/>
      <c r="H68" s="1233">
        <v>7992.01</v>
      </c>
      <c r="I68" s="1421">
        <f>H68+H71</f>
        <v>98066.64</v>
      </c>
      <c r="J68" s="1046" t="s">
        <v>1090</v>
      </c>
    </row>
    <row r="69" spans="2:10" ht="15">
      <c r="B69" s="1193" t="s">
        <v>13</v>
      </c>
      <c r="C69" s="1191"/>
      <c r="D69" s="1192">
        <v>523378257.43000001</v>
      </c>
      <c r="E69" s="1168"/>
      <c r="F69" s="1422" t="s">
        <v>262</v>
      </c>
      <c r="G69" s="1402"/>
      <c r="H69" s="1232">
        <v>0.01</v>
      </c>
      <c r="I69" s="1421"/>
    </row>
    <row r="70" spans="2:10" ht="15">
      <c r="B70" s="1178">
        <v>3360</v>
      </c>
      <c r="C70" s="1191"/>
      <c r="D70" s="1192">
        <v>12984908.48</v>
      </c>
      <c r="E70" s="1168">
        <v>5</v>
      </c>
      <c r="F70" s="1422" t="s">
        <v>263</v>
      </c>
      <c r="G70" s="1402"/>
      <c r="H70" s="1233">
        <v>7992</v>
      </c>
      <c r="I70" s="1421"/>
    </row>
    <row r="71" spans="2:10" ht="15">
      <c r="B71" s="1178">
        <v>3380</v>
      </c>
      <c r="C71" s="1191"/>
      <c r="D71" s="1192">
        <v>905000.75</v>
      </c>
      <c r="E71" s="1168"/>
      <c r="F71" s="1401">
        <v>3500</v>
      </c>
      <c r="G71" s="1402"/>
      <c r="H71" s="1233">
        <v>90074.63</v>
      </c>
      <c r="I71" s="1421"/>
    </row>
    <row r="72" spans="2:10" ht="15">
      <c r="B72" s="1193" t="s">
        <v>265</v>
      </c>
      <c r="C72" s="1191"/>
      <c r="D72" s="1192">
        <v>832086.35</v>
      </c>
      <c r="E72" s="1168">
        <v>9</v>
      </c>
      <c r="F72" s="1401">
        <v>3510</v>
      </c>
      <c r="G72" s="1402"/>
      <c r="H72" s="1233">
        <v>90074.63</v>
      </c>
      <c r="I72" s="1421"/>
    </row>
    <row r="73" spans="2:10" ht="15">
      <c r="B73" s="1193" t="s">
        <v>259</v>
      </c>
      <c r="C73" s="1191"/>
      <c r="D73" s="1192">
        <v>72914.399999999994</v>
      </c>
      <c r="E73" s="1168">
        <v>5</v>
      </c>
      <c r="F73" s="1422" t="s">
        <v>669</v>
      </c>
      <c r="G73" s="1402"/>
      <c r="H73" s="1233">
        <v>90074.63</v>
      </c>
      <c r="I73" s="1420"/>
    </row>
    <row r="74" spans="2:10" ht="15">
      <c r="B74" s="1178">
        <v>3390</v>
      </c>
      <c r="C74" s="1191"/>
      <c r="D74" s="1194">
        <v>175</v>
      </c>
      <c r="E74" s="1168">
        <v>9</v>
      </c>
      <c r="F74" s="1401">
        <v>4000</v>
      </c>
      <c r="G74" s="1402"/>
      <c r="H74" s="1233">
        <v>192026998.13999999</v>
      </c>
      <c r="I74" s="1421">
        <f>H74</f>
        <v>192026998.13999999</v>
      </c>
      <c r="J74" s="1046" t="s">
        <v>1092</v>
      </c>
    </row>
    <row r="75" spans="2:10" ht="15">
      <c r="B75" s="1193" t="s">
        <v>668</v>
      </c>
      <c r="C75" s="1191"/>
      <c r="D75" s="1194">
        <v>175</v>
      </c>
      <c r="E75" s="1168"/>
      <c r="F75" s="1401">
        <v>4010</v>
      </c>
      <c r="G75" s="1402"/>
      <c r="H75" s="1233">
        <v>189087500</v>
      </c>
      <c r="I75" s="1231"/>
    </row>
    <row r="76" spans="2:10" ht="15">
      <c r="B76" s="1178">
        <v>3500</v>
      </c>
      <c r="C76" s="1191"/>
      <c r="D76" s="1192">
        <v>733785.16</v>
      </c>
      <c r="E76" s="1168"/>
      <c r="F76" s="1401">
        <v>4030</v>
      </c>
      <c r="G76" s="1402"/>
      <c r="H76" s="1233">
        <v>2939498.14</v>
      </c>
      <c r="I76" s="1231"/>
    </row>
    <row r="77" spans="2:10" ht="15">
      <c r="B77" s="1178">
        <v>3510</v>
      </c>
      <c r="C77" s="1191"/>
      <c r="D77" s="1192">
        <v>733785.16</v>
      </c>
      <c r="E77" s="1168">
        <v>9</v>
      </c>
      <c r="F77" s="1422" t="s">
        <v>671</v>
      </c>
      <c r="G77" s="1402"/>
      <c r="H77" s="1233">
        <v>2939498.14</v>
      </c>
      <c r="I77" s="1231"/>
    </row>
    <row r="78" spans="2:10" ht="15">
      <c r="B78" s="1193" t="s">
        <v>669</v>
      </c>
      <c r="C78" s="1191"/>
      <c r="D78" s="1192">
        <v>721133.18</v>
      </c>
      <c r="E78" s="1168"/>
      <c r="F78" s="1401">
        <v>4100</v>
      </c>
      <c r="G78" s="1402"/>
      <c r="H78" s="1233">
        <v>5321668.88</v>
      </c>
      <c r="I78" s="1231"/>
    </row>
    <row r="79" spans="2:10" ht="15">
      <c r="B79" s="1193" t="s">
        <v>260</v>
      </c>
      <c r="C79" s="1191"/>
      <c r="D79" s="1192">
        <v>12651.98</v>
      </c>
      <c r="E79" s="1168"/>
      <c r="F79" s="1401">
        <v>4110</v>
      </c>
      <c r="G79" s="1402"/>
      <c r="H79" s="1233">
        <v>5321668.88</v>
      </c>
      <c r="I79" s="1419">
        <f>H79</f>
        <v>5321668.88</v>
      </c>
      <c r="J79" s="1046" t="s">
        <v>1091</v>
      </c>
    </row>
    <row r="80" spans="2:10" ht="15">
      <c r="B80" s="1178">
        <v>4000</v>
      </c>
      <c r="C80" s="1191"/>
      <c r="D80" s="1192">
        <v>23672061.629999999</v>
      </c>
      <c r="E80" s="1168"/>
      <c r="F80" s="1401">
        <v>5400</v>
      </c>
      <c r="G80" s="1402"/>
      <c r="H80" s="1232">
        <v>58.33</v>
      </c>
      <c r="I80" s="1231"/>
    </row>
    <row r="81" spans="2:9" ht="15">
      <c r="B81" s="1178">
        <v>4010</v>
      </c>
      <c r="C81" s="1191"/>
      <c r="D81" s="1192">
        <v>2591080.7799999998</v>
      </c>
      <c r="E81" s="1168">
        <v>3</v>
      </c>
      <c r="F81" s="1401">
        <v>5470</v>
      </c>
      <c r="G81" s="1402"/>
      <c r="H81" s="1232">
        <v>58.33</v>
      </c>
      <c r="I81" s="1167"/>
    </row>
    <row r="82" spans="2:9" ht="15">
      <c r="B82" s="1178">
        <v>4030</v>
      </c>
      <c r="C82" s="1191"/>
      <c r="D82" s="1192">
        <v>21080980.850000001</v>
      </c>
      <c r="E82" s="1168"/>
      <c r="F82" s="1401">
        <v>5600</v>
      </c>
      <c r="G82" s="1161">
        <v>3431524275.27</v>
      </c>
      <c r="H82" s="1233">
        <v>-82796.78</v>
      </c>
      <c r="I82" s="1231"/>
    </row>
    <row r="83" spans="2:9" ht="15">
      <c r="B83" s="1193" t="s">
        <v>671</v>
      </c>
      <c r="C83" s="1191"/>
      <c r="D83" s="1192">
        <v>21080980.850000001</v>
      </c>
      <c r="E83" s="1168"/>
      <c r="F83" s="1401">
        <v>5610</v>
      </c>
      <c r="G83" s="1161">
        <v>3431524275.27</v>
      </c>
      <c r="H83" s="1233">
        <v>-82796.78</v>
      </c>
      <c r="I83" s="1231"/>
    </row>
    <row r="84" spans="2:9" ht="15">
      <c r="B84" s="1178">
        <v>4100</v>
      </c>
      <c r="C84" s="1191"/>
      <c r="D84" s="1192">
        <v>1398144.78</v>
      </c>
      <c r="E84" s="1168"/>
      <c r="F84" s="1401">
        <v>6200</v>
      </c>
      <c r="G84" s="1161">
        <v>173624846.91</v>
      </c>
      <c r="H84" s="1233">
        <v>173624846.91</v>
      </c>
      <c r="I84" s="1231"/>
    </row>
    <row r="85" spans="2:9" ht="15">
      <c r="B85" s="1178">
        <v>4110</v>
      </c>
      <c r="C85" s="1191"/>
      <c r="D85" s="1192">
        <v>1398144.78</v>
      </c>
      <c r="E85" s="1168">
        <v>6</v>
      </c>
      <c r="F85" s="1401">
        <v>6250</v>
      </c>
      <c r="G85" s="1161">
        <v>173624846.91</v>
      </c>
      <c r="H85" s="1233">
        <v>173624846.91</v>
      </c>
      <c r="I85" s="1167"/>
    </row>
    <row r="86" spans="2:9" ht="15">
      <c r="B86" s="1178">
        <v>5600</v>
      </c>
      <c r="C86" s="1195">
        <v>7891468583.460001</v>
      </c>
      <c r="D86" s="1192">
        <v>-1152598.51</v>
      </c>
      <c r="E86" s="1168"/>
      <c r="F86" s="1422" t="s">
        <v>678</v>
      </c>
      <c r="G86" s="1402"/>
      <c r="H86" s="1233">
        <v>173624846.91</v>
      </c>
      <c r="I86" s="1231"/>
    </row>
    <row r="87" spans="2:9" ht="15.75" thickBot="1">
      <c r="B87" s="1178">
        <v>5610</v>
      </c>
      <c r="C87" s="1195">
        <v>7891468583.460001</v>
      </c>
      <c r="D87" s="1192">
        <v>-1152598.51</v>
      </c>
      <c r="E87" s="1168"/>
      <c r="F87" s="1422" t="s">
        <v>748</v>
      </c>
      <c r="G87" s="1161">
        <v>173624846.91</v>
      </c>
      <c r="H87" s="1160"/>
      <c r="I87" s="1167"/>
    </row>
    <row r="88" spans="2:9" ht="15">
      <c r="B88" s="1178">
        <v>6200</v>
      </c>
      <c r="C88" s="1195">
        <v>279758116.62</v>
      </c>
      <c r="D88" s="1192">
        <v>279758116.62</v>
      </c>
      <c r="E88" s="1168"/>
      <c r="F88" s="1403" t="s">
        <v>152</v>
      </c>
      <c r="G88" s="1404">
        <v>3605149122.1799998</v>
      </c>
      <c r="H88" s="1164">
        <v>3605149122.1799998</v>
      </c>
      <c r="I88" s="1419">
        <f>SUM(I28:I87)</f>
        <v>3431607013.7199993</v>
      </c>
    </row>
    <row r="89" spans="2:9" ht="24.75" thickBot="1">
      <c r="B89" s="1178">
        <v>6250</v>
      </c>
      <c r="C89" s="1195">
        <v>279758116.62</v>
      </c>
      <c r="D89" s="1192">
        <v>279758116.62</v>
      </c>
      <c r="E89" s="1168"/>
      <c r="F89" s="1405" t="s">
        <v>153</v>
      </c>
      <c r="G89" s="1406"/>
      <c r="H89" s="1165"/>
      <c r="I89" s="1419" t="e">
        <f>#REF!</f>
        <v>#REF!</v>
      </c>
    </row>
    <row r="90" spans="2:9" ht="15">
      <c r="B90" s="1193" t="s">
        <v>678</v>
      </c>
      <c r="C90" s="1191"/>
      <c r="D90" s="1192">
        <v>279758116.62</v>
      </c>
      <c r="E90" s="1168"/>
      <c r="F90" s="1185"/>
      <c r="G90" s="1208"/>
      <c r="H90" s="1166"/>
      <c r="I90" s="1231"/>
    </row>
    <row r="91" spans="2:9" ht="15.75" thickBot="1">
      <c r="B91" s="1193" t="s">
        <v>748</v>
      </c>
      <c r="C91" s="1195">
        <v>279758116.62</v>
      </c>
      <c r="D91" s="1196"/>
      <c r="E91" s="1168"/>
      <c r="F91" s="1186"/>
      <c r="G91" s="1214"/>
      <c r="H91" s="1166"/>
      <c r="I91" s="1416" t="e">
        <f>I89-I88</f>
        <v>#REF!</v>
      </c>
    </row>
    <row r="92" spans="2:9" ht="15.75" thickBot="1">
      <c r="B92" s="1179" t="s">
        <v>152</v>
      </c>
      <c r="C92" s="1197">
        <v>8171226700.0799999</v>
      </c>
      <c r="D92" s="1198">
        <v>8171226700.0799999</v>
      </c>
      <c r="E92" s="1168"/>
      <c r="F92" s="1186"/>
      <c r="G92" s="1208"/>
      <c r="H92" s="1230"/>
      <c r="I92" s="1231"/>
    </row>
    <row r="93" spans="2:9" ht="15.75" thickBot="1">
      <c r="B93" s="1180" t="s">
        <v>153</v>
      </c>
      <c r="C93" s="1199"/>
      <c r="D93" s="1200"/>
      <c r="E93" s="1168"/>
      <c r="F93" s="1170"/>
      <c r="G93" s="1215"/>
      <c r="H93" s="1234"/>
      <c r="I93" s="1231"/>
    </row>
    <row r="94" spans="2:9" ht="15.75" thickBot="1">
      <c r="B94" s="1168"/>
      <c r="C94" s="1168"/>
      <c r="D94" s="1168"/>
      <c r="E94" s="1168"/>
      <c r="F94" s="1187"/>
      <c r="G94" s="1216"/>
      <c r="H94" s="1162"/>
      <c r="I94" s="1235"/>
    </row>
    <row r="95" spans="2:9" ht="15">
      <c r="B95" s="1168"/>
      <c r="C95" s="1168"/>
      <c r="D95" s="1168"/>
      <c r="E95" s="1168"/>
      <c r="F95" s="1188"/>
      <c r="G95" s="1212"/>
      <c r="H95" s="1212"/>
      <c r="I95" s="1231"/>
    </row>
    <row r="96" spans="2:9" ht="15">
      <c r="B96" s="1168"/>
      <c r="C96" s="1168"/>
      <c r="D96" s="1168"/>
      <c r="E96" s="1168"/>
      <c r="F96" s="1188"/>
      <c r="G96" s="1212"/>
      <c r="H96" s="1212"/>
      <c r="I96" s="1416">
        <f>I88+I161</f>
        <v>113254592.92999935</v>
      </c>
    </row>
    <row r="97" spans="2:9" ht="15">
      <c r="B97" s="1168"/>
      <c r="C97" s="1168"/>
      <c r="D97" s="1168"/>
      <c r="E97" s="1168"/>
      <c r="F97" s="1184" t="s">
        <v>995</v>
      </c>
      <c r="G97" s="1213"/>
      <c r="H97" s="1210" t="s">
        <v>72</v>
      </c>
      <c r="I97" s="1231"/>
    </row>
    <row r="98" spans="2:9" ht="45">
      <c r="B98" s="1168"/>
      <c r="C98" s="1168"/>
      <c r="D98" s="1168"/>
      <c r="E98" s="1168"/>
      <c r="F98" s="1392" t="s">
        <v>1000</v>
      </c>
      <c r="G98" s="1393"/>
      <c r="H98" s="1393"/>
      <c r="I98" s="1231"/>
    </row>
    <row r="99" spans="2:9" ht="36.75">
      <c r="B99" s="1168"/>
      <c r="C99" s="1168"/>
      <c r="D99" s="1168"/>
      <c r="E99" s="1168"/>
      <c r="F99" s="1394" t="s">
        <v>769</v>
      </c>
      <c r="G99" s="1393"/>
      <c r="H99" s="1393"/>
      <c r="I99" s="1231"/>
    </row>
    <row r="100" spans="2:9" ht="15" customHeight="1">
      <c r="B100" s="1168"/>
      <c r="C100" s="1168"/>
      <c r="D100" s="1168"/>
      <c r="E100" s="1168"/>
      <c r="F100" s="1575" t="s">
        <v>699</v>
      </c>
      <c r="G100" s="1575"/>
      <c r="H100" s="1575"/>
      <c r="I100" s="1167"/>
    </row>
    <row r="101" spans="2:9" ht="15" customHeight="1">
      <c r="B101" s="1168"/>
      <c r="C101" s="1168"/>
      <c r="D101" s="1168"/>
      <c r="E101" s="1168"/>
      <c r="F101" s="1575" t="s">
        <v>123</v>
      </c>
      <c r="G101" s="1575"/>
      <c r="H101" s="1575"/>
      <c r="I101" s="1231"/>
    </row>
    <row r="102" spans="2:9" ht="15.75" thickBot="1">
      <c r="B102" s="1168"/>
      <c r="C102" s="1168"/>
      <c r="D102" s="1168"/>
      <c r="E102" s="1168"/>
      <c r="F102" s="1393"/>
      <c r="G102" s="1393"/>
      <c r="H102" s="1393"/>
      <c r="I102" s="1231"/>
    </row>
    <row r="103" spans="2:9" ht="15">
      <c r="B103" s="1168"/>
      <c r="C103" s="1168"/>
      <c r="D103" s="1168"/>
      <c r="E103" s="1168"/>
      <c r="F103" s="1395" t="s">
        <v>148</v>
      </c>
      <c r="G103" s="1396" t="s">
        <v>149</v>
      </c>
      <c r="H103" s="1426" t="s">
        <v>150</v>
      </c>
      <c r="I103" s="1231"/>
    </row>
    <row r="104" spans="2:9" ht="15.75" thickBot="1">
      <c r="B104" s="1168"/>
      <c r="C104" s="1168"/>
      <c r="D104" s="1168"/>
      <c r="E104" s="1168"/>
      <c r="F104" s="1397"/>
      <c r="G104" s="1398"/>
      <c r="H104" s="1425"/>
      <c r="I104" s="1231"/>
    </row>
    <row r="105" spans="2:9" ht="24.75" thickBot="1">
      <c r="B105" s="1168"/>
      <c r="C105" s="1168"/>
      <c r="D105" s="1168"/>
      <c r="E105" s="1168"/>
      <c r="F105" s="1399" t="s">
        <v>151</v>
      </c>
      <c r="G105" s="1400"/>
      <c r="H105" s="1424"/>
      <c r="I105" s="1231"/>
    </row>
    <row r="106" spans="2:9" ht="15">
      <c r="B106" s="1178">
        <v>1000</v>
      </c>
      <c r="C106" s="1195">
        <v>801983210.15999997</v>
      </c>
      <c r="D106" s="1196"/>
      <c r="E106" s="1168">
        <v>4</v>
      </c>
      <c r="F106" s="1401">
        <v>1000</v>
      </c>
      <c r="G106" s="1161">
        <v>1341409029.3800001</v>
      </c>
      <c r="H106" s="1427"/>
      <c r="I106" s="1419">
        <f>-G106</f>
        <v>-1341409029.3800001</v>
      </c>
    </row>
    <row r="107" spans="2:9" ht="15">
      <c r="B107" s="1178">
        <v>1011</v>
      </c>
      <c r="C107" s="1195">
        <v>28914.45</v>
      </c>
      <c r="D107" s="1196"/>
      <c r="E107" s="1168"/>
      <c r="F107" s="1401">
        <v>1011</v>
      </c>
      <c r="G107" s="1161">
        <v>13187.2</v>
      </c>
      <c r="H107" s="1427"/>
      <c r="I107" s="1231"/>
    </row>
    <row r="108" spans="2:9" ht="15">
      <c r="B108" s="1178">
        <v>1030</v>
      </c>
      <c r="C108" s="1195">
        <v>801954295.71000004</v>
      </c>
      <c r="D108" s="1196"/>
      <c r="E108" s="1168"/>
      <c r="F108" s="1401">
        <v>1030</v>
      </c>
      <c r="G108" s="1161">
        <v>1318785907.1800001</v>
      </c>
      <c r="H108" s="1427"/>
      <c r="I108" s="1231"/>
    </row>
    <row r="109" spans="2:9" ht="15">
      <c r="B109" s="1178">
        <v>1032</v>
      </c>
      <c r="C109" s="1195">
        <v>801954295.71000004</v>
      </c>
      <c r="D109" s="1196"/>
      <c r="E109" s="1168"/>
      <c r="F109" s="1401">
        <v>1032</v>
      </c>
      <c r="G109" s="1161">
        <v>1318785907.1800001</v>
      </c>
      <c r="H109" s="1427"/>
      <c r="I109" s="1231"/>
    </row>
    <row r="110" spans="2:9" ht="15">
      <c r="B110" s="1178">
        <v>1100</v>
      </c>
      <c r="C110" s="1195">
        <v>5358498.2</v>
      </c>
      <c r="D110" s="1196"/>
      <c r="E110" s="1168"/>
      <c r="F110" s="1401">
        <v>1060</v>
      </c>
      <c r="G110" s="1161">
        <v>22609935</v>
      </c>
      <c r="H110" s="1427"/>
      <c r="I110" s="1419"/>
    </row>
    <row r="111" spans="2:9" ht="15">
      <c r="B111" s="1178">
        <v>1120</v>
      </c>
      <c r="C111" s="1195">
        <v>5358498.2</v>
      </c>
      <c r="D111" s="1196"/>
      <c r="E111" s="1168"/>
      <c r="F111" s="1422" t="s">
        <v>770</v>
      </c>
      <c r="G111" s="1161">
        <v>22609935</v>
      </c>
      <c r="H111" s="1427"/>
      <c r="I111" s="1231"/>
    </row>
    <row r="112" spans="2:9" ht="15">
      <c r="B112" s="1178">
        <v>1122</v>
      </c>
      <c r="C112" s="1195">
        <v>5358498.2</v>
      </c>
      <c r="D112" s="1196"/>
      <c r="E112" s="1168"/>
      <c r="F112" s="1401">
        <v>1100</v>
      </c>
      <c r="G112" s="1161">
        <v>240700910.62</v>
      </c>
      <c r="H112" s="1427"/>
      <c r="I112" s="1419">
        <f>-G112</f>
        <v>-240700910.62</v>
      </c>
    </row>
    <row r="113" spans="2:9" ht="15">
      <c r="B113" s="1193" t="s">
        <v>84</v>
      </c>
      <c r="C113" s="1195">
        <v>555160.77</v>
      </c>
      <c r="D113" s="1196"/>
      <c r="E113" s="1168"/>
      <c r="F113" s="1401">
        <v>1120</v>
      </c>
      <c r="G113" s="1161">
        <v>240700910.62</v>
      </c>
      <c r="H113" s="1427"/>
    </row>
    <row r="114" spans="2:9" ht="15">
      <c r="B114" s="1193" t="s">
        <v>86</v>
      </c>
      <c r="C114" s="1195">
        <v>4803337.43</v>
      </c>
      <c r="D114" s="1196"/>
      <c r="E114" s="1168"/>
      <c r="F114" s="1401">
        <v>1122</v>
      </c>
      <c r="G114" s="1161">
        <v>240700910.62</v>
      </c>
      <c r="H114" s="1427"/>
    </row>
    <row r="115" spans="2:9" ht="15">
      <c r="B115" s="1178">
        <v>1200</v>
      </c>
      <c r="C115" s="1195">
        <v>975514751.58000004</v>
      </c>
      <c r="D115" s="1196"/>
      <c r="E115" s="1168"/>
      <c r="F115" s="1422" t="s">
        <v>73</v>
      </c>
      <c r="G115" s="1161">
        <v>234162750</v>
      </c>
      <c r="H115" s="1427"/>
    </row>
    <row r="116" spans="2:9" ht="15">
      <c r="B116" s="1178">
        <v>1210</v>
      </c>
      <c r="C116" s="1195">
        <v>677540606.11000001</v>
      </c>
      <c r="D116" s="1196"/>
      <c r="E116" s="1168">
        <v>8</v>
      </c>
      <c r="F116" s="1422" t="s">
        <v>84</v>
      </c>
      <c r="G116" s="1161">
        <v>512460.54</v>
      </c>
      <c r="H116" s="1427"/>
      <c r="I116" s="1418"/>
    </row>
    <row r="117" spans="2:9" ht="15">
      <c r="B117" s="1193" t="s">
        <v>10</v>
      </c>
      <c r="C117" s="1195">
        <v>669859787.23000002</v>
      </c>
      <c r="D117" s="1196"/>
      <c r="E117" s="1168"/>
      <c r="F117" s="1422" t="s">
        <v>87</v>
      </c>
      <c r="G117" s="1161">
        <v>2611550.79</v>
      </c>
      <c r="H117" s="1427"/>
    </row>
    <row r="118" spans="2:9" ht="15">
      <c r="B118" s="1193" t="s">
        <v>558</v>
      </c>
      <c r="C118" s="1195">
        <v>7680818.8799999999</v>
      </c>
      <c r="D118" s="1196"/>
      <c r="E118" s="1168"/>
      <c r="F118" s="1422" t="s">
        <v>85</v>
      </c>
      <c r="G118" s="1161">
        <v>2436693.0499999998</v>
      </c>
      <c r="H118" s="1427"/>
    </row>
    <row r="119" spans="2:9" ht="15">
      <c r="B119" s="1178">
        <v>1270</v>
      </c>
      <c r="C119" s="1201">
        <v>0.01</v>
      </c>
      <c r="D119" s="1196"/>
      <c r="E119" s="1168">
        <v>7</v>
      </c>
      <c r="F119" s="1422" t="s">
        <v>86</v>
      </c>
      <c r="G119" s="1161">
        <v>977456.24</v>
      </c>
      <c r="H119" s="1427"/>
    </row>
    <row r="120" spans="2:9" ht="15">
      <c r="B120" s="1193" t="s">
        <v>647</v>
      </c>
      <c r="C120" s="1201">
        <v>0.01</v>
      </c>
      <c r="D120" s="1196"/>
      <c r="E120" s="1168"/>
      <c r="F120" s="1401">
        <v>1200</v>
      </c>
      <c r="G120" s="1161">
        <v>501548347.72000003</v>
      </c>
      <c r="H120" s="1427"/>
    </row>
    <row r="121" spans="2:9" ht="15">
      <c r="B121" s="1178">
        <v>1280</v>
      </c>
      <c r="C121" s="1195">
        <v>297974145.45999998</v>
      </c>
      <c r="D121" s="1196"/>
      <c r="E121" s="1168">
        <v>7</v>
      </c>
      <c r="F121" s="1401">
        <v>1210</v>
      </c>
      <c r="G121" s="1161">
        <v>418309577.17000002</v>
      </c>
      <c r="H121" s="1427"/>
      <c r="I121" s="1418">
        <f>-G121</f>
        <v>-418309577.17000002</v>
      </c>
    </row>
    <row r="122" spans="2:9" ht="15">
      <c r="B122" s="1193" t="s">
        <v>250</v>
      </c>
      <c r="C122" s="1195">
        <v>297974145.45999998</v>
      </c>
      <c r="D122" s="1196"/>
      <c r="E122" s="1168"/>
      <c r="F122" s="1422" t="s">
        <v>10</v>
      </c>
      <c r="G122" s="1161">
        <v>415735612.01999998</v>
      </c>
      <c r="H122" s="1427"/>
    </row>
    <row r="123" spans="2:9" ht="15">
      <c r="B123" s="1178">
        <v>1600</v>
      </c>
      <c r="C123" s="1195">
        <v>6928719.2300000004</v>
      </c>
      <c r="D123" s="1196"/>
      <c r="E123" s="1168">
        <v>10</v>
      </c>
      <c r="F123" s="1422" t="s">
        <v>558</v>
      </c>
      <c r="G123" s="1161">
        <v>2573965.15</v>
      </c>
      <c r="H123" s="1427"/>
      <c r="I123" s="1418"/>
    </row>
    <row r="124" spans="2:9" ht="15">
      <c r="B124" s="1178">
        <v>1610</v>
      </c>
      <c r="C124" s="1195">
        <v>6928719.2300000004</v>
      </c>
      <c r="D124" s="1196"/>
      <c r="E124" s="1168"/>
      <c r="F124" s="1401">
        <v>1270</v>
      </c>
      <c r="G124" s="1161">
        <v>950651.41</v>
      </c>
      <c r="H124" s="1427"/>
    </row>
    <row r="125" spans="2:9" ht="15">
      <c r="B125" s="1193" t="s">
        <v>658</v>
      </c>
      <c r="C125" s="1195">
        <v>82574.55</v>
      </c>
      <c r="D125" s="1196"/>
      <c r="E125" s="1168"/>
      <c r="F125" s="1422" t="s">
        <v>646</v>
      </c>
      <c r="G125" s="1161">
        <v>179056.66</v>
      </c>
      <c r="H125" s="1427"/>
    </row>
    <row r="126" spans="2:9" ht="15">
      <c r="B126" s="1178">
        <v>1611</v>
      </c>
      <c r="C126" s="1195">
        <v>5544548.4699999997</v>
      </c>
      <c r="D126" s="1196"/>
      <c r="E126" s="1168"/>
      <c r="F126" s="1401">
        <v>1271</v>
      </c>
      <c r="G126" s="1161">
        <v>771594.75</v>
      </c>
      <c r="H126" s="1427"/>
    </row>
    <row r="127" spans="2:9" ht="15">
      <c r="B127" s="1193" t="s">
        <v>660</v>
      </c>
      <c r="C127" s="1195">
        <v>5544548.4699999997</v>
      </c>
      <c r="D127" s="1196"/>
      <c r="E127" s="1168"/>
      <c r="F127" s="1422" t="s">
        <v>648</v>
      </c>
      <c r="G127" s="1161">
        <v>771594.75</v>
      </c>
      <c r="H127" s="1427"/>
    </row>
    <row r="128" spans="2:9" ht="15">
      <c r="B128" s="1178">
        <v>1612</v>
      </c>
      <c r="C128" s="1195">
        <v>1301596.21</v>
      </c>
      <c r="D128" s="1196"/>
      <c r="E128" s="1168"/>
      <c r="F128" s="1401">
        <v>1280</v>
      </c>
      <c r="G128" s="1161">
        <v>82288119.140000001</v>
      </c>
      <c r="H128" s="1427"/>
      <c r="I128" s="1417">
        <f>-G128-G124</f>
        <v>-83238770.549999997</v>
      </c>
    </row>
    <row r="129" spans="2:10" ht="15">
      <c r="B129" s="1193" t="s">
        <v>662</v>
      </c>
      <c r="C129" s="1195">
        <v>1301596.21</v>
      </c>
      <c r="D129" s="1196"/>
      <c r="E129" s="1168"/>
      <c r="F129" s="1422" t="s">
        <v>250</v>
      </c>
      <c r="G129" s="1161">
        <v>82288119.140000001</v>
      </c>
      <c r="H129" s="1427"/>
    </row>
    <row r="130" spans="2:10" ht="15">
      <c r="B130" s="1178">
        <v>3000</v>
      </c>
      <c r="C130" s="1195">
        <v>609796135.05999994</v>
      </c>
      <c r="D130" s="1196"/>
      <c r="E130" s="1168"/>
      <c r="F130" s="1401">
        <v>1600</v>
      </c>
      <c r="G130" s="1161">
        <v>242215.74</v>
      </c>
      <c r="H130" s="1427"/>
      <c r="I130" s="1418">
        <f>-G130</f>
        <v>-242215.74</v>
      </c>
    </row>
    <row r="131" spans="2:10" ht="15">
      <c r="B131" s="1178">
        <v>3010</v>
      </c>
      <c r="C131" s="1195">
        <v>609796135.05999994</v>
      </c>
      <c r="D131" s="1196"/>
      <c r="E131" s="1168">
        <v>2</v>
      </c>
      <c r="F131" s="1401">
        <v>1610</v>
      </c>
      <c r="G131" s="1161">
        <v>242215.74</v>
      </c>
      <c r="H131" s="1427"/>
    </row>
    <row r="132" spans="2:10" ht="15">
      <c r="B132" s="1178">
        <v>3300</v>
      </c>
      <c r="C132" s="1195">
        <v>2787217826.0600004</v>
      </c>
      <c r="D132" s="1196"/>
      <c r="E132" s="1168"/>
      <c r="F132" s="1422" t="s">
        <v>658</v>
      </c>
      <c r="G132" s="1161">
        <v>4370.03</v>
      </c>
      <c r="H132" s="1427"/>
    </row>
    <row r="133" spans="2:10" ht="15">
      <c r="B133" s="1178">
        <v>3310</v>
      </c>
      <c r="C133" s="1195">
        <v>2772806034.5900002</v>
      </c>
      <c r="D133" s="1196"/>
      <c r="E133" s="1168">
        <v>1</v>
      </c>
      <c r="F133" s="1401">
        <v>1611</v>
      </c>
      <c r="G133" s="1161">
        <v>237108.81</v>
      </c>
      <c r="H133" s="1427"/>
      <c r="I133" s="1418"/>
    </row>
    <row r="134" spans="2:10" ht="15">
      <c r="B134" s="1193" t="s">
        <v>666</v>
      </c>
      <c r="C134" s="1195">
        <v>4882141.28</v>
      </c>
      <c r="D134" s="1196"/>
      <c r="E134" s="1168"/>
      <c r="F134" s="1422" t="s">
        <v>660</v>
      </c>
      <c r="G134" s="1161">
        <v>237108.81</v>
      </c>
      <c r="H134" s="1427"/>
    </row>
    <row r="135" spans="2:10" ht="15">
      <c r="B135" s="1193" t="s">
        <v>12</v>
      </c>
      <c r="C135" s="1195">
        <v>15333238.27</v>
      </c>
      <c r="D135" s="1196"/>
      <c r="E135" s="1168"/>
      <c r="F135" s="1401">
        <v>1612</v>
      </c>
      <c r="G135" s="1159">
        <v>736.9</v>
      </c>
      <c r="H135" s="1427"/>
    </row>
    <row r="136" spans="2:10" ht="15">
      <c r="B136" s="1193" t="s">
        <v>13</v>
      </c>
      <c r="C136" s="1195">
        <v>2752590655.04</v>
      </c>
      <c r="D136" s="1196"/>
      <c r="E136" s="1168"/>
      <c r="F136" s="1422" t="s">
        <v>662</v>
      </c>
      <c r="G136" s="1159">
        <v>736.9</v>
      </c>
      <c r="H136" s="1427"/>
    </row>
    <row r="137" spans="2:10" ht="15">
      <c r="B137" s="1178">
        <v>3360</v>
      </c>
      <c r="C137" s="1195">
        <v>1069918.3999999999</v>
      </c>
      <c r="D137" s="1196"/>
      <c r="E137" s="1168">
        <v>5</v>
      </c>
      <c r="F137" s="1401">
        <v>2900</v>
      </c>
      <c r="G137" s="1161">
        <v>540024.02</v>
      </c>
      <c r="H137" s="1427"/>
      <c r="I137" s="1418">
        <f>-G137</f>
        <v>-540024.02</v>
      </c>
      <c r="J137" s="1046" t="s">
        <v>541</v>
      </c>
    </row>
    <row r="138" spans="2:10" ht="15">
      <c r="B138" s="1178">
        <v>3380</v>
      </c>
      <c r="C138" s="1195">
        <v>13341203.07</v>
      </c>
      <c r="D138" s="1196"/>
      <c r="E138" s="1168"/>
      <c r="F138" s="1401">
        <v>2910</v>
      </c>
      <c r="G138" s="1161">
        <v>540024.02</v>
      </c>
      <c r="H138" s="1427"/>
      <c r="I138" s="1417"/>
    </row>
    <row r="139" spans="2:10" ht="15">
      <c r="B139" s="1193" t="s">
        <v>265</v>
      </c>
      <c r="C139" s="1195">
        <v>13334786.609999999</v>
      </c>
      <c r="D139" s="1196"/>
      <c r="E139" s="1168">
        <v>9</v>
      </c>
      <c r="F139" s="1401">
        <v>3000</v>
      </c>
      <c r="G139" s="1161">
        <v>232826920</v>
      </c>
      <c r="H139" s="1427"/>
    </row>
    <row r="140" spans="2:10" ht="15">
      <c r="B140" s="1193" t="s">
        <v>259</v>
      </c>
      <c r="C140" s="1195">
        <v>6416.46</v>
      </c>
      <c r="D140" s="1196"/>
      <c r="E140" s="1168">
        <v>5</v>
      </c>
      <c r="F140" s="1401">
        <v>3010</v>
      </c>
      <c r="G140" s="1161">
        <v>232826920</v>
      </c>
      <c r="H140" s="1427"/>
      <c r="I140" s="1418">
        <f>-G140</f>
        <v>-232826920</v>
      </c>
    </row>
    <row r="141" spans="2:10" ht="15">
      <c r="B141" s="1178">
        <v>3390</v>
      </c>
      <c r="C141" s="1201">
        <v>670</v>
      </c>
      <c r="D141" s="1196"/>
      <c r="E141" s="1168"/>
      <c r="F141" s="1401">
        <v>3300</v>
      </c>
      <c r="G141" s="1161">
        <v>771514756.86000001</v>
      </c>
      <c r="H141" s="1427"/>
    </row>
    <row r="142" spans="2:10" ht="15">
      <c r="B142" s="1193" t="s">
        <v>668</v>
      </c>
      <c r="C142" s="1201">
        <v>670</v>
      </c>
      <c r="D142" s="1196"/>
      <c r="E142" s="1168"/>
      <c r="F142" s="1401">
        <v>3310</v>
      </c>
      <c r="G142" s="1161">
        <v>770387302.42999995</v>
      </c>
      <c r="H142" s="1427"/>
      <c r="I142" s="1418">
        <f>-G142</f>
        <v>-770387302.42999995</v>
      </c>
    </row>
    <row r="143" spans="2:10" ht="15">
      <c r="B143" s="1178">
        <v>3500</v>
      </c>
      <c r="C143" s="1195">
        <v>1015632.46</v>
      </c>
      <c r="D143" s="1196"/>
      <c r="E143" s="1168"/>
      <c r="F143" s="1422" t="s">
        <v>666</v>
      </c>
      <c r="G143" s="1161">
        <v>1757050.82</v>
      </c>
      <c r="H143" s="1427"/>
    </row>
    <row r="144" spans="2:10" ht="15">
      <c r="B144" s="1178">
        <v>3510</v>
      </c>
      <c r="C144" s="1195">
        <v>1020281.79</v>
      </c>
      <c r="D144" s="1196"/>
      <c r="E144" s="1168">
        <v>9</v>
      </c>
      <c r="F144" s="1422" t="s">
        <v>12</v>
      </c>
      <c r="G144" s="1161">
        <v>12180.3</v>
      </c>
      <c r="H144" s="1427"/>
      <c r="I144" s="1418"/>
    </row>
    <row r="145" spans="2:9" ht="15">
      <c r="B145" s="1193" t="s">
        <v>669</v>
      </c>
      <c r="C145" s="1195">
        <v>967388.88</v>
      </c>
      <c r="D145" s="1196"/>
      <c r="E145" s="1168"/>
      <c r="F145" s="1422" t="s">
        <v>13</v>
      </c>
      <c r="G145" s="1161">
        <v>768618071.30999994</v>
      </c>
      <c r="H145" s="1427"/>
    </row>
    <row r="146" spans="2:9" ht="15">
      <c r="B146" s="1193" t="s">
        <v>260</v>
      </c>
      <c r="C146" s="1195">
        <v>52892.91</v>
      </c>
      <c r="D146" s="1196"/>
      <c r="E146" s="1168"/>
      <c r="F146" s="1401">
        <v>3380</v>
      </c>
      <c r="G146" s="1161">
        <v>1095486.43</v>
      </c>
      <c r="H146" s="1427"/>
      <c r="I146" s="1418">
        <f>-G146</f>
        <v>-1095486.43</v>
      </c>
    </row>
    <row r="147" spans="2:9" ht="15">
      <c r="B147" s="1178">
        <v>3540</v>
      </c>
      <c r="C147" s="1195">
        <v>-4649.33</v>
      </c>
      <c r="D147" s="1196"/>
      <c r="E147" s="1168"/>
      <c r="F147" s="1422" t="s">
        <v>265</v>
      </c>
      <c r="G147" s="1161">
        <v>1095486.43</v>
      </c>
      <c r="H147" s="1427"/>
    </row>
    <row r="148" spans="2:9" ht="15">
      <c r="B148" s="1193" t="s">
        <v>264</v>
      </c>
      <c r="C148" s="1195">
        <v>-4649.33</v>
      </c>
      <c r="D148" s="1196"/>
      <c r="E148" s="1168"/>
      <c r="F148" s="1401">
        <v>3390</v>
      </c>
      <c r="G148" s="1161">
        <v>31968</v>
      </c>
      <c r="H148" s="1427"/>
    </row>
    <row r="149" spans="2:9" ht="15">
      <c r="B149" s="1178">
        <v>4000</v>
      </c>
      <c r="C149" s="1195">
        <v>1857395834.5599999</v>
      </c>
      <c r="D149" s="1196"/>
      <c r="E149" s="1168"/>
      <c r="F149" s="1422" t="s">
        <v>263</v>
      </c>
      <c r="G149" s="1161">
        <v>31968</v>
      </c>
      <c r="H149" s="1427"/>
    </row>
    <row r="150" spans="2:9" ht="15">
      <c r="B150" s="1178">
        <v>4010</v>
      </c>
      <c r="C150" s="1195">
        <v>1857395834.5599999</v>
      </c>
      <c r="D150" s="1196"/>
      <c r="E150" s="1168">
        <v>3</v>
      </c>
      <c r="F150" s="1401">
        <v>3500</v>
      </c>
      <c r="G150" s="1161">
        <v>134482.35999999999</v>
      </c>
      <c r="H150" s="1427"/>
      <c r="I150" s="1417">
        <f>-G150-G148</f>
        <v>-166450.35999999999</v>
      </c>
    </row>
    <row r="151" spans="2:9" ht="15">
      <c r="B151" s="1178">
        <v>4100</v>
      </c>
      <c r="C151" s="1195">
        <v>58733823.539999999</v>
      </c>
      <c r="D151" s="1196"/>
      <c r="E151" s="1168"/>
      <c r="F151" s="1401">
        <v>3510</v>
      </c>
      <c r="G151" s="1161">
        <v>134482.35999999999</v>
      </c>
      <c r="H151" s="1427"/>
    </row>
    <row r="152" spans="2:9" ht="15">
      <c r="B152" s="1178">
        <v>4110</v>
      </c>
      <c r="C152" s="1195">
        <v>58733823.539999999</v>
      </c>
      <c r="D152" s="1196"/>
      <c r="E152" s="1168"/>
      <c r="F152" s="1422" t="s">
        <v>669</v>
      </c>
      <c r="G152" s="1161">
        <v>82482.36</v>
      </c>
      <c r="H152" s="1427"/>
    </row>
    <row r="153" spans="2:9" ht="15">
      <c r="B153" s="1178">
        <v>5600</v>
      </c>
      <c r="C153" s="1191"/>
      <c r="D153" s="1192">
        <v>7103944430.8499994</v>
      </c>
      <c r="E153" s="1168">
        <v>6</v>
      </c>
      <c r="F153" s="1422" t="s">
        <v>260</v>
      </c>
      <c r="G153" s="1161">
        <v>52000</v>
      </c>
      <c r="H153" s="1427"/>
      <c r="I153" s="1418"/>
    </row>
    <row r="154" spans="2:9" ht="15">
      <c r="B154" s="1178">
        <v>5610</v>
      </c>
      <c r="C154" s="1191"/>
      <c r="D154" s="1192">
        <v>7103944430.8499994</v>
      </c>
      <c r="E154" s="1168"/>
      <c r="F154" s="1401">
        <v>4000</v>
      </c>
      <c r="G154" s="1161">
        <v>223086622.5</v>
      </c>
      <c r="H154" s="1427"/>
      <c r="I154" s="1418">
        <f>-G154</f>
        <v>-223086622.5</v>
      </c>
    </row>
    <row r="155" spans="2:9" ht="15">
      <c r="B155" s="1178">
        <v>7400</v>
      </c>
      <c r="C155" s="1195">
        <v>1136948.1100000001</v>
      </c>
      <c r="D155" s="1192">
        <v>1136948.1100000001</v>
      </c>
      <c r="E155" s="1168"/>
      <c r="F155" s="1401">
        <v>4010</v>
      </c>
      <c r="G155" s="1161">
        <v>220675000</v>
      </c>
      <c r="H155" s="1427"/>
    </row>
    <row r="156" spans="2:9" ht="15">
      <c r="B156" s="1178">
        <v>7430</v>
      </c>
      <c r="C156" s="1195">
        <v>1136948.1100000001</v>
      </c>
      <c r="D156" s="1192">
        <v>1136948.1100000001</v>
      </c>
      <c r="E156" s="1168"/>
      <c r="F156" s="1401">
        <v>4030</v>
      </c>
      <c r="G156" s="1161">
        <v>2411622.5</v>
      </c>
      <c r="H156" s="1427"/>
    </row>
    <row r="157" spans="2:9" ht="15">
      <c r="B157" s="1193" t="s">
        <v>692</v>
      </c>
      <c r="C157" s="1195">
        <v>1136948.1100000001</v>
      </c>
      <c r="D157" s="1196"/>
      <c r="E157" s="1168"/>
      <c r="F157" s="1422" t="s">
        <v>671</v>
      </c>
      <c r="G157" s="1161">
        <v>2411622.5</v>
      </c>
      <c r="H157" s="1427"/>
    </row>
    <row r="158" spans="2:9" ht="15.75" thickBot="1">
      <c r="B158" s="1193" t="s">
        <v>749</v>
      </c>
      <c r="C158" s="1191"/>
      <c r="D158" s="1192">
        <v>1136948.1100000001</v>
      </c>
      <c r="E158" s="1168"/>
      <c r="F158" s="1401">
        <v>4100</v>
      </c>
      <c r="G158" s="1161">
        <v>6349111.5899999999</v>
      </c>
      <c r="H158" s="1427"/>
      <c r="I158" s="1418">
        <f>-G158</f>
        <v>-6349111.5899999999</v>
      </c>
    </row>
    <row r="159" spans="2:9" ht="15">
      <c r="B159" s="1179" t="s">
        <v>152</v>
      </c>
      <c r="C159" s="1197">
        <v>7105081378.96</v>
      </c>
      <c r="D159" s="1198">
        <v>7105081378.96</v>
      </c>
      <c r="E159" s="1168"/>
      <c r="F159" s="1401">
        <v>4110</v>
      </c>
      <c r="G159" s="1161">
        <v>6349111.5899999999</v>
      </c>
      <c r="H159" s="1427"/>
    </row>
    <row r="160" spans="2:9" ht="15.75" thickBot="1">
      <c r="B160" s="1180" t="s">
        <v>153</v>
      </c>
      <c r="C160" s="1199"/>
      <c r="D160" s="1200"/>
      <c r="E160" s="1168"/>
      <c r="F160" s="1401">
        <v>5400</v>
      </c>
      <c r="G160" s="1402"/>
      <c r="H160" s="1423">
        <v>-11072.92</v>
      </c>
    </row>
    <row r="161" spans="6:9" ht="15">
      <c r="F161" s="1401">
        <v>5470</v>
      </c>
      <c r="G161" s="1402"/>
      <c r="H161" s="1423">
        <v>-11072.92</v>
      </c>
      <c r="I161" s="1419">
        <f>SUM(I106:I160)</f>
        <v>-3318352420.79</v>
      </c>
    </row>
    <row r="162" spans="6:9" ht="15">
      <c r="F162" s="1401">
        <v>5600</v>
      </c>
      <c r="G162" s="1402"/>
      <c r="H162" s="1423">
        <v>3318363493.71</v>
      </c>
      <c r="I162" s="1231"/>
    </row>
    <row r="163" spans="6:9" ht="15">
      <c r="F163" s="1401">
        <v>5610</v>
      </c>
      <c r="G163" s="1402"/>
      <c r="H163" s="1423">
        <v>3318363493.71</v>
      </c>
      <c r="I163" s="1419" t="e">
        <f>#REF!</f>
        <v>#REF!</v>
      </c>
    </row>
    <row r="164" spans="6:9" ht="15">
      <c r="F164" s="1401">
        <v>7400</v>
      </c>
      <c r="G164" s="1161">
        <v>77650974.430000007</v>
      </c>
      <c r="H164" s="1423">
        <v>77650974.430000007</v>
      </c>
      <c r="I164" s="1231"/>
    </row>
    <row r="165" spans="6:9" ht="15">
      <c r="F165" s="1401">
        <v>7430</v>
      </c>
      <c r="G165" s="1161">
        <v>77650974.430000007</v>
      </c>
      <c r="H165" s="1423">
        <v>77650974.430000007</v>
      </c>
      <c r="I165" s="1419" t="e">
        <f>SUM(I161:I164)</f>
        <v>#REF!</v>
      </c>
    </row>
    <row r="166" spans="6:9" ht="15">
      <c r="F166" s="1422" t="s">
        <v>692</v>
      </c>
      <c r="G166" s="1161">
        <v>77650974.430000007</v>
      </c>
      <c r="H166" s="1427"/>
      <c r="I166" s="1231"/>
    </row>
    <row r="167" spans="6:9" ht="15.75" thickBot="1">
      <c r="F167" s="1422" t="s">
        <v>749</v>
      </c>
      <c r="G167" s="1402"/>
      <c r="H167" s="1423">
        <v>77650974.430000007</v>
      </c>
      <c r="I167" s="1231"/>
    </row>
    <row r="168" spans="6:9" ht="15">
      <c r="F168" s="1403" t="s">
        <v>152</v>
      </c>
      <c r="G168" s="1404">
        <v>3396003395.2199998</v>
      </c>
      <c r="H168" s="1236">
        <v>3396003395.2199998</v>
      </c>
      <c r="I168" s="1167"/>
    </row>
    <row r="169" spans="6:9" ht="24.75" thickBot="1">
      <c r="F169" s="1405" t="s">
        <v>153</v>
      </c>
      <c r="G169" s="1406"/>
      <c r="H169" s="1228"/>
      <c r="I169" s="1231"/>
    </row>
    <row r="170" spans="6:9" ht="24.75" thickBot="1">
      <c r="F170" s="1202" t="s">
        <v>151</v>
      </c>
      <c r="G170" s="1217"/>
      <c r="H170" s="1168"/>
      <c r="I170" s="1231"/>
    </row>
    <row r="171" spans="6:9" ht="15">
      <c r="F171" s="1203">
        <v>1000</v>
      </c>
      <c r="G171" s="1211"/>
      <c r="H171" s="1168"/>
      <c r="I171" s="1231"/>
    </row>
    <row r="172" spans="6:9" ht="15">
      <c r="F172" s="1203">
        <v>1020</v>
      </c>
      <c r="G172" s="1211"/>
      <c r="H172" s="1168"/>
      <c r="I172" s="1231"/>
    </row>
    <row r="173" spans="6:9" ht="15">
      <c r="F173" s="1203">
        <v>5600</v>
      </c>
      <c r="G173" s="1207">
        <v>217090090.08000001</v>
      </c>
      <c r="H173" s="1168"/>
      <c r="I173" s="1231"/>
    </row>
    <row r="174" spans="6:9" ht="15.75" thickBot="1">
      <c r="F174" s="1203">
        <v>5610</v>
      </c>
      <c r="G174" s="1207">
        <v>217090090.08000001</v>
      </c>
      <c r="H174" s="1168"/>
      <c r="I174" s="1231"/>
    </row>
    <row r="175" spans="6:9" ht="15">
      <c r="F175" s="1204" t="s">
        <v>152</v>
      </c>
      <c r="G175" s="1218">
        <v>217090090.08000001</v>
      </c>
      <c r="H175" s="1168"/>
      <c r="I175" s="1231"/>
    </row>
    <row r="176" spans="6:9" ht="24.75" thickBot="1">
      <c r="F176" s="1205" t="s">
        <v>153</v>
      </c>
      <c r="G176" s="1219"/>
      <c r="H176" s="1168"/>
      <c r="I176" s="1231"/>
    </row>
  </sheetData>
  <mergeCells count="4">
    <mergeCell ref="F100:H100"/>
    <mergeCell ref="F101:H101"/>
    <mergeCell ref="F22:H22"/>
    <mergeCell ref="F23:H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37"/>
  <sheetViews>
    <sheetView topLeftCell="A116" workbookViewId="0">
      <selection activeCell="F149" sqref="F149"/>
    </sheetView>
  </sheetViews>
  <sheetFormatPr defaultRowHeight="12.75"/>
  <cols>
    <col min="1" max="1" width="25.42578125" customWidth="1"/>
    <col min="4" max="4" width="14.5703125" customWidth="1"/>
    <col min="5" max="5" width="17.85546875" customWidth="1"/>
  </cols>
  <sheetData>
    <row r="1" spans="1:7" ht="15">
      <c r="A1" s="744" t="s">
        <v>92</v>
      </c>
      <c r="B1" s="745"/>
      <c r="C1" s="745"/>
      <c r="D1" s="745"/>
      <c r="E1" s="745"/>
      <c r="F1" s="745"/>
      <c r="G1" s="745"/>
    </row>
    <row r="2" spans="1:7">
      <c r="A2" s="746" t="s">
        <v>769</v>
      </c>
      <c r="B2" s="745"/>
      <c r="C2" s="745"/>
      <c r="D2" s="745"/>
      <c r="E2" s="745"/>
      <c r="F2" s="745"/>
      <c r="G2" s="745"/>
    </row>
    <row r="3" spans="1:7">
      <c r="A3" s="1576" t="s">
        <v>971</v>
      </c>
      <c r="B3" s="1576"/>
      <c r="C3" s="1576"/>
      <c r="D3" s="1576"/>
      <c r="E3" s="1576"/>
      <c r="F3" s="1576"/>
      <c r="G3" s="1576"/>
    </row>
    <row r="4" spans="1:7">
      <c r="A4" s="1576" t="s">
        <v>123</v>
      </c>
      <c r="B4" s="1576"/>
      <c r="C4" s="1576"/>
      <c r="D4" s="1576"/>
      <c r="E4" s="1576"/>
      <c r="F4" s="1576"/>
      <c r="G4" s="1576"/>
    </row>
    <row r="5" spans="1:7" ht="13.5" thickBot="1">
      <c r="A5" s="745"/>
      <c r="B5" s="745"/>
      <c r="C5" s="745"/>
      <c r="D5" s="745"/>
      <c r="E5" s="745"/>
      <c r="F5" s="745"/>
      <c r="G5" s="745"/>
    </row>
    <row r="6" spans="1:7">
      <c r="A6" s="747" t="s">
        <v>188</v>
      </c>
      <c r="B6" s="1577" t="s">
        <v>154</v>
      </c>
      <c r="C6" s="1577"/>
      <c r="D6" s="1577" t="s">
        <v>155</v>
      </c>
      <c r="E6" s="1577"/>
      <c r="F6" s="1578" t="s">
        <v>156</v>
      </c>
      <c r="G6" s="1578"/>
    </row>
    <row r="7" spans="1:7" ht="13.5" thickBot="1">
      <c r="A7" s="748"/>
      <c r="B7" s="749" t="s">
        <v>189</v>
      </c>
      <c r="C7" s="749" t="s">
        <v>190</v>
      </c>
      <c r="D7" s="749" t="s">
        <v>189</v>
      </c>
      <c r="E7" s="750" t="s">
        <v>190</v>
      </c>
      <c r="F7" s="749" t="s">
        <v>189</v>
      </c>
      <c r="G7" s="751" t="s">
        <v>190</v>
      </c>
    </row>
    <row r="8" spans="1:7">
      <c r="A8" s="752"/>
      <c r="B8" s="753"/>
      <c r="C8" s="753"/>
      <c r="D8" s="753"/>
      <c r="E8" s="753"/>
      <c r="F8" s="753"/>
      <c r="G8" s="754"/>
    </row>
    <row r="9" spans="1:7">
      <c r="A9" s="755">
        <v>6200</v>
      </c>
      <c r="B9" s="757"/>
      <c r="C9" s="757"/>
      <c r="D9" s="756">
        <v>-567309389.63</v>
      </c>
      <c r="E9" s="757"/>
      <c r="F9" s="757"/>
      <c r="G9" s="758"/>
    </row>
    <row r="10" spans="1:7">
      <c r="A10" s="755">
        <v>6250</v>
      </c>
      <c r="B10" s="757"/>
      <c r="C10" s="757"/>
      <c r="D10" s="756">
        <v>161383554.40000001</v>
      </c>
      <c r="E10" s="757"/>
      <c r="F10" s="757"/>
      <c r="G10" s="758"/>
    </row>
    <row r="11" spans="1:7">
      <c r="A11" s="759" t="s">
        <v>678</v>
      </c>
      <c r="B11" s="757"/>
      <c r="C11" s="757"/>
      <c r="D11" s="756">
        <v>161383554.40000001</v>
      </c>
      <c r="E11" s="757"/>
      <c r="F11" s="757"/>
      <c r="G11" s="758"/>
    </row>
    <row r="12" spans="1:7">
      <c r="A12" s="755">
        <v>6280</v>
      </c>
      <c r="B12" s="757"/>
      <c r="C12" s="757"/>
      <c r="D12" s="756">
        <v>-728692944.02999997</v>
      </c>
      <c r="E12" s="757"/>
      <c r="F12" s="757"/>
      <c r="G12" s="758"/>
    </row>
    <row r="13" spans="1:7">
      <c r="A13" s="759" t="s">
        <v>680</v>
      </c>
      <c r="B13" s="757"/>
      <c r="C13" s="757"/>
      <c r="D13" s="756">
        <v>-728692944.02999997</v>
      </c>
      <c r="E13" s="757"/>
      <c r="F13" s="757"/>
      <c r="G13" s="758"/>
    </row>
    <row r="14" spans="1:7">
      <c r="A14" s="769" t="s">
        <v>171</v>
      </c>
      <c r="B14" s="771"/>
      <c r="C14" s="771"/>
      <c r="D14" s="770">
        <v>-567309389.63</v>
      </c>
      <c r="E14" s="771"/>
      <c r="F14" s="771"/>
      <c r="G14" s="772"/>
    </row>
    <row r="15" spans="1:7" ht="17.25" customHeight="1">
      <c r="A15" s="752" t="s">
        <v>782</v>
      </c>
      <c r="B15" s="753"/>
      <c r="C15" s="753"/>
      <c r="D15" s="753"/>
      <c r="E15" s="753"/>
      <c r="F15" s="753"/>
      <c r="G15" s="754"/>
    </row>
    <row r="16" spans="1:7">
      <c r="A16" s="755">
        <v>6200</v>
      </c>
      <c r="B16" s="757"/>
      <c r="C16" s="757"/>
      <c r="D16" s="757"/>
      <c r="E16" s="756">
        <v>-591433649.73000002</v>
      </c>
      <c r="F16" s="757"/>
      <c r="G16" s="758"/>
    </row>
    <row r="17" spans="1:7">
      <c r="A17" s="755">
        <v>6280</v>
      </c>
      <c r="B17" s="757"/>
      <c r="C17" s="757"/>
      <c r="D17" s="757"/>
      <c r="E17" s="756">
        <v>-591433649.73000002</v>
      </c>
      <c r="F17" s="757"/>
      <c r="G17" s="758"/>
    </row>
    <row r="18" spans="1:7">
      <c r="A18" s="759" t="s">
        <v>680</v>
      </c>
      <c r="B18" s="757"/>
      <c r="C18" s="757"/>
      <c r="D18" s="757"/>
      <c r="E18" s="756">
        <v>-591433649.73000002</v>
      </c>
      <c r="F18" s="757"/>
      <c r="G18" s="758"/>
    </row>
    <row r="19" spans="1:7">
      <c r="A19" s="769" t="s">
        <v>171</v>
      </c>
      <c r="B19" s="771"/>
      <c r="C19" s="771"/>
      <c r="D19" s="771"/>
      <c r="E19" s="770">
        <v>-591433649.73000002</v>
      </c>
      <c r="F19" s="771"/>
      <c r="G19" s="772"/>
    </row>
    <row r="20" spans="1:7" ht="33.75" customHeight="1">
      <c r="A20" s="752" t="s">
        <v>798</v>
      </c>
      <c r="B20" s="753"/>
      <c r="C20" s="753"/>
      <c r="D20" s="753"/>
      <c r="E20" s="753"/>
      <c r="F20" s="753"/>
      <c r="G20" s="754"/>
    </row>
    <row r="21" spans="1:7">
      <c r="A21" s="755">
        <v>6200</v>
      </c>
      <c r="B21" s="757"/>
      <c r="C21" s="757"/>
      <c r="D21" s="757"/>
      <c r="E21" s="756">
        <v>26000</v>
      </c>
      <c r="F21" s="757"/>
      <c r="G21" s="758"/>
    </row>
    <row r="22" spans="1:7">
      <c r="A22" s="755">
        <v>6280</v>
      </c>
      <c r="B22" s="757"/>
      <c r="C22" s="757"/>
      <c r="D22" s="757"/>
      <c r="E22" s="756">
        <v>26000</v>
      </c>
      <c r="F22" s="757"/>
      <c r="G22" s="758"/>
    </row>
    <row r="23" spans="1:7">
      <c r="A23" s="759" t="s">
        <v>680</v>
      </c>
      <c r="B23" s="757"/>
      <c r="C23" s="757"/>
      <c r="D23" s="757"/>
      <c r="E23" s="756">
        <v>26000</v>
      </c>
      <c r="F23" s="757"/>
      <c r="G23" s="758"/>
    </row>
    <row r="24" spans="1:7">
      <c r="A24" s="769" t="s">
        <v>171</v>
      </c>
      <c r="B24" s="771"/>
      <c r="C24" s="771"/>
      <c r="D24" s="771"/>
      <c r="E24" s="770">
        <v>26000</v>
      </c>
      <c r="F24" s="771"/>
      <c r="G24" s="772"/>
    </row>
    <row r="25" spans="1:7">
      <c r="A25" s="752" t="s">
        <v>806</v>
      </c>
      <c r="B25" s="753"/>
      <c r="C25" s="753"/>
      <c r="D25" s="753"/>
      <c r="E25" s="753"/>
      <c r="F25" s="753"/>
      <c r="G25" s="754"/>
    </row>
    <row r="26" spans="1:7">
      <c r="A26" s="755">
        <v>6200</v>
      </c>
      <c r="B26" s="757"/>
      <c r="C26" s="757"/>
      <c r="D26" s="757"/>
      <c r="E26" s="756">
        <v>-137286794.30000001</v>
      </c>
      <c r="F26" s="757"/>
      <c r="G26" s="758"/>
    </row>
    <row r="27" spans="1:7">
      <c r="A27" s="755">
        <v>6280</v>
      </c>
      <c r="B27" s="757"/>
      <c r="C27" s="757"/>
      <c r="D27" s="757"/>
      <c r="E27" s="756">
        <v>-137286794.30000001</v>
      </c>
      <c r="F27" s="757"/>
      <c r="G27" s="758"/>
    </row>
    <row r="28" spans="1:7">
      <c r="A28" s="759" t="s">
        <v>680</v>
      </c>
      <c r="B28" s="757"/>
      <c r="C28" s="757"/>
      <c r="D28" s="757"/>
      <c r="E28" s="756">
        <v>-137286794.30000001</v>
      </c>
      <c r="F28" s="757"/>
      <c r="G28" s="758"/>
    </row>
    <row r="29" spans="1:7">
      <c r="A29" s="769" t="s">
        <v>171</v>
      </c>
      <c r="B29" s="771"/>
      <c r="C29" s="771"/>
      <c r="D29" s="771"/>
      <c r="E29" s="770">
        <v>-137286794.30000001</v>
      </c>
      <c r="F29" s="771"/>
      <c r="G29" s="772"/>
    </row>
    <row r="30" spans="1:7" ht="48.75" customHeight="1">
      <c r="A30" s="752" t="s">
        <v>972</v>
      </c>
      <c r="B30" s="753"/>
      <c r="C30" s="753"/>
      <c r="D30" s="753"/>
      <c r="E30" s="753"/>
      <c r="F30" s="753"/>
      <c r="G30" s="754"/>
    </row>
    <row r="31" spans="1:7">
      <c r="A31" s="755">
        <v>6200</v>
      </c>
      <c r="B31" s="757"/>
      <c r="C31" s="757"/>
      <c r="D31" s="757"/>
      <c r="E31" s="756">
        <v>161383554.40000001</v>
      </c>
      <c r="F31" s="757"/>
      <c r="G31" s="758"/>
    </row>
    <row r="32" spans="1:7">
      <c r="A32" s="755">
        <v>6250</v>
      </c>
      <c r="B32" s="757"/>
      <c r="C32" s="757"/>
      <c r="D32" s="757"/>
      <c r="E32" s="756">
        <v>161383554.40000001</v>
      </c>
      <c r="F32" s="757"/>
      <c r="G32" s="758"/>
    </row>
    <row r="33" spans="1:7">
      <c r="A33" s="759" t="s">
        <v>678</v>
      </c>
      <c r="B33" s="757"/>
      <c r="C33" s="757"/>
      <c r="D33" s="757"/>
      <c r="E33" s="756">
        <v>161383554.40000001</v>
      </c>
      <c r="F33" s="757"/>
      <c r="G33" s="758"/>
    </row>
    <row r="34" spans="1:7">
      <c r="A34" s="769" t="s">
        <v>171</v>
      </c>
      <c r="B34" s="771"/>
      <c r="C34" s="771"/>
      <c r="D34" s="771"/>
      <c r="E34" s="770">
        <v>161383554.40000001</v>
      </c>
      <c r="F34" s="771"/>
      <c r="G34" s="772"/>
    </row>
    <row r="35" spans="1:7" ht="21" customHeight="1">
      <c r="A35" s="752" t="s">
        <v>809</v>
      </c>
      <c r="B35" s="753"/>
      <c r="C35" s="753"/>
      <c r="D35" s="753"/>
      <c r="E35" s="753"/>
      <c r="F35" s="753"/>
      <c r="G35" s="754"/>
    </row>
    <row r="36" spans="1:7">
      <c r="A36" s="755">
        <v>6200</v>
      </c>
      <c r="B36" s="757"/>
      <c r="C36" s="757"/>
      <c r="D36" s="757"/>
      <c r="E36" s="756">
        <v>1500</v>
      </c>
      <c r="F36" s="757"/>
      <c r="G36" s="758"/>
    </row>
    <row r="37" spans="1:7">
      <c r="A37" s="755">
        <v>6280</v>
      </c>
      <c r="B37" s="757"/>
      <c r="C37" s="757"/>
      <c r="D37" s="757"/>
      <c r="E37" s="756">
        <v>1500</v>
      </c>
      <c r="F37" s="757"/>
      <c r="G37" s="758"/>
    </row>
    <row r="38" spans="1:7">
      <c r="A38" s="759" t="s">
        <v>680</v>
      </c>
      <c r="B38" s="757"/>
      <c r="C38" s="757"/>
      <c r="D38" s="757"/>
      <c r="E38" s="756">
        <v>1500</v>
      </c>
      <c r="F38" s="757"/>
      <c r="G38" s="758"/>
    </row>
    <row r="39" spans="1:7" ht="13.5" thickBot="1">
      <c r="A39" s="769" t="s">
        <v>171</v>
      </c>
      <c r="B39" s="771"/>
      <c r="C39" s="771"/>
      <c r="D39" s="771"/>
      <c r="E39" s="770">
        <v>1500</v>
      </c>
      <c r="F39" s="771"/>
      <c r="G39" s="772"/>
    </row>
    <row r="40" spans="1:7" ht="13.5" thickBot="1">
      <c r="A40" s="773" t="s">
        <v>171</v>
      </c>
      <c r="B40" s="1150"/>
      <c r="C40" s="775"/>
      <c r="D40" s="776">
        <v>-567309389.63</v>
      </c>
      <c r="E40" s="776">
        <v>-567309389.63</v>
      </c>
      <c r="F40" s="775"/>
      <c r="G40" s="777"/>
    </row>
    <row r="42" spans="1:7" ht="12.75" customHeight="1">
      <c r="E42" s="245">
        <f>E19</f>
        <v>-591433649.73000002</v>
      </c>
      <c r="F42" s="1046" t="s">
        <v>973</v>
      </c>
      <c r="G42" s="1046"/>
    </row>
    <row r="43" spans="1:7">
      <c r="E43" s="245">
        <f>E29</f>
        <v>-137286794.30000001</v>
      </c>
      <c r="F43" s="1046" t="s">
        <v>974</v>
      </c>
    </row>
    <row r="44" spans="1:7">
      <c r="E44" s="245">
        <f>E34</f>
        <v>161383554.40000001</v>
      </c>
      <c r="F44" s="1046" t="s">
        <v>975</v>
      </c>
    </row>
    <row r="45" spans="1:7">
      <c r="E45" s="244">
        <f>E24+E39</f>
        <v>27500</v>
      </c>
    </row>
    <row r="47" spans="1:7">
      <c r="E47" s="245">
        <f>SUM(E42:E46)</f>
        <v>-567309389.63</v>
      </c>
    </row>
    <row r="49" spans="1:7" ht="15">
      <c r="A49" s="744" t="s">
        <v>92</v>
      </c>
      <c r="B49" s="745"/>
      <c r="C49" s="745"/>
      <c r="D49" s="745"/>
      <c r="E49" s="745"/>
      <c r="F49" s="745"/>
      <c r="G49" s="745"/>
    </row>
    <row r="50" spans="1:7">
      <c r="A50" s="746" t="s">
        <v>769</v>
      </c>
      <c r="B50" s="745"/>
      <c r="C50" s="745"/>
      <c r="D50" s="745"/>
      <c r="E50" s="745"/>
      <c r="F50" s="745"/>
      <c r="G50" s="745"/>
    </row>
    <row r="51" spans="1:7">
      <c r="A51" s="1576" t="s">
        <v>976</v>
      </c>
      <c r="B51" s="1576"/>
      <c r="C51" s="1576"/>
      <c r="D51" s="1576"/>
      <c r="E51" s="1576"/>
      <c r="F51" s="1576"/>
      <c r="G51" s="1576"/>
    </row>
    <row r="52" spans="1:7">
      <c r="A52" s="1576" t="s">
        <v>123</v>
      </c>
      <c r="B52" s="1576"/>
      <c r="C52" s="1576"/>
      <c r="D52" s="1576"/>
      <c r="E52" s="1576"/>
      <c r="F52" s="1576"/>
      <c r="G52" s="1576"/>
    </row>
    <row r="53" spans="1:7" ht="13.5" thickBot="1">
      <c r="A53" s="745"/>
      <c r="B53" s="745"/>
      <c r="C53" s="745"/>
      <c r="D53" s="745"/>
      <c r="E53" s="745"/>
      <c r="F53" s="745"/>
      <c r="G53" s="745"/>
    </row>
    <row r="54" spans="1:7">
      <c r="A54" s="747" t="s">
        <v>188</v>
      </c>
      <c r="B54" s="1577" t="s">
        <v>154</v>
      </c>
      <c r="C54" s="1577"/>
      <c r="D54" s="1577" t="s">
        <v>155</v>
      </c>
      <c r="E54" s="1577"/>
      <c r="F54" s="1578" t="s">
        <v>156</v>
      </c>
      <c r="G54" s="1578"/>
    </row>
    <row r="55" spans="1:7" ht="13.5" thickBot="1">
      <c r="A55" s="748"/>
      <c r="B55" s="749" t="s">
        <v>189</v>
      </c>
      <c r="C55" s="749" t="s">
        <v>190</v>
      </c>
      <c r="D55" s="749" t="s">
        <v>189</v>
      </c>
      <c r="E55" s="750" t="s">
        <v>190</v>
      </c>
      <c r="F55" s="749" t="s">
        <v>189</v>
      </c>
      <c r="G55" s="751" t="s">
        <v>190</v>
      </c>
    </row>
    <row r="56" spans="1:7">
      <c r="A56" s="752"/>
      <c r="B56" s="753"/>
      <c r="C56" s="753"/>
      <c r="D56" s="753"/>
      <c r="E56" s="753"/>
      <c r="F56" s="753"/>
      <c r="G56" s="754"/>
    </row>
    <row r="57" spans="1:7">
      <c r="A57" s="755">
        <v>7200</v>
      </c>
      <c r="B57" s="757"/>
      <c r="C57" s="757"/>
      <c r="D57" s="757"/>
      <c r="E57" s="756">
        <v>24214290.82</v>
      </c>
      <c r="F57" s="757"/>
      <c r="G57" s="758"/>
    </row>
    <row r="58" spans="1:7">
      <c r="A58" s="755">
        <v>7210</v>
      </c>
      <c r="B58" s="757"/>
      <c r="C58" s="757"/>
      <c r="D58" s="757"/>
      <c r="E58" s="756">
        <v>24214290.82</v>
      </c>
      <c r="F58" s="757"/>
      <c r="G58" s="758"/>
    </row>
    <row r="59" spans="1:7">
      <c r="A59" s="759" t="s">
        <v>683</v>
      </c>
      <c r="B59" s="757"/>
      <c r="C59" s="757"/>
      <c r="D59" s="757"/>
      <c r="E59" s="756">
        <v>23964290.82</v>
      </c>
      <c r="F59" s="757"/>
      <c r="G59" s="758"/>
    </row>
    <row r="60" spans="1:7">
      <c r="A60" s="755">
        <v>7211</v>
      </c>
      <c r="B60" s="757"/>
      <c r="C60" s="757"/>
      <c r="D60" s="757"/>
      <c r="E60" s="756">
        <v>250000</v>
      </c>
      <c r="F60" s="757"/>
      <c r="G60" s="758"/>
    </row>
    <row r="61" spans="1:7">
      <c r="A61" s="755">
        <v>7400</v>
      </c>
      <c r="B61" s="757"/>
      <c r="C61" s="757"/>
      <c r="D61" s="757"/>
      <c r="E61" s="756">
        <v>181065318.59999999</v>
      </c>
      <c r="F61" s="757"/>
      <c r="G61" s="758"/>
    </row>
    <row r="62" spans="1:7">
      <c r="A62" s="755">
        <v>7430</v>
      </c>
      <c r="B62" s="757"/>
      <c r="C62" s="757"/>
      <c r="D62" s="757"/>
      <c r="E62" s="756">
        <v>181065318.59999999</v>
      </c>
      <c r="F62" s="757"/>
      <c r="G62" s="758"/>
    </row>
    <row r="63" spans="1:7">
      <c r="A63" s="759" t="s">
        <v>692</v>
      </c>
      <c r="B63" s="757"/>
      <c r="C63" s="757"/>
      <c r="D63" s="757"/>
      <c r="E63" s="756">
        <v>128464871.94</v>
      </c>
      <c r="F63" s="757"/>
      <c r="G63" s="758"/>
    </row>
    <row r="64" spans="1:7">
      <c r="A64" s="759" t="s">
        <v>749</v>
      </c>
      <c r="B64" s="757"/>
      <c r="C64" s="757"/>
      <c r="D64" s="757"/>
      <c r="E64" s="756">
        <v>52600446.659999996</v>
      </c>
      <c r="F64" s="757"/>
      <c r="G64" s="758"/>
    </row>
    <row r="65" spans="1:7">
      <c r="A65" s="769" t="s">
        <v>171</v>
      </c>
      <c r="B65" s="771"/>
      <c r="C65" s="771"/>
      <c r="D65" s="771"/>
      <c r="E65" s="770">
        <v>205279609.41999999</v>
      </c>
      <c r="F65" s="771"/>
      <c r="G65" s="772"/>
    </row>
    <row r="66" spans="1:7" ht="24">
      <c r="A66" s="752" t="s">
        <v>977</v>
      </c>
      <c r="B66" s="753"/>
      <c r="C66" s="753"/>
      <c r="D66" s="753"/>
      <c r="E66" s="753"/>
      <c r="F66" s="753"/>
      <c r="G66" s="754"/>
    </row>
    <row r="67" spans="1:7">
      <c r="A67" s="755">
        <v>7100</v>
      </c>
      <c r="B67" s="757"/>
      <c r="C67" s="757"/>
      <c r="D67" s="1153">
        <v>-170000</v>
      </c>
      <c r="E67" s="757"/>
      <c r="F67" s="757"/>
      <c r="G67" s="758"/>
    </row>
    <row r="68" spans="1:7">
      <c r="A68" s="755">
        <v>7110</v>
      </c>
      <c r="B68" s="757"/>
      <c r="C68" s="757"/>
      <c r="D68" s="1153">
        <v>-170000</v>
      </c>
      <c r="E68" s="757"/>
      <c r="F68" s="757"/>
      <c r="G68" s="758"/>
    </row>
    <row r="69" spans="1:7">
      <c r="A69" s="769" t="s">
        <v>171</v>
      </c>
      <c r="B69" s="771"/>
      <c r="C69" s="771"/>
      <c r="D69" s="1154">
        <v>-170000</v>
      </c>
      <c r="E69" s="771"/>
      <c r="F69" s="771"/>
      <c r="G69" s="772"/>
    </row>
    <row r="70" spans="1:7">
      <c r="A70" s="752" t="s">
        <v>847</v>
      </c>
      <c r="B70" s="753"/>
      <c r="C70" s="753"/>
      <c r="D70" s="753"/>
      <c r="E70" s="753"/>
      <c r="F70" s="753"/>
      <c r="G70" s="754"/>
    </row>
    <row r="71" spans="1:7">
      <c r="A71" s="755">
        <v>7400</v>
      </c>
      <c r="B71" s="757"/>
      <c r="C71" s="757"/>
      <c r="D71" s="1153">
        <v>-3300000</v>
      </c>
      <c r="E71" s="757"/>
      <c r="F71" s="757"/>
      <c r="G71" s="758"/>
    </row>
    <row r="72" spans="1:7">
      <c r="A72" s="755">
        <v>7470</v>
      </c>
      <c r="B72" s="757"/>
      <c r="C72" s="757"/>
      <c r="D72" s="1153">
        <v>-3300000</v>
      </c>
      <c r="E72" s="757"/>
      <c r="F72" s="757"/>
      <c r="G72" s="758"/>
    </row>
    <row r="73" spans="1:7">
      <c r="A73" s="759" t="s">
        <v>697</v>
      </c>
      <c r="B73" s="757"/>
      <c r="C73" s="757"/>
      <c r="D73" s="1153">
        <v>-3300000</v>
      </c>
      <c r="E73" s="757"/>
      <c r="F73" s="757"/>
      <c r="G73" s="758"/>
    </row>
    <row r="74" spans="1:7">
      <c r="A74" s="769" t="s">
        <v>171</v>
      </c>
      <c r="B74" s="771"/>
      <c r="C74" s="771"/>
      <c r="D74" s="1154">
        <v>-3300000</v>
      </c>
      <c r="E74" s="771"/>
      <c r="F74" s="771"/>
      <c r="G74" s="772"/>
    </row>
    <row r="75" spans="1:7">
      <c r="A75" s="752" t="s">
        <v>978</v>
      </c>
      <c r="B75" s="753"/>
      <c r="C75" s="753"/>
      <c r="D75" s="753"/>
      <c r="E75" s="753"/>
      <c r="F75" s="753"/>
      <c r="G75" s="754"/>
    </row>
    <row r="76" spans="1:7">
      <c r="A76" s="755">
        <v>7200</v>
      </c>
      <c r="B76" s="757"/>
      <c r="C76" s="757"/>
      <c r="D76" s="756">
        <v>-9005312</v>
      </c>
      <c r="E76" s="757"/>
      <c r="F76" s="757"/>
      <c r="G76" s="758"/>
    </row>
    <row r="77" spans="1:7">
      <c r="A77" s="755">
        <v>7210</v>
      </c>
      <c r="B77" s="757"/>
      <c r="C77" s="757"/>
      <c r="D77" s="756">
        <v>-9005312</v>
      </c>
      <c r="E77" s="757"/>
      <c r="F77" s="757"/>
      <c r="G77" s="758"/>
    </row>
    <row r="78" spans="1:7">
      <c r="A78" s="759" t="s">
        <v>683</v>
      </c>
      <c r="B78" s="757"/>
      <c r="C78" s="757"/>
      <c r="D78" s="756">
        <v>-9005312</v>
      </c>
      <c r="E78" s="757"/>
      <c r="F78" s="757"/>
      <c r="G78" s="758"/>
    </row>
    <row r="79" spans="1:7">
      <c r="A79" s="769" t="s">
        <v>171</v>
      </c>
      <c r="B79" s="771"/>
      <c r="C79" s="771"/>
      <c r="D79" s="770">
        <v>-9005312</v>
      </c>
      <c r="E79" s="771"/>
      <c r="F79" s="771"/>
      <c r="G79" s="772"/>
    </row>
    <row r="80" spans="1:7" ht="24">
      <c r="A80" s="752" t="s">
        <v>979</v>
      </c>
      <c r="B80" s="753"/>
      <c r="C80" s="753"/>
      <c r="D80" s="753"/>
      <c r="E80" s="753"/>
      <c r="F80" s="753"/>
      <c r="G80" s="754"/>
    </row>
    <row r="81" spans="1:7">
      <c r="A81" s="755">
        <v>7100</v>
      </c>
      <c r="B81" s="757"/>
      <c r="C81" s="757"/>
      <c r="D81" s="1153">
        <v>170000</v>
      </c>
      <c r="E81" s="757"/>
      <c r="F81" s="757"/>
      <c r="G81" s="758"/>
    </row>
    <row r="82" spans="1:7">
      <c r="A82" s="755">
        <v>7110</v>
      </c>
      <c r="B82" s="757"/>
      <c r="C82" s="757"/>
      <c r="D82" s="1153">
        <v>170000</v>
      </c>
      <c r="E82" s="757"/>
      <c r="F82" s="757"/>
      <c r="G82" s="758"/>
    </row>
    <row r="83" spans="1:7">
      <c r="A83" s="769" t="s">
        <v>171</v>
      </c>
      <c r="B83" s="771"/>
      <c r="C83" s="771"/>
      <c r="D83" s="1154">
        <v>170000</v>
      </c>
      <c r="E83" s="771"/>
      <c r="F83" s="771"/>
      <c r="G83" s="772"/>
    </row>
    <row r="84" spans="1:7" ht="24">
      <c r="A84" s="752" t="s">
        <v>980</v>
      </c>
      <c r="B84" s="753"/>
      <c r="C84" s="753"/>
      <c r="D84" s="753"/>
      <c r="E84" s="753"/>
      <c r="F84" s="753"/>
      <c r="G84" s="754"/>
    </row>
    <row r="85" spans="1:7">
      <c r="A85" s="755">
        <v>7200</v>
      </c>
      <c r="B85" s="757"/>
      <c r="C85" s="757"/>
      <c r="D85" s="756">
        <v>21740871.82</v>
      </c>
      <c r="E85" s="757"/>
      <c r="F85" s="757"/>
      <c r="G85" s="758"/>
    </row>
    <row r="86" spans="1:7">
      <c r="A86" s="755">
        <v>7210</v>
      </c>
      <c r="B86" s="757"/>
      <c r="C86" s="757"/>
      <c r="D86" s="756">
        <v>21740871.82</v>
      </c>
      <c r="E86" s="757"/>
      <c r="F86" s="757"/>
      <c r="G86" s="758"/>
    </row>
    <row r="87" spans="1:7">
      <c r="A87" s="759" t="s">
        <v>683</v>
      </c>
      <c r="B87" s="757"/>
      <c r="C87" s="757"/>
      <c r="D87" s="756">
        <v>21740871.82</v>
      </c>
      <c r="E87" s="757"/>
      <c r="F87" s="757"/>
      <c r="G87" s="758"/>
    </row>
    <row r="88" spans="1:7">
      <c r="A88" s="769" t="s">
        <v>171</v>
      </c>
      <c r="B88" s="771"/>
      <c r="C88" s="771"/>
      <c r="D88" s="770">
        <v>21740871.82</v>
      </c>
      <c r="E88" s="771"/>
      <c r="F88" s="771"/>
      <c r="G88" s="772"/>
    </row>
    <row r="89" spans="1:7" ht="24">
      <c r="A89" s="752" t="s">
        <v>981</v>
      </c>
      <c r="B89" s="753"/>
      <c r="C89" s="753"/>
      <c r="D89" s="753"/>
      <c r="E89" s="753"/>
      <c r="F89" s="753"/>
      <c r="G89" s="754"/>
    </row>
    <row r="90" spans="1:7">
      <c r="A90" s="755">
        <v>7400</v>
      </c>
      <c r="B90" s="757"/>
      <c r="C90" s="757"/>
      <c r="D90" s="1153">
        <v>3300000</v>
      </c>
      <c r="E90" s="757"/>
      <c r="F90" s="757"/>
      <c r="G90" s="758"/>
    </row>
    <row r="91" spans="1:7">
      <c r="A91" s="755">
        <v>7470</v>
      </c>
      <c r="B91" s="757"/>
      <c r="C91" s="757"/>
      <c r="D91" s="1153">
        <v>3300000</v>
      </c>
      <c r="E91" s="757"/>
      <c r="F91" s="757"/>
      <c r="G91" s="758"/>
    </row>
    <row r="92" spans="1:7">
      <c r="A92" s="759" t="s">
        <v>697</v>
      </c>
      <c r="B92" s="757"/>
      <c r="C92" s="757"/>
      <c r="D92" s="1153">
        <v>3300000</v>
      </c>
      <c r="E92" s="757"/>
      <c r="F92" s="757"/>
      <c r="G92" s="758"/>
    </row>
    <row r="93" spans="1:7">
      <c r="A93" s="769" t="s">
        <v>171</v>
      </c>
      <c r="B93" s="771"/>
      <c r="C93" s="771"/>
      <c r="D93" s="1154">
        <v>3300000</v>
      </c>
      <c r="E93" s="771"/>
      <c r="F93" s="771"/>
      <c r="G93" s="772"/>
    </row>
    <row r="94" spans="1:7" ht="36">
      <c r="A94" s="752" t="s">
        <v>693</v>
      </c>
      <c r="B94" s="753"/>
      <c r="C94" s="753"/>
      <c r="D94" s="753"/>
      <c r="E94" s="753"/>
      <c r="F94" s="753"/>
      <c r="G94" s="754"/>
    </row>
    <row r="95" spans="1:7">
      <c r="A95" s="755">
        <v>7400</v>
      </c>
      <c r="B95" s="757"/>
      <c r="C95" s="757"/>
      <c r="D95" s="756">
        <v>128464871.94</v>
      </c>
      <c r="E95" s="757"/>
      <c r="F95" s="757"/>
      <c r="G95" s="758"/>
    </row>
    <row r="96" spans="1:7">
      <c r="A96" s="755">
        <v>7430</v>
      </c>
      <c r="B96" s="757"/>
      <c r="C96" s="757"/>
      <c r="D96" s="756">
        <v>128464871.94</v>
      </c>
      <c r="E96" s="757"/>
      <c r="F96" s="757"/>
      <c r="G96" s="758"/>
    </row>
    <row r="97" spans="1:7">
      <c r="A97" s="759" t="s">
        <v>692</v>
      </c>
      <c r="B97" s="757"/>
      <c r="C97" s="757"/>
      <c r="D97" s="756">
        <v>128464871.94</v>
      </c>
      <c r="E97" s="757"/>
      <c r="F97" s="757"/>
      <c r="G97" s="758"/>
    </row>
    <row r="98" spans="1:7">
      <c r="A98" s="769" t="s">
        <v>171</v>
      </c>
      <c r="B98" s="771"/>
      <c r="C98" s="771"/>
      <c r="D98" s="770">
        <v>128464871.94</v>
      </c>
      <c r="E98" s="771"/>
      <c r="F98" s="771"/>
      <c r="G98" s="772"/>
    </row>
    <row r="99" spans="1:7">
      <c r="A99" s="752" t="s">
        <v>982</v>
      </c>
      <c r="B99" s="753"/>
      <c r="C99" s="753"/>
      <c r="D99" s="753"/>
      <c r="E99" s="753"/>
      <c r="F99" s="753"/>
      <c r="G99" s="754"/>
    </row>
    <row r="100" spans="1:7">
      <c r="A100" s="755">
        <v>7200</v>
      </c>
      <c r="B100" s="757"/>
      <c r="C100" s="757"/>
      <c r="D100" s="756">
        <v>36000</v>
      </c>
      <c r="E100" s="757"/>
      <c r="F100" s="757"/>
      <c r="G100" s="758"/>
    </row>
    <row r="101" spans="1:7">
      <c r="A101" s="755">
        <v>7210</v>
      </c>
      <c r="B101" s="757"/>
      <c r="C101" s="757"/>
      <c r="D101" s="756">
        <v>36000</v>
      </c>
      <c r="E101" s="757"/>
      <c r="F101" s="757"/>
      <c r="G101" s="758"/>
    </row>
    <row r="102" spans="1:7">
      <c r="A102" s="759" t="s">
        <v>683</v>
      </c>
      <c r="B102" s="757"/>
      <c r="C102" s="757"/>
      <c r="D102" s="756">
        <v>36000</v>
      </c>
      <c r="E102" s="757"/>
      <c r="F102" s="757"/>
      <c r="G102" s="758"/>
    </row>
    <row r="103" spans="1:7">
      <c r="A103" s="769" t="s">
        <v>171</v>
      </c>
      <c r="B103" s="771"/>
      <c r="C103" s="771"/>
      <c r="D103" s="770">
        <v>36000</v>
      </c>
      <c r="E103" s="771"/>
      <c r="F103" s="771"/>
      <c r="G103" s="772"/>
    </row>
    <row r="104" spans="1:7" ht="24">
      <c r="A104" s="752" t="s">
        <v>832</v>
      </c>
      <c r="B104" s="753"/>
      <c r="C104" s="753"/>
      <c r="D104" s="753"/>
      <c r="E104" s="753"/>
      <c r="F104" s="753"/>
      <c r="G104" s="754"/>
    </row>
    <row r="105" spans="1:7">
      <c r="A105" s="755">
        <v>7200</v>
      </c>
      <c r="B105" s="757"/>
      <c r="C105" s="757"/>
      <c r="D105" s="756">
        <v>260731</v>
      </c>
      <c r="E105" s="757"/>
      <c r="F105" s="757"/>
      <c r="G105" s="758"/>
    </row>
    <row r="106" spans="1:7">
      <c r="A106" s="755">
        <v>7210</v>
      </c>
      <c r="B106" s="757"/>
      <c r="C106" s="757"/>
      <c r="D106" s="756">
        <v>260731</v>
      </c>
      <c r="E106" s="757"/>
      <c r="F106" s="757"/>
      <c r="G106" s="758"/>
    </row>
    <row r="107" spans="1:7">
      <c r="A107" s="759" t="s">
        <v>683</v>
      </c>
      <c r="B107" s="757"/>
      <c r="C107" s="757"/>
      <c r="D107" s="756">
        <v>260731</v>
      </c>
      <c r="E107" s="757"/>
      <c r="F107" s="757"/>
      <c r="G107" s="758"/>
    </row>
    <row r="108" spans="1:7">
      <c r="A108" s="769" t="s">
        <v>171</v>
      </c>
      <c r="B108" s="771"/>
      <c r="C108" s="771"/>
      <c r="D108" s="770">
        <v>260731</v>
      </c>
      <c r="E108" s="771"/>
      <c r="F108" s="771"/>
      <c r="G108" s="772"/>
    </row>
    <row r="109" spans="1:7" ht="24">
      <c r="A109" s="752" t="s">
        <v>771</v>
      </c>
      <c r="B109" s="753"/>
      <c r="C109" s="753"/>
      <c r="D109" s="753"/>
      <c r="E109" s="753"/>
      <c r="F109" s="753"/>
      <c r="G109" s="754"/>
    </row>
    <row r="110" spans="1:7">
      <c r="A110" s="755">
        <v>7200</v>
      </c>
      <c r="B110" s="757"/>
      <c r="C110" s="757"/>
      <c r="D110" s="756">
        <v>11182000</v>
      </c>
      <c r="E110" s="757"/>
      <c r="F110" s="757"/>
      <c r="G110" s="758"/>
    </row>
    <row r="111" spans="1:7">
      <c r="A111" s="755">
        <v>7210</v>
      </c>
      <c r="B111" s="757"/>
      <c r="C111" s="757"/>
      <c r="D111" s="756">
        <v>11182000</v>
      </c>
      <c r="E111" s="757"/>
      <c r="F111" s="757"/>
      <c r="G111" s="758"/>
    </row>
    <row r="112" spans="1:7">
      <c r="A112" s="759" t="s">
        <v>683</v>
      </c>
      <c r="B112" s="757"/>
      <c r="C112" s="757"/>
      <c r="D112" s="756">
        <v>10932000</v>
      </c>
      <c r="E112" s="757"/>
      <c r="F112" s="757"/>
      <c r="G112" s="758"/>
    </row>
    <row r="113" spans="1:7">
      <c r="A113" s="755">
        <v>7211</v>
      </c>
      <c r="B113" s="757"/>
      <c r="C113" s="757"/>
      <c r="D113" s="756">
        <v>250000</v>
      </c>
      <c r="E113" s="757"/>
      <c r="F113" s="757"/>
      <c r="G113" s="758"/>
    </row>
    <row r="114" spans="1:7">
      <c r="A114" s="769" t="s">
        <v>171</v>
      </c>
      <c r="B114" s="771"/>
      <c r="C114" s="771"/>
      <c r="D114" s="770">
        <v>11182000</v>
      </c>
      <c r="E114" s="771"/>
      <c r="F114" s="771"/>
      <c r="G114" s="772"/>
    </row>
    <row r="115" spans="1:7" ht="36">
      <c r="A115" s="752" t="s">
        <v>750</v>
      </c>
      <c r="B115" s="753"/>
      <c r="C115" s="753"/>
      <c r="D115" s="753"/>
      <c r="E115" s="753"/>
      <c r="F115" s="753"/>
      <c r="G115" s="754"/>
    </row>
    <row r="116" spans="1:7">
      <c r="A116" s="755">
        <v>7400</v>
      </c>
      <c r="B116" s="757"/>
      <c r="C116" s="757"/>
      <c r="D116" s="756">
        <v>52600446.659999996</v>
      </c>
      <c r="E116" s="757"/>
      <c r="F116" s="757"/>
      <c r="G116" s="758"/>
    </row>
    <row r="117" spans="1:7">
      <c r="A117" s="755">
        <v>7430</v>
      </c>
      <c r="B117" s="757"/>
      <c r="C117" s="757"/>
      <c r="D117" s="756">
        <v>52600446.659999996</v>
      </c>
      <c r="E117" s="757"/>
      <c r="F117" s="757"/>
      <c r="G117" s="758"/>
    </row>
    <row r="118" spans="1:7">
      <c r="A118" s="759" t="s">
        <v>749</v>
      </c>
      <c r="B118" s="757"/>
      <c r="C118" s="757"/>
      <c r="D118" s="756">
        <v>52600446.659999996</v>
      </c>
      <c r="E118" s="757"/>
      <c r="F118" s="757"/>
      <c r="G118" s="758"/>
    </row>
    <row r="119" spans="1:7">
      <c r="A119" s="769" t="s">
        <v>171</v>
      </c>
      <c r="B119" s="771"/>
      <c r="C119" s="771"/>
      <c r="D119" s="770">
        <v>52600446.659999996</v>
      </c>
      <c r="E119" s="771"/>
      <c r="F119" s="771"/>
      <c r="G119" s="772"/>
    </row>
    <row r="120" spans="1:7" ht="24">
      <c r="A120" s="752" t="s">
        <v>983</v>
      </c>
      <c r="B120" s="753"/>
      <c r="C120" s="753"/>
      <c r="D120" s="753"/>
      <c r="E120" s="753"/>
      <c r="F120" s="753"/>
      <c r="G120" s="754"/>
    </row>
    <row r="121" spans="1:7">
      <c r="A121" s="755">
        <v>1600</v>
      </c>
      <c r="B121" s="756">
        <v>5609215.5099999998</v>
      </c>
      <c r="C121" s="757"/>
      <c r="D121" s="757"/>
      <c r="E121" s="757"/>
      <c r="F121" s="756">
        <v>5609215.5099999998</v>
      </c>
      <c r="G121" s="758"/>
    </row>
    <row r="122" spans="1:7">
      <c r="A122" s="755">
        <v>1620</v>
      </c>
      <c r="B122" s="756">
        <v>5609215.5099999998</v>
      </c>
      <c r="C122" s="757"/>
      <c r="D122" s="757"/>
      <c r="E122" s="757"/>
      <c r="F122" s="756">
        <v>5609215.5099999998</v>
      </c>
      <c r="G122" s="758"/>
    </row>
    <row r="123" spans="1:7">
      <c r="A123" s="759" t="s">
        <v>252</v>
      </c>
      <c r="B123" s="756">
        <v>5609215.5099999998</v>
      </c>
      <c r="C123" s="757"/>
      <c r="D123" s="757"/>
      <c r="E123" s="757"/>
      <c r="F123" s="756">
        <v>5609215.5099999998</v>
      </c>
      <c r="G123" s="758"/>
    </row>
    <row r="124" spans="1:7">
      <c r="A124" s="769" t="s">
        <v>171</v>
      </c>
      <c r="B124" s="770">
        <v>5609215.5099999998</v>
      </c>
      <c r="C124" s="771"/>
      <c r="D124" s="771"/>
      <c r="E124" s="771"/>
      <c r="F124" s="770">
        <v>5609215.5099999998</v>
      </c>
      <c r="G124" s="772"/>
    </row>
    <row r="125" spans="1:7">
      <c r="A125" s="752" t="s">
        <v>984</v>
      </c>
      <c r="B125" s="753"/>
      <c r="C125" s="753"/>
      <c r="D125" s="753"/>
      <c r="E125" s="753"/>
      <c r="F125" s="753"/>
      <c r="G125" s="754"/>
    </row>
    <row r="126" spans="1:7">
      <c r="A126" s="755">
        <v>1600</v>
      </c>
      <c r="B126" s="756">
        <v>-5609215.5099999998</v>
      </c>
      <c r="C126" s="757"/>
      <c r="D126" s="757"/>
      <c r="E126" s="757"/>
      <c r="F126" s="756">
        <v>-5609215.5099999998</v>
      </c>
      <c r="G126" s="758"/>
    </row>
    <row r="127" spans="1:7">
      <c r="A127" s="755">
        <v>1620</v>
      </c>
      <c r="B127" s="756">
        <v>-5609215.5099999998</v>
      </c>
      <c r="C127" s="757"/>
      <c r="D127" s="757"/>
      <c r="E127" s="757"/>
      <c r="F127" s="756">
        <v>-5609215.5099999998</v>
      </c>
      <c r="G127" s="758"/>
    </row>
    <row r="128" spans="1:7">
      <c r="A128" s="759" t="s">
        <v>252</v>
      </c>
      <c r="B128" s="756">
        <v>-5609215.5099999998</v>
      </c>
      <c r="C128" s="757"/>
      <c r="D128" s="757"/>
      <c r="E128" s="757"/>
      <c r="F128" s="756">
        <v>-5609215.5099999998</v>
      </c>
      <c r="G128" s="758"/>
    </row>
    <row r="129" spans="1:7" ht="13.5" thickBot="1">
      <c r="A129" s="769" t="s">
        <v>171</v>
      </c>
      <c r="B129" s="771"/>
      <c r="C129" s="770">
        <v>5609215.5099999998</v>
      </c>
      <c r="D129" s="771"/>
      <c r="E129" s="771"/>
      <c r="F129" s="771"/>
      <c r="G129" s="1151">
        <v>5609215.5099999998</v>
      </c>
    </row>
    <row r="130" spans="1:7" ht="13.5" thickBot="1">
      <c r="A130" s="773" t="s">
        <v>171</v>
      </c>
      <c r="B130" s="1150"/>
      <c r="C130" s="776">
        <v>55132615.539999999</v>
      </c>
      <c r="D130" s="776">
        <v>205279609.41999999</v>
      </c>
      <c r="E130" s="776">
        <v>205279609.41999999</v>
      </c>
      <c r="F130" s="775"/>
      <c r="G130" s="1152">
        <v>55132615.539999999</v>
      </c>
    </row>
    <row r="132" spans="1:7">
      <c r="E132" s="245">
        <f>-D79</f>
        <v>9005312</v>
      </c>
      <c r="F132" s="1046" t="s">
        <v>985</v>
      </c>
    </row>
    <row r="133" spans="1:7">
      <c r="E133" s="245">
        <f>-D88</f>
        <v>-21740871.82</v>
      </c>
      <c r="F133" s="1046" t="s">
        <v>986</v>
      </c>
    </row>
    <row r="134" spans="1:7">
      <c r="E134" s="244">
        <f>-D98</f>
        <v>-128464871.94</v>
      </c>
      <c r="F134" s="1046" t="s">
        <v>975</v>
      </c>
    </row>
    <row r="135" spans="1:7">
      <c r="E135" s="244">
        <f>-D114-D108-D103</f>
        <v>-11478731</v>
      </c>
      <c r="F135" s="1046" t="s">
        <v>987</v>
      </c>
    </row>
    <row r="137" spans="1:7">
      <c r="E137" s="245">
        <f>SUM(E132:E136)</f>
        <v>-152679162.75999999</v>
      </c>
    </row>
  </sheetData>
  <mergeCells count="10">
    <mergeCell ref="A51:G51"/>
    <mergeCell ref="A52:G52"/>
    <mergeCell ref="B54:C54"/>
    <mergeCell ref="D54:E54"/>
    <mergeCell ref="F54:G54"/>
    <mergeCell ref="A3:G3"/>
    <mergeCell ref="A4:G4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5610</vt:lpstr>
      <vt:lpstr>Баланс </vt:lpstr>
      <vt:lpstr>ОПУ</vt:lpstr>
      <vt:lpstr>ОДД </vt:lpstr>
      <vt:lpstr>СК</vt:lpstr>
      <vt:lpstr>ОДД прямой</vt:lpstr>
      <vt:lpstr>ОДД</vt:lpstr>
      <vt:lpstr>курсовая</vt:lpstr>
      <vt:lpstr>разницы</vt:lpstr>
      <vt:lpstr>пр расх</vt:lpstr>
      <vt:lpstr>пр дох</vt:lpstr>
      <vt:lpstr>Коррек текущего периода</vt:lpstr>
      <vt:lpstr>Элим дох расх</vt:lpstr>
      <vt:lpstr>Элиминир ДЗ и КЗ</vt:lpstr>
      <vt:lpstr>облигации</vt:lpstr>
      <vt:lpstr>РБП Бонды</vt:lpstr>
      <vt:lpstr>Переоценка</vt:lpstr>
      <vt:lpstr>Резервы</vt:lpstr>
      <vt:lpstr>Курсовая Ташкент</vt:lpstr>
      <vt:lpstr>ОБЛИГАЦИИ 7 вып</vt:lpstr>
      <vt:lpstr>зачет</vt:lpstr>
      <vt:lpstr>'Баланс '!Область_печати</vt:lpstr>
      <vt:lpstr>ОПУ!Область_печати</vt:lpstr>
      <vt:lpstr>СК!Область_печати</vt:lpstr>
      <vt:lpstr>'Элим дох расх'!Область_печати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svetlana.legotkina</cp:lastModifiedBy>
  <cp:lastPrinted>2016-05-12T03:24:27Z</cp:lastPrinted>
  <dcterms:created xsi:type="dcterms:W3CDTF">1996-10-08T23:32:33Z</dcterms:created>
  <dcterms:modified xsi:type="dcterms:W3CDTF">2016-08-08T11:57:11Z</dcterms:modified>
</cp:coreProperties>
</file>