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20" windowWidth="13290" windowHeight="11715" activeTab="1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  <externalReference r:id="rId7"/>
  </externalReferences>
  <definedNames>
    <definedName name="_xlnm.Print_Area" localSheetId="0">бб!$A$1:$D$103</definedName>
    <definedName name="_xlnm.Print_Area" localSheetId="1">ф2!$A$1:$G$65</definedName>
    <definedName name="_xlnm.Print_Area" localSheetId="2">'ф3 прямой'!$A$1:$D$77</definedName>
    <definedName name="_xlnm.Print_Area" localSheetId="3">ф4!$A$1:$I$59</definedName>
  </definedNames>
  <calcPr calcId="145621"/>
</workbook>
</file>

<file path=xl/calcChain.xml><?xml version="1.0" encoding="utf-8"?>
<calcChain xmlns="http://schemas.openxmlformats.org/spreadsheetml/2006/main">
  <c r="C27" i="10" l="1"/>
  <c r="C69" i="11" l="1"/>
  <c r="C32" i="11"/>
  <c r="Q51" i="3" l="1"/>
  <c r="Q40" i="3"/>
  <c r="C31" i="11"/>
  <c r="C40" i="10" l="1"/>
  <c r="C73" i="4"/>
  <c r="C66" i="4"/>
  <c r="C31" i="10" l="1"/>
  <c r="G47" i="3" l="1"/>
  <c r="I47" i="3"/>
  <c r="F51" i="3"/>
  <c r="D51" i="3"/>
  <c r="D47" i="3"/>
  <c r="G44" i="3"/>
  <c r="H47" i="3"/>
  <c r="I45" i="3"/>
  <c r="D44" i="3"/>
  <c r="E41" i="3"/>
  <c r="G39" i="10"/>
  <c r="G40" i="10"/>
  <c r="G31" i="10"/>
  <c r="F25" i="10"/>
  <c r="G25" i="10"/>
  <c r="E57" i="10"/>
  <c r="E54" i="10"/>
  <c r="E55" i="10"/>
  <c r="E52" i="10"/>
  <c r="E41" i="10"/>
  <c r="E39" i="10"/>
  <c r="E37" i="10"/>
  <c r="E35" i="10"/>
  <c r="E27" i="10"/>
  <c r="E53" i="3" l="1"/>
  <c r="C74" i="11"/>
  <c r="C59" i="10"/>
  <c r="D24" i="10" l="1"/>
  <c r="D26" i="10"/>
  <c r="D27" i="10"/>
  <c r="D28" i="10"/>
  <c r="D29" i="10"/>
  <c r="D30" i="10"/>
  <c r="D31" i="10"/>
  <c r="D32" i="10"/>
  <c r="D34" i="10"/>
  <c r="D36" i="10"/>
  <c r="D38" i="10"/>
  <c r="D40" i="10"/>
  <c r="D42" i="10"/>
  <c r="D43" i="10"/>
  <c r="D44" i="10"/>
  <c r="D45" i="10"/>
  <c r="D46" i="10"/>
  <c r="D47" i="10"/>
  <c r="D48" i="10"/>
  <c r="D49" i="10"/>
  <c r="D50" i="10"/>
  <c r="D51" i="10"/>
  <c r="D53" i="10"/>
  <c r="D56" i="10"/>
  <c r="D23" i="10"/>
  <c r="C25" i="11" l="1"/>
  <c r="D89" i="4" l="1"/>
  <c r="D84" i="4" l="1"/>
  <c r="H46" i="3" l="1"/>
  <c r="F46" i="3"/>
  <c r="E45" i="3"/>
  <c r="G38" i="3"/>
  <c r="D59" i="11"/>
  <c r="D25" i="11"/>
  <c r="E25" i="10"/>
  <c r="E33" i="10" s="1"/>
  <c r="G33" i="10"/>
  <c r="G34" i="10"/>
  <c r="G38" i="10"/>
  <c r="D16" i="11" l="1"/>
  <c r="D42" i="4" l="1"/>
  <c r="H25" i="3" l="1"/>
  <c r="H23" i="3" s="1"/>
  <c r="G40" i="3" l="1"/>
  <c r="F40" i="3"/>
  <c r="E40" i="3"/>
  <c r="I38" i="3"/>
  <c r="I40" i="3" s="1"/>
  <c r="D18" i="11"/>
  <c r="F40" i="10"/>
  <c r="F36" i="10"/>
  <c r="K36" i="10" s="1"/>
  <c r="F31" i="10"/>
  <c r="K31" i="10" s="1"/>
  <c r="F30" i="10"/>
  <c r="K30" i="10" s="1"/>
  <c r="F29" i="10"/>
  <c r="K29" i="10" s="1"/>
  <c r="F28" i="10"/>
  <c r="K28" i="10" s="1"/>
  <c r="F27" i="10"/>
  <c r="K27" i="10" s="1"/>
  <c r="F26" i="10"/>
  <c r="K26" i="10" s="1"/>
  <c r="F24" i="10"/>
  <c r="K24" i="10" s="1"/>
  <c r="F23" i="10"/>
  <c r="G55" i="10"/>
  <c r="K23" i="10" l="1"/>
  <c r="E47" i="3"/>
  <c r="E51" i="3" s="1"/>
  <c r="F55" i="10"/>
  <c r="K40" i="10"/>
  <c r="H51" i="3" l="1"/>
  <c r="C55" i="10" l="1"/>
  <c r="C91" i="4"/>
  <c r="D55" i="10" l="1"/>
  <c r="H31" i="3"/>
  <c r="K55" i="10"/>
  <c r="F41" i="3"/>
  <c r="D53" i="11"/>
  <c r="D66" i="11" s="1"/>
  <c r="D35" i="11"/>
  <c r="D43" i="11"/>
  <c r="D33" i="11"/>
  <c r="I44" i="3" l="1"/>
  <c r="F45" i="3"/>
  <c r="F47" i="3" s="1"/>
  <c r="D51" i="11"/>
  <c r="D67" i="11"/>
  <c r="D71" i="11" s="1"/>
  <c r="C61" i="4" l="1"/>
  <c r="C68" i="4" l="1"/>
  <c r="C38" i="4" l="1"/>
  <c r="C53" i="4" l="1"/>
  <c r="C55" i="4" s="1"/>
  <c r="I36" i="10" l="1"/>
  <c r="I31" i="10"/>
  <c r="I29" i="10"/>
  <c r="I28" i="10"/>
  <c r="I27" i="10"/>
  <c r="I26" i="10"/>
  <c r="I24" i="10"/>
  <c r="I30" i="10" l="1"/>
  <c r="C79" i="4"/>
  <c r="C92" i="4" s="1"/>
  <c r="C94" i="4" s="1"/>
  <c r="G30" i="3"/>
  <c r="I30" i="3" s="1"/>
  <c r="I23" i="10"/>
  <c r="E97" i="4" l="1"/>
  <c r="C16" i="11" l="1"/>
  <c r="C18" i="11" l="1"/>
  <c r="C43" i="11"/>
  <c r="C59" i="11"/>
  <c r="H29" i="3"/>
  <c r="H32" i="3" s="1"/>
  <c r="H36" i="3" s="1"/>
  <c r="G27" i="3"/>
  <c r="C25" i="10"/>
  <c r="C33" i="10" s="1"/>
  <c r="C48" i="10"/>
  <c r="C35" i="11"/>
  <c r="C53" i="11"/>
  <c r="G33" i="3"/>
  <c r="I33" i="3"/>
  <c r="G24" i="3"/>
  <c r="I24" i="3" s="1"/>
  <c r="G34" i="3"/>
  <c r="I34" i="3"/>
  <c r="G35" i="3"/>
  <c r="I35" i="3" s="1"/>
  <c r="A53" i="3"/>
  <c r="A56" i="3"/>
  <c r="A74" i="11"/>
  <c r="C73" i="11"/>
  <c r="A77" i="11"/>
  <c r="A59" i="10"/>
  <c r="A61" i="10"/>
  <c r="D33" i="10" l="1"/>
  <c r="D25" i="10"/>
  <c r="K25" i="10"/>
  <c r="O37" i="3"/>
  <c r="R36" i="3"/>
  <c r="I25" i="10"/>
  <c r="I27" i="3"/>
  <c r="C51" i="11"/>
  <c r="C33" i="11"/>
  <c r="C66" i="11"/>
  <c r="C67" i="11" l="1"/>
  <c r="C35" i="10"/>
  <c r="D35" i="10" s="1"/>
  <c r="C37" i="10" l="1"/>
  <c r="D37" i="10" l="1"/>
  <c r="C39" i="10"/>
  <c r="D39" i="10" s="1"/>
  <c r="C54" i="10" l="1"/>
  <c r="D54" i="10" s="1"/>
  <c r="F31" i="3"/>
  <c r="C57" i="10"/>
  <c r="D57" i="10" s="1"/>
  <c r="C41" i="10"/>
  <c r="D41" i="10" s="1"/>
  <c r="G31" i="3" l="1"/>
  <c r="I31" i="3" l="1"/>
  <c r="C52" i="10" l="1"/>
  <c r="D52" i="10" s="1"/>
  <c r="D76" i="4" l="1"/>
  <c r="D44" i="4"/>
  <c r="D41" i="4"/>
  <c r="D25" i="3"/>
  <c r="D82" i="4"/>
  <c r="D78" i="4"/>
  <c r="D72" i="4"/>
  <c r="D32" i="4"/>
  <c r="D86" i="4" l="1"/>
  <c r="D53" i="4"/>
  <c r="F65" i="4"/>
  <c r="E25" i="3"/>
  <c r="E29" i="3"/>
  <c r="E32" i="3" s="1"/>
  <c r="E26" i="3"/>
  <c r="D23" i="3"/>
  <c r="D36" i="3"/>
  <c r="L37" i="3" s="1"/>
  <c r="C70" i="11"/>
  <c r="C71" i="11" s="1"/>
  <c r="E71" i="11" s="1"/>
  <c r="D85" i="4"/>
  <c r="D77" i="4"/>
  <c r="D61" i="4" l="1"/>
  <c r="E23" i="3"/>
  <c r="E36" i="3"/>
  <c r="F25" i="3"/>
  <c r="F66" i="4"/>
  <c r="H66" i="4" s="1"/>
  <c r="D38" i="4"/>
  <c r="D55" i="4" s="1"/>
  <c r="D79" i="4"/>
  <c r="D91" i="4"/>
  <c r="F26" i="3"/>
  <c r="F29" i="3" s="1"/>
  <c r="F32" i="3" s="1"/>
  <c r="G26" i="3" l="1"/>
  <c r="G29" i="3" s="1"/>
  <c r="D92" i="4"/>
  <c r="J36" i="3"/>
  <c r="M37" i="3"/>
  <c r="C25" i="3"/>
  <c r="D68" i="4"/>
  <c r="F23" i="3"/>
  <c r="F36" i="3"/>
  <c r="N37" i="3" s="1"/>
  <c r="I26" i="3" l="1"/>
  <c r="D94" i="4"/>
  <c r="I29" i="3"/>
  <c r="I32" i="3" s="1"/>
  <c r="G32" i="3"/>
  <c r="C23" i="3"/>
  <c r="G23" i="3" s="1"/>
  <c r="I23" i="3" s="1"/>
  <c r="C36" i="3"/>
  <c r="K37" i="3" s="1"/>
  <c r="G25" i="3"/>
  <c r="I25" i="3" s="1"/>
  <c r="I36" i="3" l="1"/>
  <c r="P37" i="3" s="1"/>
  <c r="F97" i="4"/>
  <c r="I97" i="4"/>
  <c r="G36" i="3"/>
  <c r="Q36" i="3"/>
  <c r="F34" i="10"/>
  <c r="F38" i="10"/>
  <c r="F32" i="10"/>
  <c r="F33" i="10" s="1"/>
  <c r="K33" i="10" s="1"/>
  <c r="G35" i="10"/>
  <c r="I35" i="10" s="1"/>
  <c r="I33" i="10"/>
  <c r="G37" i="10" l="1"/>
  <c r="I37" i="10" s="1"/>
  <c r="F35" i="10"/>
  <c r="G41" i="10"/>
  <c r="I41" i="10" s="1"/>
  <c r="K35" i="10" l="1"/>
  <c r="F37" i="10"/>
  <c r="G52" i="10"/>
  <c r="I52" i="10" s="1"/>
  <c r="G54" i="10"/>
  <c r="G57" i="10" s="1"/>
  <c r="I57" i="10" s="1"/>
  <c r="I39" i="10"/>
  <c r="F39" i="10" l="1"/>
  <c r="K37" i="10"/>
  <c r="I54" i="10"/>
  <c r="F41" i="10" l="1"/>
  <c r="F54" i="10"/>
  <c r="K39" i="10"/>
  <c r="K54" i="10" l="1"/>
  <c r="F57" i="10"/>
  <c r="K57" i="10" s="1"/>
  <c r="K41" i="10"/>
  <c r="F52" i="10"/>
  <c r="K52" i="10" s="1"/>
  <c r="G46" i="3" l="1"/>
  <c r="G51" i="3" l="1"/>
  <c r="I46" i="3"/>
  <c r="I51" i="3" l="1"/>
</calcChain>
</file>

<file path=xl/sharedStrings.xml><?xml version="1.0" encoding="utf-8"?>
<sst xmlns="http://schemas.openxmlformats.org/spreadsheetml/2006/main" count="359" uniqueCount="235">
  <si>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</si>
  <si>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</si>
  <si>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</si>
  <si>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</si>
  <si>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</si>
  <si>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</si>
  <si>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</si>
  <si>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</si>
  <si>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</si>
  <si>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</si>
  <si>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</si>
  <si>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</si>
  <si>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</si>
  <si>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</si>
  <si>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</si>
  <si>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</si>
  <si>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</si>
  <si>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</si>
  <si>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</si>
  <si>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</si>
  <si>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</si>
  <si>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</si>
  <si>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</si>
  <si>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</si>
  <si>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</si>
  <si>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</si>
  <si>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</si>
  <si>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</si>
  <si>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</si>
  <si>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</si>
  <si>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</si>
  <si>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</si>
  <si>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</si>
  <si>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</si>
  <si>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</si>
  <si>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</si>
  <si>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</si>
  <si>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</si>
  <si>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</si>
  <si>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</si>
  <si>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</si>
  <si>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</si>
  <si>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</si>
  <si>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</si>
  <si>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</si>
  <si>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</si>
  <si>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</si>
  <si>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</si>
  <si>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</si>
  <si>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</si>
  <si>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</si>
  <si>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</si>
  <si>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</si>
  <si>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</si>
  <si>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</si>
  <si>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</si>
  <si>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</si>
  <si>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</si>
  <si>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</si>
  <si>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</si>
  <si>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</si>
  <si>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</si>
  <si>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</si>
  <si>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</si>
  <si>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</si>
  <si>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</si>
  <si>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</si>
  <si>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</si>
  <si>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Пересчитанное сальдо (стр.110+/-стр.120)</t>
  </si>
  <si>
    <t>Прибыль/убыток, признанная/ай непосредственно в самом капитале (стр.131+/-стр.132+/-стр.133)</t>
  </si>
  <si>
    <t>Всего прибыль/убыток за период (стр.140+/-стр.150)</t>
  </si>
  <si>
    <t>(Форма 4)</t>
  </si>
  <si>
    <t>(прямой метод)</t>
  </si>
  <si>
    <t>(Форма 3)</t>
  </si>
  <si>
    <t>(Форма 2)</t>
  </si>
  <si>
    <t>Доходы от финансирования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</si>
  <si>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</si>
  <si>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</si>
  <si>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</si>
  <si>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</si>
  <si>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</si>
  <si>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</si>
  <si>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</si>
  <si>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</si>
  <si>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</si>
  <si>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</si>
  <si>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</si>
  <si>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</si>
  <si>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</si>
  <si>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</si>
  <si>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</si>
  <si>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</si>
  <si>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</si>
  <si>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</si>
  <si>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</si>
  <si>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</si>
  <si>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</si>
  <si>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</si>
  <si>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</si>
  <si>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</si>
  <si>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</si>
  <si>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</si>
  <si>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</si>
  <si>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</si>
  <si>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</si>
  <si>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</si>
  <si>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</si>
  <si>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</si>
  <si>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</si>
  <si>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</si>
  <si>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</si>
  <si>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</si>
  <si>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</si>
  <si>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</si>
  <si>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</si>
  <si>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</si>
  <si>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</si>
  <si>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</si>
  <si>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 xml:space="preserve">Изменения в учетной политике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</si>
  <si>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</si>
  <si>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</si>
  <si>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</si>
  <si>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</si>
  <si>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</si>
  <si>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</si>
  <si>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</si>
  <si>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</si>
  <si>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</si>
  <si>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</si>
  <si>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</si>
  <si>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</si>
  <si>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</si>
  <si>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</si>
  <si>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</si>
  <si>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</si>
  <si>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</si>
  <si>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</si>
  <si>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</si>
  <si>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</si>
  <si>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</si>
  <si>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</si>
  <si>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</si>
  <si>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</si>
  <si>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</si>
  <si>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</si>
  <si>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</si>
  <si>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</si>
  <si>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</si>
  <si>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</si>
  <si>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</si>
  <si>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</si>
  <si>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</si>
  <si>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</si>
  <si>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</si>
  <si>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</si>
  <si>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</si>
  <si>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</si>
  <si>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</si>
  <si>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</si>
  <si>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 xml:space="preserve"> -   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</si>
  <si>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</si>
  <si>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</si>
  <si>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</si>
  <si>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</si>
  <si>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</si>
  <si>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 xml:space="preserve"> -  </t>
  </si>
  <si>
    <t xml:space="preserve"> -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</si>
  <si>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</si>
  <si>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</si>
  <si>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</si>
  <si>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</si>
  <si>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</si>
  <si>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</si>
  <si>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</si>
  <si>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</si>
  <si>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</si>
  <si>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</si>
  <si>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</si>
  <si>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</si>
  <si>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</si>
  <si>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</si>
  <si>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</si>
  <si>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</si>
  <si>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</si>
  <si>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</si>
  <si>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</si>
  <si>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</si>
  <si>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</si>
  <si>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</si>
  <si>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</si>
  <si>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</si>
  <si>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</si>
  <si>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</si>
  <si>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</si>
  <si>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</si>
  <si>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</si>
  <si>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</si>
  <si>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</si>
  <si>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</si>
  <si>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</si>
  <si>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</si>
  <si>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</si>
  <si>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31 декабря 2021г.</t>
  </si>
  <si>
    <t>Сальдо на 1 января 2022 г.</t>
  </si>
  <si>
    <t>Сальдо на 1 января  2021 г.</t>
  </si>
  <si>
    <t>в  том числе     3 месяца  2021г.</t>
  </si>
  <si>
    <t>26</t>
  </si>
  <si>
    <t>27</t>
  </si>
  <si>
    <t>28</t>
  </si>
  <si>
    <t>29</t>
  </si>
  <si>
    <t>30</t>
  </si>
  <si>
    <t>31</t>
  </si>
  <si>
    <t>32</t>
  </si>
  <si>
    <t>Выручка</t>
  </si>
  <si>
    <t>Себестоимость</t>
  </si>
  <si>
    <t>Расходы  по реализации</t>
  </si>
  <si>
    <t>За три месяца, закончившихся  31 марта 2021 года</t>
  </si>
  <si>
    <t xml:space="preserve">Расходы по подоходному налогу </t>
  </si>
  <si>
    <t>34</t>
  </si>
  <si>
    <t>в  том числе              3 месяца  2022г.</t>
  </si>
  <si>
    <t>И.о.генерального директора</t>
  </si>
  <si>
    <t>В.В.Лесин</t>
  </si>
  <si>
    <t>Консолидированный отчет о финансовом положении по состоянию на  30 сентября 2022 года</t>
  </si>
  <si>
    <t>Консолидированный отчет о прибылях и убытках и прочем совокупном доходе за период, закончившийся  30 сентября  2022 года</t>
  </si>
  <si>
    <t>За девять месяцев, закончившихся  30 сентября 2022 года</t>
  </si>
  <si>
    <t>За шесть месяца, закончившихся  30 июня 2022 года</t>
  </si>
  <si>
    <t>За девять месяцев, закончившихся  30 сентября 2021 года</t>
  </si>
  <si>
    <t>Консолидированный отчет об изменениях в собственном капитале за период, закончившийся  30 сентября  2022  года</t>
  </si>
  <si>
    <t>Сальдо на 30 сентября   2022 г. (стр.060-стр.070+стр.080-стр.090)</t>
  </si>
  <si>
    <t>Сальдо на 30 сентября  2021 г. (стр.160-стр.170+стр.180-стр.190)</t>
  </si>
  <si>
    <t>30 сентября  2022г.</t>
  </si>
  <si>
    <t>Консолидированный отчет о движении денежных средств за период, закончившийся 30 сентября  2022 года</t>
  </si>
  <si>
    <t>33</t>
  </si>
  <si>
    <t>35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</si>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</sst>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_);_(* \(#,##0.0\);_(* \-_);_(@_)"/>
    <numFmt numFmtId="171" formatCode="_(* #,##0.00_);_(* \(#,##0.00\);_(* \-_);_(@_)"/>
    <numFmt numFmtId="172" formatCode="0.0%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164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164" fontId="6" fillId="0" borderId="2" xfId="0" applyNumberFormat="1" applyFont="1" applyBorder="1" applyAlignment="1">
      <alignment horizontal="right" vertical="center" shrinkToFit="1"/>
    </xf>
    <xf numFmtId="164" fontId="6" fillId="0" borderId="4" xfId="0" applyNumberFormat="1" applyFont="1" applyBorder="1" applyAlignment="1">
      <alignment horizontal="right" vertical="center" shrinkToFit="1"/>
    </xf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164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167" fontId="14" fillId="0" borderId="5" xfId="0" applyNumberFormat="1" applyFont="1" applyBorder="1" applyAlignment="1">
      <alignment horizontal="right" vertical="center" shrinkToFit="1"/>
    </xf>
    <xf numFmtId="169" fontId="6" fillId="0" borderId="2" xfId="0" applyNumberFormat="1" applyFont="1" applyBorder="1" applyAlignment="1">
      <alignment horizontal="right" vertical="center" shrinkToFit="1"/>
    </xf>
    <xf numFmtId="169" fontId="6" fillId="0" borderId="4" xfId="0" applyNumberFormat="1" applyFont="1" applyBorder="1" applyAlignment="1">
      <alignment horizontal="right" vertical="center" shrinkToFit="1"/>
    </xf>
    <xf numFmtId="166" fontId="6" fillId="0" borderId="0" xfId="0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70" fontId="6" fillId="0" borderId="0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shrinkToFit="1"/>
    </xf>
    <xf numFmtId="3" fontId="6" fillId="0" borderId="2" xfId="0" applyNumberFormat="1" applyFont="1" applyBorder="1" applyAlignment="1">
      <alignment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2" xfId="3" applyNumberFormat="1" applyFont="1" applyFill="1" applyBorder="1" applyAlignment="1">
      <alignment horizontal="right"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164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169" fontId="14" fillId="0" borderId="5" xfId="0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9" fontId="6" fillId="0" borderId="2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horizontal="right" vertical="center" shrinkToFit="1"/>
    </xf>
    <xf numFmtId="169" fontId="6" fillId="0" borderId="2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9" fontId="6" fillId="0" borderId="2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vertical="center" shrinkToFit="1"/>
    </xf>
    <xf numFmtId="169" fontId="6" fillId="0" borderId="2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9" fontId="6" fillId="0" borderId="2" xfId="0" applyNumberFormat="1" applyFont="1" applyBorder="1" applyAlignment="1" applyProtection="1">
      <alignment horizontal="left" vertical="center"/>
    </xf>
    <xf numFmtId="164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169" fontId="6" fillId="0" borderId="2" xfId="0" applyNumberFormat="1" applyFont="1" applyFill="1" applyBorder="1" applyAlignment="1" applyProtection="1">
      <alignment horizontal="right" vertical="center" shrinkToFit="1"/>
    </xf>
    <xf numFmtId="169" fontId="6" fillId="0" borderId="2" xfId="0" applyNumberFormat="1" applyFont="1" applyFill="1" applyBorder="1" applyAlignment="1">
      <alignment horizontal="right" vertical="center" shrinkToFit="1"/>
    </xf>
    <xf numFmtId="169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vertical="center" shrinkToFit="1"/>
    </xf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2" fontId="19" fillId="0" borderId="0" xfId="2" applyNumberFormat="1" applyFont="1" applyBorder="1"/>
    <xf numFmtId="0" fontId="19" fillId="0" borderId="0" xfId="0" applyFont="1" applyBorder="1"/>
    <xf numFmtId="172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2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64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6" fontId="14" fillId="0" borderId="5" xfId="3" applyNumberFormat="1" applyFont="1" applyBorder="1" applyAlignment="1">
      <alignment horizontal="right" vertical="center" shrinkToFit="1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69" fontId="6" fillId="0" borderId="2" xfId="0" applyNumberFormat="1" applyFont="1" applyBorder="1" applyAlignment="1" applyProtection="1">
      <alignment horizontal="right" vertical="center" shrinkToFit="1"/>
      <protection locked="0"/>
    </xf>
    <xf numFmtId="169" fontId="6" fillId="0" borderId="2" xfId="0" applyNumberFormat="1" applyFont="1" applyBorder="1" applyAlignment="1">
      <alignment vertical="center"/>
    </xf>
    <xf numFmtId="169" fontId="6" fillId="0" borderId="2" xfId="0" applyNumberFormat="1" applyFont="1" applyBorder="1" applyAlignment="1">
      <alignment vertical="center" shrinkToFit="1"/>
    </xf>
    <xf numFmtId="166" fontId="6" fillId="0" borderId="2" xfId="3" applyNumberFormat="1" applyFont="1" applyBorder="1" applyAlignment="1">
      <alignment horizontal="center" vertical="center"/>
    </xf>
    <xf numFmtId="171" fontId="6" fillId="0" borderId="4" xfId="0" applyNumberFormat="1" applyFont="1" applyBorder="1" applyAlignment="1">
      <alignment vertical="center" shrinkToFit="1"/>
    </xf>
    <xf numFmtId="0" fontId="16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169" fontId="6" fillId="0" borderId="0" xfId="0" applyNumberFormat="1" applyFont="1" applyFill="1"/>
    <xf numFmtId="169" fontId="6" fillId="0" borderId="2" xfId="0" applyNumberFormat="1" applyFont="1" applyFill="1" applyBorder="1" applyAlignment="1" applyProtection="1">
      <alignment vertical="center" shrinkToFit="1"/>
    </xf>
    <xf numFmtId="10" fontId="6" fillId="0" borderId="0" xfId="0" applyNumberFormat="1" applyFont="1"/>
    <xf numFmtId="166" fontId="6" fillId="0" borderId="2" xfId="3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 applyProtection="1">
      <alignment vertical="center"/>
    </xf>
    <xf numFmtId="169" fontId="6" fillId="0" borderId="2" xfId="0" applyNumberFormat="1" applyFont="1" applyFill="1" applyBorder="1" applyAlignment="1" applyProtection="1">
      <alignment horizontal="left" vertical="center" shrinkToFit="1"/>
    </xf>
    <xf numFmtId="169" fontId="6" fillId="0" borderId="2" xfId="0" applyNumberFormat="1" applyFont="1" applyFill="1" applyBorder="1" applyAlignment="1" applyProtection="1">
      <alignment horizontal="left" vertical="center"/>
    </xf>
    <xf numFmtId="166" fontId="6" fillId="0" borderId="2" xfId="3" applyNumberFormat="1" applyFont="1" applyFill="1" applyBorder="1" applyAlignment="1" applyProtection="1">
      <alignment horizontal="center" vertical="center"/>
    </xf>
    <xf numFmtId="171" fontId="6" fillId="0" borderId="4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165" fontId="6" fillId="0" borderId="2" xfId="3" applyFont="1" applyFill="1" applyBorder="1" applyAlignment="1" applyProtection="1">
      <alignment horizontal="right" vertical="center" shrinkToFit="1"/>
    </xf>
    <xf numFmtId="0" fontId="6" fillId="0" borderId="9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vertical="center"/>
    </xf>
    <xf numFmtId="169" fontId="6" fillId="0" borderId="3" xfId="0" applyNumberFormat="1" applyFont="1" applyFill="1" applyBorder="1" applyAlignment="1">
      <alignment horizontal="right" vertical="center" shrinkToFit="1"/>
    </xf>
    <xf numFmtId="164" fontId="6" fillId="0" borderId="4" xfId="0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4">
    <cellStyle name="_Книга3_Nsi_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1057275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7</xdr:col>
      <xdr:colOff>0</xdr:colOff>
      <xdr:row>7</xdr:row>
      <xdr:rowOff>114300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08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136979</xdr:colOff>
      <xdr:row>0</xdr:row>
      <xdr:rowOff>0</xdr:rowOff>
    </xdr:from>
    <xdr:to>
      <xdr:col>3</xdr:col>
      <xdr:colOff>1309007</xdr:colOff>
      <xdr:row>4</xdr:row>
      <xdr:rowOff>76200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9" y="0"/>
          <a:ext cx="6934653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609600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7819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buh_10/Desktop/&#1056;&#1072;&#1073;&#1086;&#1095;&#1080;&#1081;%20&#1089;&#1090;&#1086;&#1083;/&#1050;&#1086;&#1085;&#1089;&#1086;&#1083;&#1080;&#1076;&#1072;&#1094;&#1080;&#1103;%20&#1076;&#1086;%2030%20&#1095;&#1080;&#1089;&#1083;&#1072;%20&#1089;&#1083;&#1077;&#1076;.&#1079;&#1072;%20&#1086;&#1090;&#1095;&#1077;&#1090;&#1085;&#1099;&#1084;(1)/2021/4%20&#1082;&#1074;%202021/&#1055;&#1069;_2021_CAEPCO_&#1055;&#1072;&#1082;&#1077;&#1090;%20&#1060;&#1060;&#1054;%2024032022%20&#1086;&#1090;&#1076;&#1072;&#1083;&#1080;%20&#1072;&#1091;&#1076;&#1080;&#1090;&#1086;&#1088;&#1072;&#1084;%20&#1086;&#1090;%20&#1040;&#1085;&#1077;&#1083;&#1100;%20&#1089;%20&#1082;&#1086;&#1088;&#1088;&#1077;&#1082;&#1090;&#1080;&#1088;&#1086;&#1074;&#1082;&#1072;&#1084;&#1080;%20&#1079;&#1072;%202021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Documents/&#1050;&#1086;&#1085;&#1089;&#1086;&#1083;&#1080;&#1076;&#1072;&#1094;&#1080;&#1103;%20&#1076;&#1086;%2030%20&#1095;&#1080;&#1089;&#1083;&#1072;%20&#1089;&#1083;&#1077;&#1076;.&#1079;&#1072;%20&#1086;&#1090;&#1095;&#1077;&#1090;&#1085;&#1099;&#1084;/2021/2%20&#1082;&#1074;&#1072;&#1088;&#1090;&#1072;&#1083;%202021&#1075;/2021%20CAEPCO%20%20&#1050;&#1086;&#1085;&#1089;&#1086;&#1083;&#1080;&#1076;&#1072;&#1094;&#1080;&#1080;%20&#1060;&#1054;%20&#1055;&#1069;%202&#1082;&#1074;21%20&#1089;%20&#1080;&#1079;&#1084;&#1077;&#1085;&#1077;&#1085;&#1080;&#1103;&#1084;&#1080;%20&#1087;&#1086;%20&#1055;&#1058;&#1057;%20&#1086;&#1090;%2006082021%20&#1080;&#1079;&#1084;&#1077;&#1085;&#1077;&#1085;%20&#1055;&#1069;&#1054;%201008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buh_10/Desktop/&#1056;&#1072;&#1073;&#1086;&#1095;&#1080;&#1081;%20&#1089;&#1090;&#1086;&#1083;/&#1050;&#1086;&#1085;&#1089;&#1086;&#1083;&#1080;&#1076;&#1072;&#1094;&#1080;&#1103;%20&#1076;&#1086;%2030%20&#1095;&#1080;&#1089;&#1083;&#1072;%20&#1089;&#1083;&#1077;&#1076;.&#1079;&#1072;%20&#1086;&#1090;&#1095;&#1077;&#1090;&#1085;&#1099;&#1084;(1)/2021/1%20&#1082;&#1074;.2021/2021%20CAEPCO%20%20&#1050;&#1086;&#1085;&#1089;&#1086;&#1083;&#1080;&#1076;&#1072;&#1094;&#1080;&#1080;%20&#1060;&#1054;%20&#1055;&#1069;%201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ОСВ ПРЭК"/>
      <sheetName val="ОСВ ПТС"/>
      <sheetName val="ОСВ ЭТЭ"/>
      <sheetName val="ОСВ ПЭС"/>
      <sheetName val="ОСВ ЦГЭ"/>
      <sheetName val="ОСВ СПЭ"/>
      <sheetName val="BS на печать"/>
      <sheetName val="ОСВ ПЭ"/>
      <sheetName val="Корректировки"/>
      <sheetName val="RP support"/>
      <sheetName val="BS"/>
      <sheetName val="PL"/>
      <sheetName val="CFS"/>
      <sheetName val="SCF"/>
      <sheetName val="CSCE"/>
      <sheetName val="4Инв"/>
      <sheetName val="3CО"/>
      <sheetName val="5Гудв"/>
      <sheetName val="6 ОС"/>
      <sheetName val="ОС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УЧЕТ ЦГЭ"/>
      <sheetName val="16ОР"/>
      <sheetName val="18 Займы"/>
      <sheetName val="17Облиг"/>
      <sheetName val="19ДБП"/>
      <sheetName val="20ФинАр"/>
      <sheetName val="21ТКЗ"/>
      <sheetName val="22АвПол"/>
      <sheetName val="Sheet1"/>
      <sheetName val="23 ПОиР"/>
      <sheetName val="23(1) ПКЗ"/>
      <sheetName val="24Дох"/>
      <sheetName val="25Себ"/>
      <sheetName val="26АУП"/>
      <sheetName val="27РР"/>
      <sheetName val="28ФР"/>
      <sheetName val="29ФД"/>
      <sheetName val="30Прочие"/>
      <sheetName val="31Курсовая"/>
      <sheetName val="32Обесц"/>
      <sheetName val="33КПН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T7">
            <v>198396479</v>
          </cell>
        </row>
        <row r="11">
          <cell r="T11">
            <v>59916</v>
          </cell>
        </row>
        <row r="20">
          <cell r="T20">
            <v>2842874</v>
          </cell>
        </row>
        <row r="21">
          <cell r="T21">
            <v>12797005</v>
          </cell>
        </row>
        <row r="23">
          <cell r="T23">
            <v>442247</v>
          </cell>
        </row>
        <row r="34">
          <cell r="T34">
            <v>20000000</v>
          </cell>
        </row>
        <row r="42">
          <cell r="T42">
            <v>-3336004</v>
          </cell>
        </row>
        <row r="51">
          <cell r="T51">
            <v>1660433</v>
          </cell>
        </row>
        <row r="53">
          <cell r="T53">
            <v>3298924</v>
          </cell>
        </row>
        <row r="54">
          <cell r="T54">
            <v>12489926</v>
          </cell>
        </row>
        <row r="56">
          <cell r="T56">
            <v>1875875</v>
          </cell>
        </row>
        <row r="65">
          <cell r="T65">
            <v>55013</v>
          </cell>
        </row>
        <row r="67">
          <cell r="T67">
            <v>250083</v>
          </cell>
        </row>
        <row r="70">
          <cell r="T70">
            <v>8400348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PL"/>
      <sheetName val="BS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1ТКЗ"/>
      <sheetName val="20ФинАр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35ОС в залоге"/>
      <sheetName val="перечень ОС в залоге ПЭ"/>
    </sheetNames>
    <sheetDataSet>
      <sheetData sheetId="0" refreshError="1"/>
      <sheetData sheetId="1" refreshError="1"/>
      <sheetData sheetId="2" refreshError="1"/>
      <sheetData sheetId="3" refreshError="1">
        <row r="7">
          <cell r="Y7">
            <v>197304747</v>
          </cell>
        </row>
        <row r="36">
          <cell r="Y36">
            <v>20000000</v>
          </cell>
        </row>
        <row r="45">
          <cell r="Y45">
            <v>-3336004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PL"/>
      <sheetName val="BS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1ТКЗ"/>
      <sheetName val="20ФинАр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/>
      <sheetData sheetId="1"/>
      <sheetData sheetId="2">
        <row r="6">
          <cell r="Y6">
            <v>25316851</v>
          </cell>
        </row>
        <row r="8">
          <cell r="Y8">
            <v>-12654561</v>
          </cell>
        </row>
        <row r="12">
          <cell r="Y12">
            <v>-1103929</v>
          </cell>
        </row>
        <row r="13">
          <cell r="Y13">
            <v>-220628</v>
          </cell>
        </row>
        <row r="14">
          <cell r="Y14">
            <v>-4388696</v>
          </cell>
        </row>
        <row r="15">
          <cell r="Y15">
            <v>1948321</v>
          </cell>
        </row>
        <row r="16">
          <cell r="Y16">
            <v>570576</v>
          </cell>
        </row>
        <row r="20">
          <cell r="Y20">
            <v>-222151</v>
          </cell>
        </row>
        <row r="21">
          <cell r="Y21">
            <v>-535040</v>
          </cell>
        </row>
        <row r="29">
          <cell r="Y29">
            <v>-208681</v>
          </cell>
        </row>
        <row r="35">
          <cell r="Y35">
            <v>1860175.24</v>
          </cell>
        </row>
      </sheetData>
      <sheetData sheetId="3">
        <row r="7">
          <cell r="Y7">
            <v>199181313</v>
          </cell>
        </row>
      </sheetData>
      <sheetData sheetId="4"/>
      <sheetData sheetId="5">
        <row r="322">
          <cell r="M32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X19">
            <v>505416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X28">
            <v>1521066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4"/>
  <sheetViews>
    <sheetView topLeftCell="A55" workbookViewId="0">
      <selection activeCell="B68" sqref="B68"/>
    </sheetView>
  </sheetViews>
  <sheetFormatPr defaultRowHeight="14.25" x14ac:dyDescent="0.2"/>
  <cols>
    <col min="1" max="1" width="51.140625" style="4" customWidth="1"/>
    <col min="2" max="2" width="11.85546875" style="4" customWidth="1"/>
    <col min="3" max="3" width="17.28515625" style="4" customWidth="1"/>
    <col min="4" max="4" width="17.85546875" style="19" customWidth="1"/>
    <col min="5" max="5" width="14.5703125" style="83" bestFit="1" customWidth="1"/>
    <col min="6" max="6" width="25.7109375" style="131" hidden="1" customWidth="1"/>
    <col min="7" max="7" width="0" style="132" hidden="1" customWidth="1"/>
    <col min="8" max="8" width="14.5703125" style="132" hidden="1" customWidth="1"/>
    <col min="9" max="9" width="19.140625" style="132" customWidth="1"/>
    <col min="10" max="11" width="9.140625" style="83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47.25" customHeight="1" x14ac:dyDescent="0.3">
      <c r="A7" s="193" t="s">
        <v>222</v>
      </c>
      <c r="B7" s="193"/>
      <c r="C7" s="193"/>
      <c r="D7" s="193"/>
      <c r="E7" s="84"/>
      <c r="F7" s="133"/>
      <c r="G7" s="134"/>
      <c r="H7" s="134"/>
      <c r="I7" s="134"/>
      <c r="J7" s="84"/>
      <c r="K7" s="84"/>
    </row>
    <row r="8" spans="1:11" s="5" customFormat="1" ht="12" customHeight="1" x14ac:dyDescent="0.2">
      <c r="A8" s="194"/>
      <c r="B8" s="194"/>
      <c r="C8" s="194"/>
      <c r="D8" s="194"/>
      <c r="E8" s="84"/>
      <c r="F8" s="133"/>
      <c r="G8" s="134"/>
      <c r="H8" s="134"/>
      <c r="I8" s="134"/>
      <c r="J8" s="84"/>
      <c r="K8" s="84"/>
    </row>
    <row r="9" spans="1:11" s="5" customFormat="1" ht="21.75" customHeight="1" x14ac:dyDescent="0.2">
      <c r="A9" s="194"/>
      <c r="B9" s="194"/>
      <c r="C9" s="194"/>
      <c r="D9" s="194"/>
      <c r="E9" s="84"/>
      <c r="F9" s="133"/>
      <c r="G9" s="134"/>
      <c r="H9" s="134"/>
      <c r="I9" s="134"/>
      <c r="J9" s="84"/>
      <c r="K9" s="84"/>
    </row>
    <row r="10" spans="1:11" s="5" customFormat="1" ht="12" hidden="1" customHeight="1" x14ac:dyDescent="0.2">
      <c r="A10" s="194" t="s">
        <v>33</v>
      </c>
      <c r="B10" s="194"/>
      <c r="C10" s="194"/>
      <c r="D10" s="194"/>
      <c r="E10" s="84"/>
      <c r="F10" s="133"/>
      <c r="G10" s="134"/>
      <c r="H10" s="134"/>
      <c r="I10" s="134"/>
      <c r="J10" s="84"/>
      <c r="K10" s="84"/>
    </row>
    <row r="11" spans="1:11" s="5" customFormat="1" ht="12" hidden="1" customHeight="1" x14ac:dyDescent="0.2">
      <c r="A11" s="6"/>
      <c r="B11" s="6"/>
      <c r="C11" s="6"/>
      <c r="D11" s="6"/>
      <c r="E11" s="84"/>
      <c r="F11" s="133"/>
      <c r="G11" s="134"/>
      <c r="H11" s="134"/>
      <c r="I11" s="134"/>
      <c r="J11" s="84"/>
      <c r="K11" s="84"/>
    </row>
    <row r="12" spans="1:11" s="5" customFormat="1" ht="12.95" hidden="1" customHeight="1" x14ac:dyDescent="0.2">
      <c r="A12" s="196" t="s">
        <v>120</v>
      </c>
      <c r="B12" s="196"/>
      <c r="C12" s="196"/>
      <c r="D12" s="196"/>
      <c r="E12" s="84"/>
      <c r="F12" s="133"/>
      <c r="G12" s="134"/>
      <c r="H12" s="134"/>
      <c r="I12" s="134"/>
      <c r="J12" s="84"/>
      <c r="K12" s="84"/>
    </row>
    <row r="13" spans="1:11" s="5" customFormat="1" ht="12.95" hidden="1" customHeight="1" x14ac:dyDescent="0.2">
      <c r="A13" s="154"/>
      <c r="B13" s="154"/>
      <c r="C13" s="154"/>
      <c r="D13" s="63"/>
      <c r="E13" s="84"/>
      <c r="F13" s="133"/>
      <c r="G13" s="134"/>
      <c r="H13" s="134"/>
      <c r="I13" s="134"/>
      <c r="J13" s="84"/>
      <c r="K13" s="84"/>
    </row>
    <row r="14" spans="1:11" s="5" customFormat="1" ht="16.5" hidden="1" customHeight="1" x14ac:dyDescent="0.2">
      <c r="A14" s="196" t="s">
        <v>148</v>
      </c>
      <c r="B14" s="196"/>
      <c r="C14" s="196"/>
      <c r="D14" s="196"/>
      <c r="E14" s="84"/>
      <c r="F14" s="133"/>
      <c r="G14" s="134"/>
      <c r="H14" s="134"/>
      <c r="I14" s="134"/>
      <c r="J14" s="84"/>
      <c r="K14" s="84"/>
    </row>
    <row r="15" spans="1:11" s="5" customFormat="1" ht="12.95" hidden="1" customHeight="1" x14ac:dyDescent="0.2">
      <c r="A15" s="197" t="s">
        <v>79</v>
      </c>
      <c r="B15" s="197"/>
      <c r="C15" s="197"/>
      <c r="D15" s="197"/>
      <c r="E15" s="84"/>
      <c r="F15" s="133"/>
      <c r="G15" s="134"/>
      <c r="H15" s="134"/>
      <c r="I15" s="134"/>
      <c r="J15" s="84"/>
      <c r="K15" s="84"/>
    </row>
    <row r="16" spans="1:11" s="5" customFormat="1" ht="12.95" hidden="1" customHeight="1" x14ac:dyDescent="0.2">
      <c r="A16" s="154"/>
      <c r="B16" s="154"/>
      <c r="C16" s="154"/>
      <c r="D16" s="63"/>
      <c r="E16" s="84"/>
      <c r="F16" s="133"/>
      <c r="G16" s="134"/>
      <c r="H16" s="134"/>
      <c r="I16" s="134"/>
      <c r="J16" s="84"/>
      <c r="K16" s="84"/>
    </row>
    <row r="17" spans="1:11" s="5" customFormat="1" ht="12.95" hidden="1" customHeight="1" x14ac:dyDescent="0.2">
      <c r="A17" s="196" t="s">
        <v>121</v>
      </c>
      <c r="B17" s="196"/>
      <c r="C17" s="196"/>
      <c r="D17" s="196"/>
      <c r="E17" s="84"/>
      <c r="F17" s="133"/>
      <c r="G17" s="134"/>
      <c r="H17" s="134"/>
      <c r="I17" s="134"/>
      <c r="J17" s="84"/>
      <c r="K17" s="84"/>
    </row>
    <row r="18" spans="1:11" s="5" customFormat="1" ht="7.5" hidden="1" customHeight="1" x14ac:dyDescent="0.2">
      <c r="A18" s="154"/>
      <c r="B18" s="154"/>
      <c r="C18" s="154"/>
      <c r="D18" s="63"/>
      <c r="E18" s="84"/>
      <c r="F18" s="133"/>
      <c r="G18" s="134"/>
      <c r="H18" s="134"/>
      <c r="I18" s="134"/>
      <c r="J18" s="84"/>
      <c r="K18" s="84"/>
    </row>
    <row r="19" spans="1:11" s="5" customFormat="1" ht="18.75" hidden="1" customHeight="1" x14ac:dyDescent="0.2">
      <c r="A19" s="196" t="s">
        <v>122</v>
      </c>
      <c r="B19" s="196"/>
      <c r="C19" s="196"/>
      <c r="D19" s="196"/>
      <c r="E19" s="84"/>
      <c r="F19" s="133"/>
      <c r="G19" s="134"/>
      <c r="H19" s="134"/>
      <c r="I19" s="134"/>
      <c r="J19" s="84"/>
      <c r="K19" s="84"/>
    </row>
    <row r="20" spans="1:11" s="5" customFormat="1" ht="15.75" hidden="1" customHeight="1" x14ac:dyDescent="0.2">
      <c r="A20" s="155"/>
      <c r="B20" s="155"/>
      <c r="C20" s="155"/>
      <c r="D20" s="7"/>
      <c r="E20" s="84"/>
      <c r="F20" s="133"/>
      <c r="G20" s="134"/>
      <c r="H20" s="134"/>
      <c r="I20" s="134"/>
      <c r="J20" s="84"/>
      <c r="K20" s="84"/>
    </row>
    <row r="21" spans="1:11" s="5" customFormat="1" ht="15.75" customHeight="1" x14ac:dyDescent="0.2">
      <c r="A21" s="155"/>
      <c r="B21" s="155"/>
      <c r="C21" s="155"/>
      <c r="D21" s="7"/>
      <c r="E21" s="84"/>
      <c r="F21" s="133"/>
      <c r="G21" s="134"/>
      <c r="H21" s="134"/>
      <c r="I21" s="134"/>
      <c r="J21" s="84"/>
      <c r="K21" s="84"/>
    </row>
    <row r="22" spans="1:11" s="5" customFormat="1" ht="21.75" customHeight="1" x14ac:dyDescent="0.2">
      <c r="A22" s="195" t="s">
        <v>168</v>
      </c>
      <c r="B22" s="195"/>
      <c r="C22" s="195"/>
      <c r="D22" s="195"/>
      <c r="E22" s="84"/>
      <c r="F22" s="133"/>
      <c r="G22" s="134"/>
      <c r="H22" s="134"/>
      <c r="I22" s="134"/>
      <c r="J22" s="84"/>
      <c r="K22" s="84"/>
    </row>
    <row r="23" spans="1:11" s="10" customFormat="1" ht="34.5" customHeight="1" x14ac:dyDescent="0.2">
      <c r="A23" s="156"/>
      <c r="B23" s="157" t="s">
        <v>177</v>
      </c>
      <c r="C23" s="129" t="s">
        <v>230</v>
      </c>
      <c r="D23" s="129" t="s">
        <v>202</v>
      </c>
      <c r="E23" s="85"/>
      <c r="F23" s="135"/>
      <c r="G23" s="136"/>
      <c r="H23" s="136"/>
      <c r="I23" s="136"/>
      <c r="J23" s="85"/>
      <c r="K23" s="85"/>
    </row>
    <row r="24" spans="1:11" s="5" customFormat="1" ht="11.25" hidden="1" customHeight="1" x14ac:dyDescent="0.2">
      <c r="A24" s="70">
        <v>1</v>
      </c>
      <c r="B24" s="70">
        <v>2</v>
      </c>
      <c r="C24" s="70">
        <v>3</v>
      </c>
      <c r="D24" s="70">
        <v>4</v>
      </c>
      <c r="E24" s="84"/>
      <c r="F24" s="133"/>
      <c r="G24" s="134"/>
      <c r="H24" s="134"/>
      <c r="I24" s="134"/>
      <c r="J24" s="84"/>
      <c r="K24" s="84"/>
    </row>
    <row r="25" spans="1:11" s="5" customFormat="1" ht="20.25" customHeight="1" x14ac:dyDescent="0.2">
      <c r="A25" s="158" t="s">
        <v>34</v>
      </c>
      <c r="B25" s="130"/>
      <c r="C25" s="130"/>
      <c r="D25" s="130"/>
      <c r="E25" s="84"/>
      <c r="F25" s="133"/>
      <c r="G25" s="134"/>
      <c r="H25" s="134"/>
      <c r="I25" s="134"/>
      <c r="J25" s="84"/>
      <c r="K25" s="84"/>
    </row>
    <row r="26" spans="1:11" s="5" customFormat="1" ht="14.1" customHeight="1" x14ac:dyDescent="0.2">
      <c r="A26" s="100" t="s">
        <v>169</v>
      </c>
      <c r="B26" s="100" t="s">
        <v>0</v>
      </c>
      <c r="C26" s="66"/>
      <c r="D26" s="66"/>
      <c r="E26" s="84"/>
      <c r="F26" s="16"/>
      <c r="G26" s="16"/>
      <c r="H26" s="16"/>
      <c r="I26" s="16"/>
      <c r="J26" s="84"/>
      <c r="K26" s="84"/>
    </row>
    <row r="27" spans="1:11" s="5" customFormat="1" ht="14.1" customHeight="1" x14ac:dyDescent="0.2">
      <c r="A27" s="100"/>
      <c r="B27" s="100"/>
      <c r="C27" s="66"/>
      <c r="D27" s="66"/>
      <c r="E27" s="84"/>
      <c r="F27" s="16"/>
      <c r="G27" s="16"/>
      <c r="H27" s="16"/>
      <c r="I27" s="16"/>
      <c r="J27" s="84"/>
      <c r="K27" s="84"/>
    </row>
    <row r="28" spans="1:11" s="5" customFormat="1" ht="14.1" customHeight="1" x14ac:dyDescent="0.2">
      <c r="A28" s="100" t="s">
        <v>37</v>
      </c>
      <c r="B28" s="159" t="s">
        <v>178</v>
      </c>
      <c r="C28" s="66">
        <v>206665628</v>
      </c>
      <c r="D28" s="66">
        <v>213638893</v>
      </c>
      <c r="E28" s="84"/>
      <c r="F28" s="16"/>
      <c r="G28" s="16"/>
      <c r="H28" s="16"/>
      <c r="I28" s="16"/>
      <c r="J28" s="84"/>
      <c r="K28" s="84"/>
    </row>
    <row r="29" spans="1:11" s="5" customFormat="1" ht="14.1" customHeight="1" x14ac:dyDescent="0.2">
      <c r="A29" s="100" t="s">
        <v>137</v>
      </c>
      <c r="B29" s="159" t="s">
        <v>179</v>
      </c>
      <c r="C29" s="66">
        <v>0</v>
      </c>
      <c r="D29" s="66">
        <v>0</v>
      </c>
      <c r="E29" s="84"/>
      <c r="F29" s="16"/>
      <c r="G29" s="16"/>
      <c r="H29" s="16"/>
      <c r="I29" s="16"/>
      <c r="J29" s="84"/>
      <c r="K29" s="84"/>
    </row>
    <row r="30" spans="1:11" s="5" customFormat="1" ht="14.1" customHeight="1" x14ac:dyDescent="0.2">
      <c r="A30" s="100" t="s">
        <v>38</v>
      </c>
      <c r="B30" s="159" t="s">
        <v>180</v>
      </c>
      <c r="C30" s="66">
        <v>75531824</v>
      </c>
      <c r="D30" s="66">
        <v>80840682</v>
      </c>
      <c r="E30" s="84"/>
      <c r="F30" s="16"/>
      <c r="G30" s="16"/>
      <c r="H30" s="16"/>
      <c r="I30" s="16"/>
      <c r="J30" s="84"/>
      <c r="K30" s="84"/>
    </row>
    <row r="31" spans="1:11" s="5" customFormat="1" ht="14.1" customHeight="1" x14ac:dyDescent="0.2">
      <c r="A31" s="100" t="s">
        <v>40</v>
      </c>
      <c r="B31" s="159" t="s">
        <v>181</v>
      </c>
      <c r="C31" s="66">
        <v>1675233</v>
      </c>
      <c r="D31" s="66">
        <v>398997</v>
      </c>
      <c r="E31" s="84"/>
      <c r="F31" s="16"/>
      <c r="G31" s="16"/>
      <c r="H31" s="16"/>
      <c r="I31" s="16"/>
      <c r="J31" s="84"/>
      <c r="K31" s="84"/>
    </row>
    <row r="32" spans="1:11" s="5" customFormat="1" ht="15" customHeight="1" x14ac:dyDescent="0.2">
      <c r="A32" s="100" t="s">
        <v>193</v>
      </c>
      <c r="B32" s="159" t="s">
        <v>183</v>
      </c>
      <c r="C32" s="66">
        <v>0</v>
      </c>
      <c r="D32" s="66">
        <f>[1]BS!$T$11</f>
        <v>59916</v>
      </c>
      <c r="E32" s="84"/>
      <c r="F32" s="16"/>
      <c r="G32" s="16"/>
      <c r="H32" s="16"/>
      <c r="I32" s="16"/>
      <c r="J32" s="84"/>
      <c r="K32" s="84"/>
    </row>
    <row r="33" spans="1:11" s="5" customFormat="1" ht="19.5" hidden="1" customHeight="1" x14ac:dyDescent="0.2">
      <c r="A33" s="100" t="s">
        <v>36</v>
      </c>
      <c r="B33" s="159"/>
      <c r="C33" s="66">
        <v>0</v>
      </c>
      <c r="D33" s="66">
        <v>0</v>
      </c>
      <c r="E33" s="84"/>
      <c r="F33" s="16"/>
      <c r="G33" s="16"/>
      <c r="H33" s="16"/>
      <c r="I33" s="16"/>
      <c r="J33" s="84"/>
      <c r="K33" s="84"/>
    </row>
    <row r="34" spans="1:11" s="5" customFormat="1" ht="14.1" hidden="1" customHeight="1" x14ac:dyDescent="0.2">
      <c r="A34" s="100" t="s">
        <v>55</v>
      </c>
      <c r="B34" s="159"/>
      <c r="C34" s="66"/>
      <c r="D34" s="66"/>
      <c r="E34" s="84"/>
      <c r="F34" s="16"/>
      <c r="G34" s="16"/>
      <c r="H34" s="16"/>
      <c r="I34" s="16"/>
      <c r="J34" s="84"/>
      <c r="K34" s="84"/>
    </row>
    <row r="35" spans="1:11" s="5" customFormat="1" ht="14.1" hidden="1" customHeight="1" x14ac:dyDescent="0.2">
      <c r="A35" s="155"/>
      <c r="B35" s="155"/>
      <c r="C35" s="155"/>
      <c r="D35" s="155"/>
      <c r="E35" s="84"/>
      <c r="J35" s="84"/>
      <c r="K35" s="84"/>
    </row>
    <row r="36" spans="1:11" s="5" customFormat="1" ht="14.1" customHeight="1" x14ac:dyDescent="0.2">
      <c r="A36" s="100" t="s">
        <v>39</v>
      </c>
      <c r="B36" s="159"/>
      <c r="C36" s="66">
        <v>3470479</v>
      </c>
      <c r="D36" s="66">
        <v>3470479</v>
      </c>
      <c r="E36" s="84"/>
      <c r="F36" s="16"/>
      <c r="G36" s="16"/>
      <c r="H36" s="16"/>
      <c r="I36" s="16"/>
      <c r="J36" s="84"/>
      <c r="K36" s="84"/>
    </row>
    <row r="37" spans="1:11" s="5" customFormat="1" ht="14.1" customHeight="1" x14ac:dyDescent="0.2">
      <c r="A37" s="100" t="s">
        <v>40</v>
      </c>
      <c r="B37" s="159" t="s">
        <v>183</v>
      </c>
      <c r="C37" s="66">
        <v>1182497</v>
      </c>
      <c r="D37" s="66">
        <v>1203469</v>
      </c>
      <c r="E37" s="84"/>
      <c r="F37" s="16"/>
      <c r="G37" s="16"/>
      <c r="H37" s="16"/>
      <c r="I37" s="16"/>
      <c r="J37" s="84"/>
      <c r="K37" s="84"/>
    </row>
    <row r="38" spans="1:11" s="5" customFormat="1" ht="14.1" customHeight="1" x14ac:dyDescent="0.2">
      <c r="A38" s="100" t="s">
        <v>41</v>
      </c>
      <c r="B38" s="98"/>
      <c r="C38" s="66">
        <f>SUM(C28:C37)</f>
        <v>288525661</v>
      </c>
      <c r="D38" s="66">
        <f>SUM(D28:D37)</f>
        <v>299612436</v>
      </c>
      <c r="E38" s="84"/>
      <c r="F38" s="133"/>
      <c r="G38" s="134"/>
      <c r="H38" s="134"/>
      <c r="I38" s="134"/>
      <c r="J38" s="84"/>
      <c r="K38" s="84"/>
    </row>
    <row r="39" spans="1:11" s="5" customFormat="1" ht="14.1" customHeight="1" x14ac:dyDescent="0.2">
      <c r="A39" s="100" t="s">
        <v>170</v>
      </c>
      <c r="B39" s="100" t="s">
        <v>0</v>
      </c>
      <c r="C39" s="100"/>
      <c r="D39" s="12"/>
      <c r="E39" s="84"/>
      <c r="F39" s="133"/>
      <c r="G39" s="134"/>
      <c r="H39" s="134"/>
      <c r="I39" s="134"/>
      <c r="J39" s="84"/>
      <c r="K39" s="84"/>
    </row>
    <row r="40" spans="1:11" s="5" customFormat="1" ht="14.1" customHeight="1" x14ac:dyDescent="0.2">
      <c r="A40" s="100"/>
      <c r="B40" s="100"/>
      <c r="C40" s="100"/>
      <c r="D40" s="12"/>
      <c r="E40" s="84"/>
      <c r="F40" s="133"/>
      <c r="G40" s="134"/>
      <c r="H40" s="134"/>
      <c r="I40" s="134"/>
      <c r="J40" s="84"/>
      <c r="K40" s="84"/>
    </row>
    <row r="41" spans="1:11" s="5" customFormat="1" ht="14.1" customHeight="1" x14ac:dyDescent="0.2">
      <c r="A41" s="100" t="s">
        <v>138</v>
      </c>
      <c r="B41" s="159" t="s">
        <v>184</v>
      </c>
      <c r="C41" s="66">
        <v>3252925</v>
      </c>
      <c r="D41" s="66">
        <f>[1]BS!$T$20</f>
        <v>2842874</v>
      </c>
      <c r="E41" s="84"/>
      <c r="F41" s="133"/>
      <c r="G41" s="134"/>
      <c r="H41" s="134"/>
      <c r="I41" s="134"/>
      <c r="J41" s="84"/>
      <c r="K41" s="84"/>
    </row>
    <row r="42" spans="1:11" s="5" customFormat="1" ht="14.1" customHeight="1" x14ac:dyDescent="0.2">
      <c r="A42" s="100" t="s">
        <v>129</v>
      </c>
      <c r="B42" s="159" t="s">
        <v>185</v>
      </c>
      <c r="C42" s="66">
        <v>7682259</v>
      </c>
      <c r="D42" s="66">
        <f>[1]BS!$T$21-1</f>
        <v>12797004</v>
      </c>
      <c r="E42" s="84"/>
      <c r="F42" s="133"/>
      <c r="G42" s="134"/>
      <c r="H42" s="137"/>
      <c r="I42" s="134"/>
      <c r="J42" s="84"/>
      <c r="K42" s="84"/>
    </row>
    <row r="43" spans="1:11" s="5" customFormat="1" ht="14.1" customHeight="1" x14ac:dyDescent="0.2">
      <c r="A43" s="100" t="s">
        <v>131</v>
      </c>
      <c r="B43" s="159" t="s">
        <v>183</v>
      </c>
      <c r="C43" s="66">
        <v>167080</v>
      </c>
      <c r="D43" s="66">
        <v>211292</v>
      </c>
      <c r="E43" s="84"/>
      <c r="F43" s="133"/>
      <c r="G43" s="134"/>
      <c r="H43" s="134"/>
      <c r="I43" s="134"/>
      <c r="J43" s="84"/>
      <c r="K43" s="84"/>
    </row>
    <row r="44" spans="1:11" s="5" customFormat="1" ht="14.1" customHeight="1" x14ac:dyDescent="0.2">
      <c r="A44" s="100" t="s">
        <v>133</v>
      </c>
      <c r="B44" s="159" t="s">
        <v>183</v>
      </c>
      <c r="C44" s="66">
        <v>674192</v>
      </c>
      <c r="D44" s="66">
        <f>[1]BS!$T$23</f>
        <v>442247</v>
      </c>
      <c r="E44" s="84"/>
      <c r="F44" s="133"/>
      <c r="G44" s="134"/>
      <c r="H44" s="134"/>
      <c r="I44" s="134"/>
      <c r="J44" s="84"/>
      <c r="K44" s="84"/>
    </row>
    <row r="45" spans="1:11" s="5" customFormat="1" ht="14.1" customHeight="1" x14ac:dyDescent="0.2">
      <c r="A45" s="160" t="s">
        <v>132</v>
      </c>
      <c r="B45" s="159" t="s">
        <v>183</v>
      </c>
      <c r="C45" s="66">
        <v>727527</v>
      </c>
      <c r="D45" s="66">
        <v>765725</v>
      </c>
      <c r="E45" s="84"/>
      <c r="F45" s="133"/>
      <c r="G45" s="134"/>
      <c r="H45" s="134"/>
      <c r="I45" s="134"/>
      <c r="J45" s="84"/>
      <c r="K45" s="84"/>
    </row>
    <row r="46" spans="1:11" s="5" customFormat="1" ht="14.1" customHeight="1" x14ac:dyDescent="0.2">
      <c r="A46" s="100" t="s">
        <v>130</v>
      </c>
      <c r="B46" s="159" t="s">
        <v>182</v>
      </c>
      <c r="C46" s="66">
        <v>1199037</v>
      </c>
      <c r="D46" s="66">
        <v>1385059</v>
      </c>
      <c r="E46" s="84"/>
      <c r="F46" s="133"/>
      <c r="G46" s="134"/>
      <c r="H46" s="134"/>
      <c r="I46" s="134"/>
      <c r="J46" s="84"/>
      <c r="K46" s="84"/>
    </row>
    <row r="47" spans="1:11" s="5" customFormat="1" ht="14.1" customHeight="1" x14ac:dyDescent="0.2">
      <c r="A47" s="100" t="s">
        <v>96</v>
      </c>
      <c r="B47" s="159" t="s">
        <v>183</v>
      </c>
      <c r="C47" s="66">
        <v>9204247</v>
      </c>
      <c r="D47" s="66">
        <v>10970093</v>
      </c>
      <c r="E47" s="84"/>
      <c r="F47" s="133"/>
      <c r="G47" s="134"/>
      <c r="H47" s="134"/>
      <c r="I47" s="134"/>
      <c r="J47" s="84"/>
      <c r="K47" s="84"/>
    </row>
    <row r="48" spans="1:11" s="5" customFormat="1" ht="14.1" customHeight="1" x14ac:dyDescent="0.2">
      <c r="A48" s="100" t="s">
        <v>155</v>
      </c>
      <c r="B48" s="159"/>
      <c r="C48" s="97" t="s">
        <v>140</v>
      </c>
      <c r="D48" s="97" t="s">
        <v>140</v>
      </c>
      <c r="E48" s="84"/>
      <c r="F48" s="133"/>
      <c r="G48" s="134"/>
      <c r="H48" s="134"/>
      <c r="I48" s="134"/>
      <c r="J48" s="84"/>
      <c r="K48" s="84"/>
    </row>
    <row r="49" spans="1:11" s="5" customFormat="1" ht="14.1" hidden="1" customHeight="1" x14ac:dyDescent="0.2">
      <c r="A49" s="155"/>
      <c r="B49" s="155"/>
      <c r="C49" s="155"/>
      <c r="D49" s="155"/>
      <c r="E49" s="84"/>
      <c r="F49" s="133"/>
      <c r="G49" s="134"/>
      <c r="H49" s="134"/>
      <c r="I49" s="134"/>
      <c r="J49" s="84"/>
      <c r="K49" s="84"/>
    </row>
    <row r="50" spans="1:11" s="5" customFormat="1" ht="14.1" hidden="1" customHeight="1" x14ac:dyDescent="0.2">
      <c r="A50" s="155"/>
      <c r="B50" s="155"/>
      <c r="C50" s="155"/>
      <c r="D50" s="155"/>
      <c r="E50" s="84"/>
      <c r="F50" s="133"/>
      <c r="G50" s="134"/>
      <c r="H50" s="134"/>
      <c r="I50" s="134"/>
      <c r="J50" s="84"/>
      <c r="K50" s="84"/>
    </row>
    <row r="51" spans="1:11" s="5" customFormat="1" ht="14.1" hidden="1" customHeight="1" x14ac:dyDescent="0.2">
      <c r="A51" s="155"/>
      <c r="B51" s="155"/>
      <c r="C51" s="155"/>
      <c r="D51" s="155"/>
      <c r="E51" s="84"/>
      <c r="F51" s="133"/>
      <c r="G51" s="134"/>
      <c r="H51" s="134"/>
      <c r="I51" s="134"/>
      <c r="J51" s="84"/>
      <c r="K51" s="84"/>
    </row>
    <row r="52" spans="1:11" s="5" customFormat="1" ht="14.1" customHeight="1" x14ac:dyDescent="0.2">
      <c r="A52" s="100" t="s">
        <v>139</v>
      </c>
      <c r="B52" s="159" t="s">
        <v>186</v>
      </c>
      <c r="C52" s="66">
        <v>2758616</v>
      </c>
      <c r="D52" s="66">
        <v>3445894</v>
      </c>
      <c r="E52" s="84"/>
      <c r="F52" s="133"/>
      <c r="G52" s="134"/>
      <c r="H52" s="134"/>
      <c r="I52" s="134"/>
      <c r="J52" s="84"/>
      <c r="K52" s="84"/>
    </row>
    <row r="53" spans="1:11" s="5" customFormat="1" ht="14.1" customHeight="1" x14ac:dyDescent="0.2">
      <c r="A53" s="100" t="s">
        <v>35</v>
      </c>
      <c r="B53" s="159"/>
      <c r="C53" s="66">
        <f>SUM(C41:C52)</f>
        <v>25665883</v>
      </c>
      <c r="D53" s="66">
        <f>SUM(D41:D52)</f>
        <v>32860188</v>
      </c>
      <c r="E53" s="84"/>
      <c r="F53" s="149"/>
      <c r="G53" s="134"/>
      <c r="H53" s="134"/>
      <c r="I53" s="134"/>
      <c r="J53" s="84"/>
      <c r="K53" s="84"/>
    </row>
    <row r="54" spans="1:11" s="5" customFormat="1" ht="14.1" customHeight="1" x14ac:dyDescent="0.2">
      <c r="A54" s="100"/>
      <c r="B54" s="159"/>
      <c r="C54" s="66"/>
      <c r="D54" s="66"/>
      <c r="E54" s="84"/>
      <c r="F54" s="149"/>
      <c r="G54" s="134"/>
      <c r="H54" s="134"/>
      <c r="I54" s="134"/>
      <c r="J54" s="84"/>
      <c r="K54" s="84"/>
    </row>
    <row r="55" spans="1:11" s="5" customFormat="1" ht="20.25" customHeight="1" x14ac:dyDescent="0.2">
      <c r="A55" s="161" t="s">
        <v>171</v>
      </c>
      <c r="B55" s="162" t="s">
        <v>0</v>
      </c>
      <c r="C55" s="163">
        <f>C38+C53</f>
        <v>314191544</v>
      </c>
      <c r="D55" s="163">
        <f>D38+D53</f>
        <v>332472624</v>
      </c>
      <c r="E55" s="84"/>
      <c r="F55" s="133"/>
      <c r="G55" s="134"/>
      <c r="H55" s="134"/>
      <c r="I55" s="134"/>
      <c r="J55" s="84"/>
      <c r="K55" s="84"/>
    </row>
    <row r="56" spans="1:11" s="5" customFormat="1" ht="27.75" hidden="1" customHeight="1" x14ac:dyDescent="0.2">
      <c r="A56" s="162" t="s">
        <v>42</v>
      </c>
      <c r="B56" s="156"/>
      <c r="C56" s="9"/>
      <c r="D56" s="9"/>
      <c r="E56" s="84"/>
      <c r="F56" s="133"/>
      <c r="G56" s="134"/>
      <c r="H56" s="134"/>
      <c r="I56" s="134"/>
      <c r="J56" s="84"/>
      <c r="K56" s="84"/>
    </row>
    <row r="57" spans="1:11" s="5" customFormat="1" ht="13.5" hidden="1" customHeight="1" x14ac:dyDescent="0.2">
      <c r="A57" s="156"/>
      <c r="B57" s="70"/>
      <c r="C57" s="70"/>
      <c r="D57" s="70"/>
      <c r="E57" s="84"/>
      <c r="F57" s="133"/>
      <c r="G57" s="134"/>
      <c r="H57" s="134"/>
      <c r="I57" s="134"/>
      <c r="J57" s="84"/>
      <c r="K57" s="84"/>
    </row>
    <row r="58" spans="1:11" s="5" customFormat="1" ht="14.1" customHeight="1" x14ac:dyDescent="0.2">
      <c r="A58" s="100"/>
      <c r="B58" s="98" t="s">
        <v>0</v>
      </c>
      <c r="C58" s="99"/>
      <c r="D58" s="99"/>
      <c r="E58" s="84"/>
      <c r="F58" s="16"/>
      <c r="G58" s="141"/>
      <c r="H58" s="141"/>
      <c r="I58" s="142"/>
      <c r="J58" s="84"/>
      <c r="K58" s="84"/>
    </row>
    <row r="59" spans="1:11" s="5" customFormat="1" ht="14.1" customHeight="1" x14ac:dyDescent="0.2">
      <c r="A59" s="100" t="s">
        <v>172</v>
      </c>
      <c r="B59" s="98" t="s">
        <v>0</v>
      </c>
      <c r="C59" s="99"/>
      <c r="D59" s="99"/>
      <c r="E59" s="84"/>
      <c r="F59" s="16"/>
      <c r="G59" s="14"/>
      <c r="H59" s="14"/>
      <c r="I59" s="143"/>
      <c r="J59" s="84"/>
      <c r="K59" s="84"/>
    </row>
    <row r="60" spans="1:11" s="5" customFormat="1" ht="14.1" customHeight="1" x14ac:dyDescent="0.2">
      <c r="A60" s="100" t="s">
        <v>201</v>
      </c>
      <c r="B60" s="98"/>
      <c r="C60" s="99"/>
      <c r="D60" s="99"/>
      <c r="E60" s="84"/>
      <c r="F60" s="16"/>
      <c r="G60" s="151"/>
      <c r="H60" s="151"/>
      <c r="I60" s="143"/>
      <c r="J60" s="84"/>
      <c r="K60" s="84"/>
    </row>
    <row r="61" spans="1:11" s="5" customFormat="1" ht="14.1" customHeight="1" x14ac:dyDescent="0.2">
      <c r="A61" s="100" t="s">
        <v>141</v>
      </c>
      <c r="B61" s="159" t="s">
        <v>187</v>
      </c>
      <c r="C61" s="66">
        <f>[2]BS!$Y$36+[2]BS!$Y$45</f>
        <v>16663996</v>
      </c>
      <c r="D61" s="66">
        <f>[1]BS!$T$34+[1]BS!$T$42</f>
        <v>16663996</v>
      </c>
      <c r="E61" s="84"/>
      <c r="F61" s="16"/>
      <c r="G61" s="141"/>
      <c r="H61" s="144"/>
      <c r="I61" s="144"/>
      <c r="J61" s="84"/>
      <c r="K61" s="84"/>
    </row>
    <row r="62" spans="1:11" s="5" customFormat="1" ht="14.1" customHeight="1" x14ac:dyDescent="0.2">
      <c r="A62" s="100" t="s">
        <v>93</v>
      </c>
      <c r="B62" s="159" t="s">
        <v>188</v>
      </c>
      <c r="C62" s="66">
        <v>1188176</v>
      </c>
      <c r="D62" s="66">
        <v>1188176</v>
      </c>
      <c r="E62" s="84"/>
      <c r="F62" s="16"/>
      <c r="G62" s="141"/>
      <c r="H62" s="144"/>
      <c r="I62" s="144"/>
      <c r="J62" s="84"/>
      <c r="K62" s="84"/>
    </row>
    <row r="63" spans="1:11" s="5" customFormat="1" ht="14.1" customHeight="1" x14ac:dyDescent="0.2">
      <c r="A63" s="100" t="s">
        <v>50</v>
      </c>
      <c r="B63" s="159"/>
      <c r="C63" s="99">
        <v>0</v>
      </c>
      <c r="D63" s="99">
        <v>0</v>
      </c>
      <c r="E63" s="84"/>
      <c r="F63" s="16"/>
      <c r="G63" s="141"/>
      <c r="H63" s="144"/>
      <c r="I63" s="144"/>
      <c r="J63" s="84"/>
      <c r="K63" s="84"/>
    </row>
    <row r="64" spans="1:11" s="5" customFormat="1" ht="14.1" customHeight="1" x14ac:dyDescent="0.2">
      <c r="A64" s="100" t="s">
        <v>51</v>
      </c>
      <c r="B64" s="159"/>
      <c r="C64" s="99">
        <v>0</v>
      </c>
      <c r="D64" s="99">
        <v>0</v>
      </c>
      <c r="E64" s="84"/>
      <c r="F64" s="16"/>
      <c r="G64" s="141"/>
      <c r="H64" s="144"/>
      <c r="I64" s="144"/>
      <c r="J64" s="84"/>
      <c r="K64" s="84"/>
    </row>
    <row r="65" spans="1:11" s="5" customFormat="1" ht="14.1" customHeight="1" x14ac:dyDescent="0.2">
      <c r="A65" s="100" t="s">
        <v>142</v>
      </c>
      <c r="B65" s="159"/>
      <c r="C65" s="66">
        <v>46211785</v>
      </c>
      <c r="D65" s="66">
        <v>50375040</v>
      </c>
      <c r="E65" s="84"/>
      <c r="F65" s="150">
        <f>D65-C65</f>
        <v>4163255</v>
      </c>
      <c r="G65" s="141"/>
      <c r="H65" s="144"/>
      <c r="I65" s="144"/>
      <c r="J65" s="84"/>
      <c r="K65" s="84"/>
    </row>
    <row r="66" spans="1:11" s="5" customFormat="1" ht="14.1" customHeight="1" x14ac:dyDescent="0.2">
      <c r="A66" s="100" t="s">
        <v>57</v>
      </c>
      <c r="B66" s="159"/>
      <c r="C66" s="66">
        <f>-64309769</f>
        <v>-64309769</v>
      </c>
      <c r="D66" s="179">
        <v>-29278000</v>
      </c>
      <c r="E66" s="84"/>
      <c r="F66" s="150">
        <f>D66+F65+ф2!C54</f>
        <v>-64309769</v>
      </c>
      <c r="G66" s="141"/>
      <c r="H66" s="144">
        <f>C66-F66</f>
        <v>0</v>
      </c>
      <c r="I66" s="144"/>
      <c r="J66" s="84"/>
      <c r="K66" s="84"/>
    </row>
    <row r="67" spans="1:11" s="5" customFormat="1" ht="14.1" customHeight="1" x14ac:dyDescent="0.2">
      <c r="A67" s="100" t="s">
        <v>32</v>
      </c>
      <c r="B67" s="159" t="s">
        <v>233</v>
      </c>
      <c r="C67" s="66">
        <v>39870437</v>
      </c>
      <c r="D67" s="66">
        <v>52642708</v>
      </c>
      <c r="E67" s="84"/>
      <c r="F67" s="16"/>
      <c r="G67" s="141"/>
      <c r="H67" s="144"/>
      <c r="I67" s="144"/>
      <c r="J67" s="84"/>
      <c r="K67" s="84"/>
    </row>
    <row r="68" spans="1:11" s="5" customFormat="1" ht="14.1" customHeight="1" x14ac:dyDescent="0.2">
      <c r="A68" s="100" t="s">
        <v>53</v>
      </c>
      <c r="B68" s="159"/>
      <c r="C68" s="66">
        <f>SUM(C61:C67)</f>
        <v>39624625</v>
      </c>
      <c r="D68" s="66">
        <f>SUM(D61:D67)</f>
        <v>91591920</v>
      </c>
      <c r="E68" s="84"/>
      <c r="F68" s="16"/>
      <c r="G68" s="141"/>
      <c r="H68" s="144"/>
      <c r="I68" s="144"/>
      <c r="J68" s="84"/>
      <c r="K68" s="84"/>
    </row>
    <row r="69" spans="1:11" s="5" customFormat="1" ht="14.1" customHeight="1" x14ac:dyDescent="0.2">
      <c r="A69" s="100" t="s">
        <v>173</v>
      </c>
      <c r="B69" s="159"/>
      <c r="C69" s="99"/>
      <c r="D69" s="99"/>
      <c r="E69" s="84"/>
      <c r="F69" s="16"/>
      <c r="G69" s="141"/>
      <c r="H69" s="138"/>
      <c r="I69" s="138"/>
      <c r="J69" s="84"/>
      <c r="K69" s="84"/>
    </row>
    <row r="70" spans="1:11" s="5" customFormat="1" ht="14.1" customHeight="1" x14ac:dyDescent="0.2">
      <c r="A70" s="100"/>
      <c r="B70" s="159"/>
      <c r="C70" s="99"/>
      <c r="D70" s="99"/>
      <c r="E70" s="84"/>
      <c r="F70" s="16"/>
      <c r="G70" s="141"/>
      <c r="H70" s="138"/>
      <c r="I70" s="138"/>
      <c r="J70" s="84"/>
      <c r="K70" s="84"/>
    </row>
    <row r="71" spans="1:11" s="5" customFormat="1" ht="14.1" customHeight="1" x14ac:dyDescent="0.2">
      <c r="A71" s="100" t="s">
        <v>189</v>
      </c>
      <c r="B71" s="159" t="s">
        <v>190</v>
      </c>
      <c r="C71" s="66">
        <v>150968349</v>
      </c>
      <c r="D71" s="66">
        <v>50690029</v>
      </c>
      <c r="E71" s="84"/>
      <c r="J71" s="84"/>
      <c r="K71" s="84"/>
    </row>
    <row r="72" spans="1:11" s="5" customFormat="1" ht="14.1" customHeight="1" x14ac:dyDescent="0.2">
      <c r="A72" s="100" t="s">
        <v>143</v>
      </c>
      <c r="B72" s="159" t="s">
        <v>191</v>
      </c>
      <c r="C72" s="66">
        <v>1706658</v>
      </c>
      <c r="D72" s="66">
        <f>[1]BS!$T$51</f>
        <v>1660433</v>
      </c>
      <c r="E72" s="84"/>
      <c r="F72" s="16"/>
      <c r="G72" s="141"/>
      <c r="H72" s="144"/>
      <c r="I72" s="144"/>
      <c r="J72" s="84"/>
      <c r="K72" s="84"/>
    </row>
    <row r="73" spans="1:11" s="5" customFormat="1" ht="14.1" customHeight="1" x14ac:dyDescent="0.2">
      <c r="A73" s="100" t="s">
        <v>46</v>
      </c>
      <c r="B73" s="159" t="s">
        <v>196</v>
      </c>
      <c r="C73" s="66">
        <f>3482769+25346</f>
        <v>3508115</v>
      </c>
      <c r="D73" s="66">
        <v>4548010</v>
      </c>
      <c r="E73" s="84"/>
      <c r="F73" s="16"/>
      <c r="G73" s="141"/>
      <c r="H73" s="144"/>
      <c r="I73" s="144"/>
      <c r="J73" s="84"/>
      <c r="K73" s="84"/>
    </row>
    <row r="74" spans="1:11" s="5" customFormat="1" ht="14.1" customHeight="1" x14ac:dyDescent="0.2">
      <c r="A74" s="100" t="s">
        <v>144</v>
      </c>
      <c r="B74" s="159" t="s">
        <v>198</v>
      </c>
      <c r="C74" s="66">
        <v>85080</v>
      </c>
      <c r="D74" s="66">
        <v>85080</v>
      </c>
      <c r="E74" s="84"/>
      <c r="F74" s="16"/>
      <c r="G74" s="141"/>
      <c r="H74" s="72"/>
      <c r="I74" s="144"/>
      <c r="J74" s="84"/>
      <c r="K74" s="84"/>
    </row>
    <row r="75" spans="1:11" s="5" customFormat="1" ht="14.1" customHeight="1" x14ac:dyDescent="0.2">
      <c r="A75" s="100" t="s">
        <v>47</v>
      </c>
      <c r="B75" s="159"/>
      <c r="C75" s="66">
        <v>43428190</v>
      </c>
      <c r="D75" s="66">
        <v>43455560</v>
      </c>
      <c r="E75" s="84"/>
      <c r="F75" s="16"/>
      <c r="G75" s="141"/>
      <c r="H75" s="72"/>
      <c r="I75" s="144"/>
      <c r="J75" s="84"/>
      <c r="K75" s="84"/>
    </row>
    <row r="76" spans="1:11" s="5" customFormat="1" ht="14.1" customHeight="1" x14ac:dyDescent="0.2">
      <c r="A76" s="100" t="s">
        <v>145</v>
      </c>
      <c r="B76" s="159" t="s">
        <v>194</v>
      </c>
      <c r="C76" s="66">
        <v>1875875</v>
      </c>
      <c r="D76" s="66">
        <f>[1]BS!$T$56</f>
        <v>1875875</v>
      </c>
      <c r="E76" s="84"/>
      <c r="F76" s="16"/>
      <c r="G76" s="141"/>
      <c r="H76" s="72"/>
      <c r="I76" s="144"/>
      <c r="J76" s="84"/>
      <c r="K76" s="84"/>
    </row>
    <row r="77" spans="1:11" s="5" customFormat="1" ht="14.1" customHeight="1" x14ac:dyDescent="0.2">
      <c r="A77" s="100" t="s">
        <v>154</v>
      </c>
      <c r="B77" s="159" t="s">
        <v>192</v>
      </c>
      <c r="C77" s="66">
        <v>3251675</v>
      </c>
      <c r="D77" s="66">
        <f>[1]BS!$T$53</f>
        <v>3298924</v>
      </c>
      <c r="E77" s="84"/>
      <c r="F77" s="16"/>
      <c r="G77" s="141"/>
      <c r="H77" s="72"/>
      <c r="I77" s="144"/>
      <c r="J77" s="84"/>
      <c r="K77" s="84"/>
    </row>
    <row r="78" spans="1:11" s="5" customFormat="1" ht="14.1" customHeight="1" x14ac:dyDescent="0.2">
      <c r="A78" s="100" t="s">
        <v>164</v>
      </c>
      <c r="B78" s="159" t="s">
        <v>195</v>
      </c>
      <c r="C78" s="66">
        <v>10801658</v>
      </c>
      <c r="D78" s="66">
        <f>[1]BS!$T$54</f>
        <v>12489926</v>
      </c>
      <c r="E78" s="84"/>
      <c r="F78" s="16"/>
      <c r="G78" s="141"/>
      <c r="H78" s="72"/>
      <c r="I78" s="144"/>
      <c r="J78" s="84"/>
      <c r="K78" s="84"/>
    </row>
    <row r="79" spans="1:11" s="5" customFormat="1" ht="14.1" customHeight="1" x14ac:dyDescent="0.2">
      <c r="A79" s="100" t="s">
        <v>48</v>
      </c>
      <c r="B79" s="98"/>
      <c r="C79" s="66">
        <f>SUM(C71:C78)</f>
        <v>215625600</v>
      </c>
      <c r="D79" s="66">
        <f>SUM(D71:D78)</f>
        <v>118103837</v>
      </c>
      <c r="E79" s="84"/>
      <c r="F79" s="16"/>
      <c r="G79" s="141"/>
      <c r="H79" s="72"/>
      <c r="I79" s="144"/>
      <c r="J79" s="84"/>
      <c r="K79" s="84"/>
    </row>
    <row r="80" spans="1:11" s="5" customFormat="1" ht="14.1" customHeight="1" x14ac:dyDescent="0.2">
      <c r="A80" s="100" t="s">
        <v>174</v>
      </c>
      <c r="B80" s="98"/>
      <c r="C80" s="98"/>
      <c r="D80" s="98"/>
      <c r="E80" s="84"/>
      <c r="F80" s="16"/>
      <c r="G80" s="14"/>
      <c r="H80" s="145"/>
      <c r="I80" s="146"/>
      <c r="J80" s="84"/>
      <c r="K80" s="84"/>
    </row>
    <row r="81" spans="1:11" s="5" customFormat="1" ht="14.1" customHeight="1" x14ac:dyDescent="0.2">
      <c r="A81" s="100"/>
      <c r="B81" s="155"/>
      <c r="C81" s="155"/>
      <c r="D81" s="155"/>
      <c r="E81" s="84"/>
      <c r="F81" s="16"/>
      <c r="G81" s="14"/>
      <c r="H81" s="145"/>
      <c r="I81" s="146"/>
      <c r="J81" s="84"/>
      <c r="K81" s="84"/>
    </row>
    <row r="82" spans="1:11" s="5" customFormat="1" ht="14.1" customHeight="1" x14ac:dyDescent="0.2">
      <c r="A82" s="100" t="s">
        <v>146</v>
      </c>
      <c r="B82" s="159" t="s">
        <v>191</v>
      </c>
      <c r="C82" s="66">
        <v>13438</v>
      </c>
      <c r="D82" s="66">
        <f>[1]BS!$T$65</f>
        <v>55013</v>
      </c>
      <c r="E82" s="84"/>
      <c r="F82" s="16"/>
      <c r="G82" s="14"/>
      <c r="H82" s="145"/>
      <c r="I82" s="146"/>
      <c r="J82" s="84"/>
      <c r="K82" s="84"/>
    </row>
    <row r="83" spans="1:11" s="5" customFormat="1" ht="14.1" customHeight="1" x14ac:dyDescent="0.2">
      <c r="A83" s="100" t="s">
        <v>147</v>
      </c>
      <c r="B83" s="159" t="s">
        <v>190</v>
      </c>
      <c r="C83" s="66">
        <v>39578956</v>
      </c>
      <c r="D83" s="66">
        <v>106314058</v>
      </c>
      <c r="E83" s="84"/>
      <c r="F83" s="16"/>
      <c r="G83" s="141"/>
      <c r="H83" s="72"/>
      <c r="I83" s="144"/>
      <c r="J83" s="84"/>
      <c r="K83" s="84"/>
    </row>
    <row r="84" spans="1:11" s="5" customFormat="1" ht="14.1" customHeight="1" x14ac:dyDescent="0.2">
      <c r="A84" s="100" t="s">
        <v>136</v>
      </c>
      <c r="B84" s="159" t="s">
        <v>198</v>
      </c>
      <c r="C84" s="66">
        <v>1744098</v>
      </c>
      <c r="D84" s="66">
        <f>1312826+514232</f>
        <v>1827058</v>
      </c>
      <c r="E84" s="84"/>
      <c r="F84" s="16"/>
      <c r="G84" s="141"/>
      <c r="H84" s="72"/>
      <c r="I84" s="144"/>
      <c r="J84" s="84"/>
      <c r="K84" s="84"/>
    </row>
    <row r="85" spans="1:11" s="5" customFormat="1" ht="14.1" customHeight="1" x14ac:dyDescent="0.2">
      <c r="A85" s="100" t="s">
        <v>199</v>
      </c>
      <c r="B85" s="159" t="s">
        <v>200</v>
      </c>
      <c r="C85" s="66">
        <v>250082</v>
      </c>
      <c r="D85" s="66">
        <f>[1]BS!$T$67-1</f>
        <v>250082</v>
      </c>
      <c r="E85" s="84"/>
      <c r="F85" s="16"/>
      <c r="G85" s="141"/>
      <c r="H85" s="145"/>
      <c r="I85" s="146"/>
      <c r="J85" s="84"/>
      <c r="K85" s="84"/>
    </row>
    <row r="86" spans="1:11" s="5" customFormat="1" ht="14.1" customHeight="1" x14ac:dyDescent="0.2">
      <c r="A86" s="100" t="s">
        <v>134</v>
      </c>
      <c r="B86" s="159" t="s">
        <v>197</v>
      </c>
      <c r="C86" s="66">
        <v>10873834</v>
      </c>
      <c r="D86" s="66">
        <f>[1]BS!$T$70</f>
        <v>8400348</v>
      </c>
      <c r="E86" s="84"/>
      <c r="F86" s="16"/>
      <c r="G86" s="141"/>
      <c r="H86" s="145"/>
      <c r="I86" s="146"/>
      <c r="J86" s="84"/>
      <c r="K86" s="84"/>
    </row>
    <row r="87" spans="1:11" s="5" customFormat="1" ht="14.1" customHeight="1" x14ac:dyDescent="0.2">
      <c r="A87" s="100" t="s">
        <v>43</v>
      </c>
      <c r="B87" s="159" t="s">
        <v>198</v>
      </c>
      <c r="C87" s="66">
        <v>9946</v>
      </c>
      <c r="D87" s="66">
        <v>9946</v>
      </c>
      <c r="E87" s="86"/>
      <c r="F87" s="16"/>
      <c r="G87" s="141"/>
      <c r="H87" s="72"/>
      <c r="I87" s="144"/>
      <c r="J87" s="84"/>
      <c r="K87" s="84"/>
    </row>
    <row r="88" spans="1:11" s="5" customFormat="1" ht="14.1" customHeight="1" x14ac:dyDescent="0.2">
      <c r="A88" s="100" t="s">
        <v>135</v>
      </c>
      <c r="B88" s="159" t="s">
        <v>198</v>
      </c>
      <c r="C88" s="66">
        <v>2270383</v>
      </c>
      <c r="D88" s="66">
        <v>1276753</v>
      </c>
      <c r="E88" s="86"/>
      <c r="F88" s="16"/>
      <c r="G88" s="141"/>
      <c r="H88" s="72"/>
      <c r="I88" s="144"/>
      <c r="J88" s="84"/>
      <c r="K88" s="84"/>
    </row>
    <row r="89" spans="1:11" s="5" customFormat="1" ht="14.1" customHeight="1" x14ac:dyDescent="0.2">
      <c r="A89" s="100" t="s">
        <v>44</v>
      </c>
      <c r="B89" s="159" t="s">
        <v>198</v>
      </c>
      <c r="C89" s="66">
        <v>2225019</v>
      </c>
      <c r="D89" s="66">
        <f>3031506-250082</f>
        <v>2781424</v>
      </c>
      <c r="E89" s="84"/>
      <c r="F89" s="16"/>
      <c r="G89" s="141"/>
      <c r="H89" s="72"/>
      <c r="I89" s="144"/>
      <c r="J89" s="84"/>
      <c r="K89" s="84"/>
    </row>
    <row r="90" spans="1:11" s="5" customFormat="1" ht="14.1" customHeight="1" x14ac:dyDescent="0.2">
      <c r="A90" s="100" t="s">
        <v>163</v>
      </c>
      <c r="B90" s="159" t="s">
        <v>195</v>
      </c>
      <c r="C90" s="66">
        <v>1975563</v>
      </c>
      <c r="D90" s="66">
        <v>1862185</v>
      </c>
      <c r="E90" s="84"/>
      <c r="F90" s="16"/>
      <c r="G90" s="141"/>
      <c r="H90" s="72"/>
      <c r="I90" s="144"/>
      <c r="J90" s="84"/>
      <c r="K90" s="84"/>
    </row>
    <row r="91" spans="1:11" s="5" customFormat="1" ht="13.5" customHeight="1" x14ac:dyDescent="0.2">
      <c r="A91" s="100" t="s">
        <v>45</v>
      </c>
      <c r="B91" s="159"/>
      <c r="C91" s="66">
        <f>SUM(C82:C90)</f>
        <v>58941319</v>
      </c>
      <c r="D91" s="66">
        <f>SUM(D82:D90)</f>
        <v>122776867</v>
      </c>
      <c r="E91" s="84"/>
      <c r="F91" s="16"/>
      <c r="G91" s="14"/>
      <c r="H91" s="72"/>
      <c r="I91" s="144"/>
      <c r="J91" s="84"/>
      <c r="K91" s="84"/>
    </row>
    <row r="92" spans="1:11" s="5" customFormat="1" ht="20.25" customHeight="1" x14ac:dyDescent="0.2">
      <c r="A92" s="100" t="s">
        <v>175</v>
      </c>
      <c r="B92" s="159"/>
      <c r="C92" s="66">
        <f>C79+C91</f>
        <v>274566919</v>
      </c>
      <c r="D92" s="66">
        <f>D79+D91</f>
        <v>240880704</v>
      </c>
      <c r="E92" s="84"/>
      <c r="F92" s="16"/>
      <c r="G92" s="151"/>
      <c r="H92" s="72"/>
      <c r="I92" s="144"/>
      <c r="J92" s="84"/>
      <c r="K92" s="84"/>
    </row>
    <row r="93" spans="1:11" s="5" customFormat="1" ht="15.75" customHeight="1" x14ac:dyDescent="0.2">
      <c r="A93" s="100"/>
      <c r="B93" s="159"/>
      <c r="C93" s="66"/>
      <c r="D93" s="66"/>
      <c r="E93" s="87"/>
      <c r="F93" s="16"/>
      <c r="G93" s="14"/>
      <c r="H93" s="72"/>
      <c r="I93" s="144"/>
      <c r="J93" s="84"/>
      <c r="K93" s="84"/>
    </row>
    <row r="94" spans="1:11" s="5" customFormat="1" ht="23.25" customHeight="1" x14ac:dyDescent="0.2">
      <c r="A94" s="161" t="s">
        <v>176</v>
      </c>
      <c r="B94" s="162" t="s">
        <v>0</v>
      </c>
      <c r="C94" s="163">
        <f>C68+C92</f>
        <v>314191544</v>
      </c>
      <c r="D94" s="163">
        <f>D68+D92</f>
        <v>332472624</v>
      </c>
      <c r="E94" s="86"/>
      <c r="F94" s="16"/>
      <c r="G94" s="16"/>
      <c r="H94" s="139"/>
      <c r="I94" s="139"/>
      <c r="J94" s="84"/>
      <c r="K94" s="84"/>
    </row>
    <row r="95" spans="1:11" s="5" customFormat="1" ht="15" customHeight="1" x14ac:dyDescent="0.2">
      <c r="A95" s="155"/>
      <c r="B95" s="155"/>
      <c r="C95" s="155"/>
      <c r="D95" s="153"/>
      <c r="E95" s="84"/>
      <c r="F95" s="16"/>
      <c r="G95" s="16"/>
      <c r="H95" s="140"/>
      <c r="I95" s="91"/>
      <c r="J95" s="84"/>
      <c r="K95" s="84"/>
    </row>
    <row r="96" spans="1:11" s="5" customFormat="1" ht="19.5" customHeight="1" x14ac:dyDescent="0.2">
      <c r="A96" s="155"/>
      <c r="B96" s="143"/>
      <c r="C96" s="164"/>
      <c r="D96" s="164"/>
      <c r="E96" s="84"/>
      <c r="F96" s="13"/>
      <c r="G96" s="14"/>
      <c r="H96" s="67"/>
      <c r="I96" s="15"/>
      <c r="J96" s="84"/>
      <c r="K96" s="84"/>
    </row>
    <row r="97" spans="1:11" s="5" customFormat="1" ht="18.75" customHeight="1" x14ac:dyDescent="0.2">
      <c r="A97" s="155"/>
      <c r="B97" s="155"/>
      <c r="C97" s="155"/>
      <c r="D97" s="155"/>
      <c r="E97" s="86">
        <f>C55-C94</f>
        <v>0</v>
      </c>
      <c r="F97" s="150">
        <f>D55-D94</f>
        <v>0</v>
      </c>
      <c r="G97" s="14"/>
      <c r="H97" s="80"/>
      <c r="I97" s="17">
        <f>D55-D94</f>
        <v>0</v>
      </c>
      <c r="J97" s="84"/>
      <c r="K97" s="84"/>
    </row>
    <row r="98" spans="1:11" s="5" customFormat="1" ht="18.75" customHeight="1" x14ac:dyDescent="0.2">
      <c r="A98" s="165" t="s">
        <v>0</v>
      </c>
      <c r="B98" s="143"/>
      <c r="C98" s="143"/>
      <c r="D98" s="17"/>
      <c r="E98" s="84"/>
      <c r="F98" s="16"/>
      <c r="G98" s="14"/>
      <c r="H98" s="14"/>
      <c r="I98" s="17"/>
      <c r="J98" s="84"/>
      <c r="K98" s="84"/>
    </row>
    <row r="99" spans="1:11" s="5" customFormat="1" ht="12" customHeight="1" x14ac:dyDescent="0.2">
      <c r="A99" s="165" t="s">
        <v>220</v>
      </c>
      <c r="B99" s="143"/>
      <c r="C99" s="153"/>
      <c r="D99" s="17" t="s">
        <v>221</v>
      </c>
      <c r="E99" s="84"/>
      <c r="F99" s="16"/>
      <c r="G99" s="14"/>
      <c r="H99" s="82"/>
      <c r="I99" s="82"/>
      <c r="J99" s="84"/>
      <c r="K99" s="84"/>
    </row>
    <row r="100" spans="1:11" s="5" customFormat="1" ht="12" customHeight="1" x14ac:dyDescent="0.2">
      <c r="A100" s="165"/>
      <c r="B100" s="143"/>
      <c r="C100" s="153"/>
      <c r="D100" s="153"/>
      <c r="E100" s="84"/>
      <c r="F100" s="16"/>
      <c r="G100" s="14"/>
      <c r="H100" s="82"/>
      <c r="I100" s="17"/>
      <c r="J100" s="84"/>
      <c r="K100" s="84"/>
    </row>
    <row r="101" spans="1:11" s="5" customFormat="1" ht="12" customHeight="1" x14ac:dyDescent="0.2">
      <c r="A101" s="165"/>
      <c r="B101" s="143"/>
      <c r="C101" s="143"/>
      <c r="D101" s="17"/>
      <c r="E101" s="84"/>
      <c r="F101" s="16"/>
      <c r="G101" s="14"/>
      <c r="H101" s="14"/>
      <c r="I101" s="18"/>
      <c r="J101" s="84"/>
      <c r="K101" s="84"/>
    </row>
    <row r="102" spans="1:11" s="5" customFormat="1" ht="12" customHeight="1" x14ac:dyDescent="0.2">
      <c r="A102" s="165" t="s">
        <v>149</v>
      </c>
      <c r="B102" s="143"/>
      <c r="C102" s="143"/>
      <c r="D102" s="18" t="s">
        <v>156</v>
      </c>
      <c r="E102" s="84"/>
      <c r="F102" s="16"/>
      <c r="G102" s="14"/>
      <c r="H102" s="14"/>
      <c r="I102" s="17"/>
      <c r="J102" s="84"/>
      <c r="K102" s="84"/>
    </row>
    <row r="103" spans="1:11" s="5" customFormat="1" ht="12" customHeight="1" x14ac:dyDescent="0.2">
      <c r="A103" s="155"/>
      <c r="B103" s="6"/>
      <c r="C103" s="6"/>
      <c r="D103" s="7"/>
      <c r="E103" s="84"/>
      <c r="F103" s="16"/>
      <c r="G103" s="14"/>
      <c r="H103" s="14"/>
      <c r="I103" s="17"/>
      <c r="J103" s="84"/>
      <c r="K103" s="84"/>
    </row>
    <row r="104" spans="1:11" s="5" customFormat="1" ht="12" customHeight="1" x14ac:dyDescent="0.2">
      <c r="A104" s="155" t="s">
        <v>54</v>
      </c>
      <c r="B104" s="6"/>
      <c r="C104" s="6"/>
      <c r="D104" s="7"/>
      <c r="E104" s="84"/>
      <c r="F104" s="16"/>
      <c r="G104" s="14"/>
      <c r="H104" s="14"/>
      <c r="I104" s="17"/>
      <c r="J104" s="84"/>
      <c r="K104" s="84"/>
    </row>
    <row r="105" spans="1:11" s="5" customFormat="1" ht="12" customHeight="1" x14ac:dyDescent="0.2">
      <c r="A105" s="155"/>
      <c r="B105" s="166"/>
      <c r="C105" s="58"/>
      <c r="D105" s="58"/>
      <c r="E105" s="84"/>
      <c r="F105" s="133"/>
      <c r="G105" s="134"/>
      <c r="H105" s="134"/>
      <c r="I105" s="134"/>
      <c r="J105" s="84"/>
      <c r="K105" s="84"/>
    </row>
    <row r="106" spans="1:11" s="5" customFormat="1" ht="12" customHeight="1" x14ac:dyDescent="0.2">
      <c r="A106" s="166"/>
      <c r="B106" s="166"/>
      <c r="C106" s="166"/>
      <c r="D106" s="58"/>
      <c r="E106" s="84"/>
      <c r="F106" s="133"/>
      <c r="G106" s="134"/>
      <c r="H106" s="134"/>
      <c r="I106" s="134"/>
      <c r="J106" s="84"/>
      <c r="K106" s="84"/>
    </row>
    <row r="107" spans="1:11" s="5" customFormat="1" ht="12" customHeight="1" x14ac:dyDescent="0.2">
      <c r="A107" s="166"/>
      <c r="B107" s="166"/>
      <c r="C107" s="166"/>
      <c r="D107" s="58"/>
      <c r="E107" s="84"/>
      <c r="F107" s="133"/>
      <c r="G107" s="134"/>
      <c r="H107" s="134"/>
      <c r="I107" s="134"/>
      <c r="J107" s="84"/>
      <c r="K107" s="84"/>
    </row>
    <row r="108" spans="1:11" s="5" customFormat="1" ht="12" customHeight="1" x14ac:dyDescent="0.2">
      <c r="A108" s="166"/>
      <c r="B108" s="166"/>
      <c r="C108" s="166"/>
      <c r="D108" s="58"/>
      <c r="E108" s="84"/>
      <c r="F108" s="133"/>
      <c r="G108" s="134"/>
      <c r="H108" s="134"/>
      <c r="I108" s="134"/>
      <c r="J108" s="84"/>
      <c r="K108" s="84"/>
    </row>
    <row r="109" spans="1:11" s="5" customFormat="1" ht="12" customHeight="1" x14ac:dyDescent="0.2">
      <c r="A109" s="166"/>
      <c r="B109" s="166"/>
      <c r="C109" s="166"/>
      <c r="D109" s="58"/>
      <c r="E109" s="84"/>
      <c r="F109" s="133"/>
      <c r="G109" s="134"/>
      <c r="H109" s="134"/>
      <c r="I109" s="134"/>
      <c r="J109" s="84"/>
      <c r="K109" s="84"/>
    </row>
    <row r="110" spans="1:11" s="5" customFormat="1" ht="12" customHeight="1" x14ac:dyDescent="0.2">
      <c r="A110" s="166"/>
      <c r="B110" s="166"/>
      <c r="C110" s="166"/>
      <c r="D110" s="58"/>
      <c r="E110" s="84"/>
      <c r="F110" s="133"/>
      <c r="G110" s="134"/>
      <c r="H110" s="134"/>
      <c r="I110" s="134"/>
      <c r="J110" s="84"/>
      <c r="K110" s="84"/>
    </row>
    <row r="111" spans="1:11" s="5" customFormat="1" ht="12" customHeight="1" x14ac:dyDescent="0.2">
      <c r="A111" s="166"/>
      <c r="B111" s="155"/>
      <c r="C111" s="155"/>
      <c r="D111" s="7"/>
      <c r="E111" s="84"/>
      <c r="F111" s="133"/>
      <c r="G111" s="134"/>
      <c r="H111" s="134"/>
      <c r="I111" s="134"/>
      <c r="J111" s="84"/>
      <c r="K111" s="84"/>
    </row>
    <row r="112" spans="1:11" s="5" customFormat="1" ht="12" customHeight="1" x14ac:dyDescent="0.2">
      <c r="A112" s="155"/>
      <c r="B112" s="155"/>
      <c r="C112" s="155"/>
      <c r="D112" s="7"/>
      <c r="E112" s="84"/>
      <c r="F112" s="133"/>
      <c r="G112" s="134"/>
      <c r="H112" s="134"/>
      <c r="I112" s="134"/>
      <c r="J112" s="84"/>
      <c r="K112" s="84"/>
    </row>
    <row r="113" spans="1:11" s="5" customFormat="1" ht="12" customHeight="1" x14ac:dyDescent="0.2">
      <c r="A113" s="155"/>
      <c r="B113" s="155"/>
      <c r="C113" s="155"/>
      <c r="D113" s="7"/>
      <c r="E113" s="84"/>
      <c r="F113" s="133"/>
      <c r="G113" s="134"/>
      <c r="H113" s="134"/>
      <c r="I113" s="134"/>
      <c r="J113" s="84"/>
      <c r="K113" s="84"/>
    </row>
    <row r="114" spans="1:11" ht="12" customHeight="1" x14ac:dyDescent="0.2">
      <c r="A114" s="155"/>
    </row>
    <row r="115" spans="1:11" ht="12" customHeight="1" x14ac:dyDescent="0.2"/>
    <row r="116" spans="1:11" ht="12" customHeight="1" x14ac:dyDescent="0.2"/>
    <row r="117" spans="1:11" ht="12" customHeight="1" x14ac:dyDescent="0.2"/>
    <row r="118" spans="1:11" ht="12" customHeight="1" x14ac:dyDescent="0.2"/>
    <row r="119" spans="1:11" ht="12" customHeight="1" x14ac:dyDescent="0.2"/>
    <row r="120" spans="1:11" ht="12" customHeight="1" x14ac:dyDescent="0.2"/>
    <row r="121" spans="1:11" ht="12" customHeight="1" x14ac:dyDescent="0.2"/>
    <row r="122" spans="1:11" ht="12" customHeight="1" x14ac:dyDescent="0.2"/>
    <row r="123" spans="1:11" ht="12" customHeight="1" x14ac:dyDescent="0.2"/>
    <row r="124" spans="1:11" ht="12" customHeight="1" x14ac:dyDescent="0.2"/>
    <row r="125" spans="1:11" ht="12" customHeight="1" x14ac:dyDescent="0.2"/>
    <row r="126" spans="1:11" ht="12" customHeight="1" x14ac:dyDescent="0.2"/>
    <row r="127" spans="1:11" ht="12" customHeight="1" x14ac:dyDescent="0.2"/>
    <row r="128" spans="1:1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</sheetData>
  <mergeCells count="10">
    <mergeCell ref="A7:D7"/>
    <mergeCell ref="A9:D9"/>
    <mergeCell ref="A22:D22"/>
    <mergeCell ref="A14:D14"/>
    <mergeCell ref="A10:D10"/>
    <mergeCell ref="A15:D15"/>
    <mergeCell ref="A17:D17"/>
    <mergeCell ref="A19:D19"/>
    <mergeCell ref="A12:D12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O63"/>
  <sheetViews>
    <sheetView tabSelected="1" topLeftCell="A7" zoomScaleNormal="100" workbookViewId="0">
      <selection activeCell="B55" sqref="B55"/>
    </sheetView>
  </sheetViews>
  <sheetFormatPr defaultRowHeight="14.25" x14ac:dyDescent="0.2"/>
  <cols>
    <col min="1" max="1" width="57.42578125" style="3" customWidth="1"/>
    <col min="2" max="2" width="8.5703125" style="3" customWidth="1"/>
    <col min="3" max="4" width="17.140625" style="3" customWidth="1"/>
    <col min="5" max="5" width="15.7109375" style="3" customWidth="1"/>
    <col min="6" max="6" width="22.140625" style="3" hidden="1" customWidth="1"/>
    <col min="7" max="7" width="20.28515625" style="3" customWidth="1"/>
    <col min="8" max="8" width="1.140625" style="30" hidden="1" customWidth="1"/>
    <col min="9" max="9" width="17.5703125" style="3" hidden="1" customWidth="1"/>
    <col min="10" max="10" width="0" style="3" hidden="1" customWidth="1"/>
    <col min="11" max="11" width="17.5703125" style="3" hidden="1" customWidth="1"/>
    <col min="12" max="14" width="9.140625" style="3"/>
    <col min="15" max="15" width="21.7109375" style="3" hidden="1" customWidth="1"/>
    <col min="16" max="16384" width="9.140625" style="3"/>
  </cols>
  <sheetData>
    <row r="8" spans="1:6" ht="50.25" customHeight="1" x14ac:dyDescent="0.3">
      <c r="A8" s="201" t="s">
        <v>223</v>
      </c>
      <c r="B8" s="201"/>
      <c r="C8" s="201"/>
      <c r="D8" s="201"/>
      <c r="E8" s="201"/>
      <c r="F8" s="201"/>
    </row>
    <row r="9" spans="1:6" x14ac:dyDescent="0.2">
      <c r="A9" s="202"/>
      <c r="B9" s="202"/>
      <c r="C9" s="202"/>
      <c r="D9" s="202"/>
      <c r="E9" s="202"/>
      <c r="F9" s="202"/>
    </row>
    <row r="10" spans="1:6" x14ac:dyDescent="0.2">
      <c r="A10" s="202"/>
      <c r="B10" s="202"/>
      <c r="C10" s="202"/>
      <c r="D10" s="202"/>
      <c r="E10" s="202"/>
      <c r="F10" s="202"/>
    </row>
    <row r="11" spans="1:6" hidden="1" x14ac:dyDescent="0.2">
      <c r="A11" s="202" t="s">
        <v>74</v>
      </c>
      <c r="B11" s="202"/>
      <c r="C11" s="202"/>
      <c r="D11" s="202"/>
      <c r="E11" s="202"/>
      <c r="F11" s="202"/>
    </row>
    <row r="12" spans="1:6" hidden="1" x14ac:dyDescent="0.2">
      <c r="A12" s="203"/>
      <c r="B12" s="203"/>
      <c r="C12" s="203"/>
      <c r="D12" s="203"/>
      <c r="E12" s="203"/>
      <c r="F12" s="203"/>
    </row>
    <row r="13" spans="1:6" ht="15.75" hidden="1" x14ac:dyDescent="0.2">
      <c r="A13" s="199" t="s">
        <v>123</v>
      </c>
      <c r="B13" s="199"/>
      <c r="C13" s="199"/>
      <c r="D13" s="199"/>
      <c r="E13" s="199"/>
      <c r="F13" s="199"/>
    </row>
    <row r="14" spans="1:6" ht="15.75" hidden="1" x14ac:dyDescent="0.2">
      <c r="A14" s="62"/>
      <c r="B14" s="62"/>
      <c r="C14" s="62"/>
      <c r="D14" s="105"/>
      <c r="E14" s="62"/>
      <c r="F14" s="65"/>
    </row>
    <row r="15" spans="1:6" ht="15.75" hidden="1" x14ac:dyDescent="0.2">
      <c r="A15" s="199" t="s">
        <v>150</v>
      </c>
      <c r="B15" s="199"/>
      <c r="C15" s="199"/>
      <c r="D15" s="199"/>
      <c r="E15" s="199"/>
      <c r="F15" s="199"/>
    </row>
    <row r="16" spans="1:6" ht="15.75" hidden="1" x14ac:dyDescent="0.2">
      <c r="A16" s="198" t="s">
        <v>1</v>
      </c>
      <c r="B16" s="198"/>
      <c r="C16" s="198"/>
      <c r="D16" s="198"/>
      <c r="E16" s="198"/>
      <c r="F16" s="198"/>
    </row>
    <row r="17" spans="1:15" ht="15.75" hidden="1" x14ac:dyDescent="0.2">
      <c r="A17" s="62"/>
      <c r="B17" s="62"/>
      <c r="C17" s="62"/>
      <c r="D17" s="105"/>
      <c r="E17" s="62"/>
      <c r="F17" s="65"/>
    </row>
    <row r="18" spans="1:15" ht="15.75" hidden="1" x14ac:dyDescent="0.2">
      <c r="A18" s="199" t="s">
        <v>124</v>
      </c>
      <c r="B18" s="199"/>
      <c r="C18" s="199"/>
      <c r="D18" s="199"/>
      <c r="E18" s="199"/>
      <c r="F18" s="199"/>
    </row>
    <row r="19" spans="1:15" ht="15.75" hidden="1" x14ac:dyDescent="0.2">
      <c r="A19" s="62"/>
      <c r="B19" s="62"/>
      <c r="C19" s="62"/>
      <c r="D19" s="105"/>
      <c r="E19" s="62"/>
      <c r="F19" s="65"/>
    </row>
    <row r="20" spans="1:15" ht="15.75" hidden="1" x14ac:dyDescent="0.2">
      <c r="A20" s="199" t="s">
        <v>162</v>
      </c>
      <c r="B20" s="199"/>
      <c r="C20" s="199"/>
      <c r="D20" s="199"/>
      <c r="E20" s="199"/>
      <c r="F20" s="199"/>
    </row>
    <row r="21" spans="1:15" x14ac:dyDescent="0.2">
      <c r="A21" s="200" t="s">
        <v>168</v>
      </c>
      <c r="B21" s="200"/>
      <c r="C21" s="200"/>
      <c r="D21" s="200"/>
      <c r="E21" s="200"/>
      <c r="F21" s="200"/>
      <c r="G21" s="30"/>
    </row>
    <row r="22" spans="1:15" ht="71.25" x14ac:dyDescent="0.2">
      <c r="A22" s="8" t="s">
        <v>2</v>
      </c>
      <c r="B22" s="106" t="s">
        <v>177</v>
      </c>
      <c r="C22" s="186" t="s">
        <v>224</v>
      </c>
      <c r="D22" s="186" t="s">
        <v>219</v>
      </c>
      <c r="E22" s="186" t="s">
        <v>226</v>
      </c>
      <c r="F22" s="106" t="s">
        <v>216</v>
      </c>
      <c r="G22" s="106" t="s">
        <v>205</v>
      </c>
      <c r="H22" s="107"/>
      <c r="I22" s="30"/>
      <c r="O22" s="106" t="s">
        <v>225</v>
      </c>
    </row>
    <row r="23" spans="1:15" x14ac:dyDescent="0.2">
      <c r="A23" s="21" t="s">
        <v>213</v>
      </c>
      <c r="B23" s="108" t="s">
        <v>206</v>
      </c>
      <c r="C23" s="124">
        <v>63074002</v>
      </c>
      <c r="D23" s="124">
        <f>C23-O23</f>
        <v>15661303</v>
      </c>
      <c r="E23" s="109">
        <v>54051216</v>
      </c>
      <c r="F23" s="169">
        <f>[3]PL!$Y$6</f>
        <v>25316851</v>
      </c>
      <c r="G23" s="169">
        <v>11641317</v>
      </c>
      <c r="H23" s="110"/>
      <c r="I23" s="128">
        <f>(D23-G23)/G23</f>
        <v>0.34532055093079245</v>
      </c>
      <c r="K23" s="178">
        <f>C23/F23-100%</f>
        <v>1.491384177281764</v>
      </c>
      <c r="O23" s="124">
        <v>47412699</v>
      </c>
    </row>
    <row r="24" spans="1:15" x14ac:dyDescent="0.2">
      <c r="A24" s="21" t="s">
        <v>214</v>
      </c>
      <c r="B24" s="108" t="s">
        <v>207</v>
      </c>
      <c r="C24" s="124">
        <v>49625163</v>
      </c>
      <c r="D24" s="124">
        <f t="shared" ref="D24:D57" si="0">C24-O24</f>
        <v>16132260</v>
      </c>
      <c r="E24" s="109">
        <v>38191964</v>
      </c>
      <c r="F24" s="169">
        <f>-[3]PL!$Y$8</f>
        <v>12654561</v>
      </c>
      <c r="G24" s="169">
        <v>12647709</v>
      </c>
      <c r="H24" s="110"/>
      <c r="I24" s="128">
        <f t="shared" ref="I24:I57" si="1">(D24-G24)/G24</f>
        <v>0.27550847351089436</v>
      </c>
      <c r="K24" s="178">
        <f t="shared" ref="K24:K57" si="2">C24/F24-100%</f>
        <v>2.9215238679555933</v>
      </c>
      <c r="O24" s="124">
        <v>33492903</v>
      </c>
    </row>
    <row r="25" spans="1:15" x14ac:dyDescent="0.2">
      <c r="A25" s="21" t="s">
        <v>105</v>
      </c>
      <c r="B25" s="108"/>
      <c r="C25" s="124">
        <f>C23-C24</f>
        <v>13448839</v>
      </c>
      <c r="D25" s="124">
        <f t="shared" si="0"/>
        <v>-470957</v>
      </c>
      <c r="E25" s="124">
        <f t="shared" ref="E25:G25" si="3">E23-E24</f>
        <v>15859252</v>
      </c>
      <c r="F25" s="124">
        <f t="shared" si="3"/>
        <v>12662290</v>
      </c>
      <c r="G25" s="124">
        <f t="shared" si="3"/>
        <v>-1006392</v>
      </c>
      <c r="H25" s="110"/>
      <c r="I25" s="128">
        <f t="shared" si="1"/>
        <v>-0.53203423715609821</v>
      </c>
      <c r="K25" s="178">
        <f t="shared" si="2"/>
        <v>6.2117436893326605E-2</v>
      </c>
      <c r="O25" s="124">
        <v>13919796</v>
      </c>
    </row>
    <row r="26" spans="1:15" x14ac:dyDescent="0.2">
      <c r="A26" s="21" t="s">
        <v>75</v>
      </c>
      <c r="B26" s="108" t="s">
        <v>208</v>
      </c>
      <c r="C26" s="124">
        <v>599814</v>
      </c>
      <c r="D26" s="124">
        <f t="shared" si="0"/>
        <v>212064</v>
      </c>
      <c r="E26" s="109">
        <v>2357788</v>
      </c>
      <c r="F26" s="169">
        <f>[3]PL!$Y$15</f>
        <v>1948321</v>
      </c>
      <c r="G26" s="169">
        <v>115383</v>
      </c>
      <c r="H26" s="110"/>
      <c r="I26" s="128">
        <f t="shared" si="1"/>
        <v>0.83791373079223108</v>
      </c>
      <c r="K26" s="178">
        <f t="shared" si="2"/>
        <v>-0.69213799984704782</v>
      </c>
      <c r="O26" s="124">
        <v>387750</v>
      </c>
    </row>
    <row r="27" spans="1:15" x14ac:dyDescent="0.2">
      <c r="A27" s="21" t="s">
        <v>160</v>
      </c>
      <c r="B27" s="108" t="s">
        <v>209</v>
      </c>
      <c r="C27" s="124">
        <f>-932648</f>
        <v>-932648</v>
      </c>
      <c r="D27" s="124">
        <f t="shared" si="0"/>
        <v>-315129</v>
      </c>
      <c r="E27" s="124">
        <f>-646975</f>
        <v>-646975</v>
      </c>
      <c r="F27" s="169">
        <f>[3]PL!$Y$20+[3]PL!$Y$21-1</f>
        <v>-757192</v>
      </c>
      <c r="G27" s="169">
        <v>363351</v>
      </c>
      <c r="H27" s="167"/>
      <c r="I27" s="168">
        <f t="shared" si="1"/>
        <v>-1.8672853521801234</v>
      </c>
      <c r="K27" s="178">
        <f t="shared" si="2"/>
        <v>0.2317192997284705</v>
      </c>
      <c r="O27" s="124">
        <v>-617519</v>
      </c>
    </row>
    <row r="28" spans="1:15" x14ac:dyDescent="0.2">
      <c r="A28" s="21" t="s">
        <v>215</v>
      </c>
      <c r="B28" s="108" t="s">
        <v>210</v>
      </c>
      <c r="C28" s="124">
        <v>786818</v>
      </c>
      <c r="D28" s="124">
        <f t="shared" si="0"/>
        <v>258641</v>
      </c>
      <c r="E28" s="124">
        <v>687024</v>
      </c>
      <c r="F28" s="169">
        <f>-[3]PL!$Y$13</f>
        <v>220628</v>
      </c>
      <c r="G28" s="169">
        <v>224411</v>
      </c>
      <c r="H28" s="167"/>
      <c r="I28" s="168">
        <f t="shared" si="1"/>
        <v>0.15253262986217253</v>
      </c>
      <c r="K28" s="178">
        <f t="shared" si="2"/>
        <v>2.5662653878927424</v>
      </c>
      <c r="O28" s="124">
        <v>528177</v>
      </c>
    </row>
    <row r="29" spans="1:15" x14ac:dyDescent="0.2">
      <c r="A29" s="21" t="s">
        <v>76</v>
      </c>
      <c r="B29" s="108" t="s">
        <v>211</v>
      </c>
      <c r="C29" s="124">
        <v>3554157</v>
      </c>
      <c r="D29" s="124">
        <f t="shared" si="0"/>
        <v>1238185</v>
      </c>
      <c r="E29" s="109">
        <v>3251758</v>
      </c>
      <c r="F29" s="169">
        <f>-[3]PL!$Y$12</f>
        <v>1103929</v>
      </c>
      <c r="G29" s="169">
        <v>1225157</v>
      </c>
      <c r="H29" s="110"/>
      <c r="I29" s="128">
        <f t="shared" si="1"/>
        <v>1.0633739186079825E-2</v>
      </c>
      <c r="K29" s="178">
        <f t="shared" si="2"/>
        <v>2.2195521632278887</v>
      </c>
      <c r="O29" s="124">
        <v>2315972</v>
      </c>
    </row>
    <row r="30" spans="1:15" x14ac:dyDescent="0.2">
      <c r="A30" s="21" t="s">
        <v>77</v>
      </c>
      <c r="B30" s="108" t="s">
        <v>212</v>
      </c>
      <c r="C30" s="124">
        <v>21124451</v>
      </c>
      <c r="D30" s="124">
        <f t="shared" si="0"/>
        <v>7000066</v>
      </c>
      <c r="E30" s="109">
        <v>13664140</v>
      </c>
      <c r="F30" s="169">
        <f>-[3]PL!$Y$14</f>
        <v>4388696</v>
      </c>
      <c r="G30" s="169">
        <v>4607909</v>
      </c>
      <c r="H30" s="110"/>
      <c r="I30" s="128">
        <f t="shared" si="1"/>
        <v>0.51914154554701497</v>
      </c>
      <c r="K30" s="178">
        <f t="shared" si="2"/>
        <v>3.8133775955317937</v>
      </c>
      <c r="O30" s="124">
        <v>14124385</v>
      </c>
    </row>
    <row r="31" spans="1:15" x14ac:dyDescent="0.2">
      <c r="A31" s="21" t="s">
        <v>158</v>
      </c>
      <c r="B31" s="108" t="s">
        <v>232</v>
      </c>
      <c r="C31" s="124">
        <f>39453490</f>
        <v>39453490</v>
      </c>
      <c r="D31" s="124">
        <f t="shared" si="0"/>
        <v>-12636116</v>
      </c>
      <c r="E31" s="109">
        <v>2221669</v>
      </c>
      <c r="F31" s="169">
        <f>[3]PL!$Y$16</f>
        <v>570576</v>
      </c>
      <c r="G31" s="169">
        <f>-698141</f>
        <v>-698141</v>
      </c>
      <c r="H31" s="110"/>
      <c r="I31" s="128">
        <f t="shared" si="1"/>
        <v>17.099661816166076</v>
      </c>
      <c r="K31" s="178">
        <f t="shared" si="2"/>
        <v>68.146774487535396</v>
      </c>
      <c r="O31" s="124">
        <v>52089606</v>
      </c>
    </row>
    <row r="32" spans="1:15" ht="28.5" x14ac:dyDescent="0.2">
      <c r="A32" s="20" t="s">
        <v>78</v>
      </c>
      <c r="B32" s="108"/>
      <c r="C32" s="181"/>
      <c r="D32" s="124">
        <f t="shared" si="0"/>
        <v>0</v>
      </c>
      <c r="E32" s="111">
        <v>0</v>
      </c>
      <c r="F32" s="169">
        <f>SUM(G32:H32)</f>
        <v>0</v>
      </c>
      <c r="G32" s="169">
        <v>0</v>
      </c>
      <c r="H32" s="112"/>
      <c r="I32" s="128"/>
      <c r="K32" s="178"/>
      <c r="O32" s="181"/>
    </row>
    <row r="33" spans="1:15" ht="42.75" x14ac:dyDescent="0.2">
      <c r="A33" s="20" t="s">
        <v>106</v>
      </c>
      <c r="B33" s="113"/>
      <c r="C33" s="177">
        <f>C25+C26+C27-C28-C29-C30-C31+C32</f>
        <v>-51802911</v>
      </c>
      <c r="D33" s="124">
        <f t="shared" si="0"/>
        <v>3565202</v>
      </c>
      <c r="E33" s="177">
        <f>E25+E26+E27-E28-E29-E30-E31+E32</f>
        <v>-2254526</v>
      </c>
      <c r="F33" s="177">
        <f t="shared" ref="F33:G33" si="4">F25+F26+F27-F28-F29-F30-F31+F32</f>
        <v>7569590</v>
      </c>
      <c r="G33" s="177">
        <f t="shared" si="4"/>
        <v>-5886994</v>
      </c>
      <c r="H33" s="115"/>
      <c r="I33" s="128">
        <f t="shared" si="1"/>
        <v>-1.6056065285610959</v>
      </c>
      <c r="K33" s="178">
        <f t="shared" si="2"/>
        <v>-7.8435557275889449</v>
      </c>
      <c r="O33" s="177">
        <v>-55368113</v>
      </c>
    </row>
    <row r="34" spans="1:15" x14ac:dyDescent="0.2">
      <c r="A34" s="21" t="s">
        <v>107</v>
      </c>
      <c r="B34" s="108"/>
      <c r="C34" s="181">
        <v>0</v>
      </c>
      <c r="D34" s="124">
        <f t="shared" si="0"/>
        <v>0</v>
      </c>
      <c r="E34" s="111">
        <v>0</v>
      </c>
      <c r="F34" s="169">
        <f>SUM(G34:H34)</f>
        <v>0</v>
      </c>
      <c r="G34" s="169">
        <f>SUM(H34:I34)</f>
        <v>0</v>
      </c>
      <c r="H34" s="112"/>
      <c r="I34" s="128"/>
      <c r="K34" s="178"/>
      <c r="O34" s="181">
        <v>0</v>
      </c>
    </row>
    <row r="35" spans="1:15" x14ac:dyDescent="0.2">
      <c r="A35" s="21" t="s">
        <v>108</v>
      </c>
      <c r="B35" s="108"/>
      <c r="C35" s="177">
        <f>C33+C34</f>
        <v>-51802911</v>
      </c>
      <c r="D35" s="124">
        <f t="shared" si="0"/>
        <v>3565202</v>
      </c>
      <c r="E35" s="114">
        <f>E33</f>
        <v>-2254526</v>
      </c>
      <c r="F35" s="169">
        <f>F33</f>
        <v>7569590</v>
      </c>
      <c r="G35" s="169">
        <f>G33</f>
        <v>-5886994</v>
      </c>
      <c r="H35" s="115"/>
      <c r="I35" s="128">
        <f t="shared" si="1"/>
        <v>-1.6056065285610959</v>
      </c>
      <c r="K35" s="178">
        <f t="shared" si="2"/>
        <v>-7.8435557275889449</v>
      </c>
      <c r="O35" s="177">
        <v>-55368113</v>
      </c>
    </row>
    <row r="36" spans="1:15" x14ac:dyDescent="0.2">
      <c r="A36" s="21" t="s">
        <v>217</v>
      </c>
      <c r="B36" s="108" t="s">
        <v>218</v>
      </c>
      <c r="C36" s="177">
        <v>164384</v>
      </c>
      <c r="D36" s="124">
        <f t="shared" si="0"/>
        <v>74056</v>
      </c>
      <c r="E36" s="114">
        <v>517042</v>
      </c>
      <c r="F36" s="169">
        <f>-[3]PL!$Y$29</f>
        <v>208681</v>
      </c>
      <c r="G36" s="124">
        <v>86153</v>
      </c>
      <c r="H36" s="115"/>
      <c r="I36" s="128">
        <f t="shared" si="1"/>
        <v>-0.14041298619897161</v>
      </c>
      <c r="K36" s="178">
        <f t="shared" si="2"/>
        <v>-0.21227136155184223</v>
      </c>
      <c r="O36" s="177">
        <v>90328</v>
      </c>
    </row>
    <row r="37" spans="1:15" x14ac:dyDescent="0.2">
      <c r="A37" s="20" t="s">
        <v>109</v>
      </c>
      <c r="B37" s="113"/>
      <c r="C37" s="177">
        <f>C35-C36</f>
        <v>-51967295</v>
      </c>
      <c r="D37" s="124">
        <f t="shared" si="0"/>
        <v>3491146</v>
      </c>
      <c r="E37" s="114">
        <f>E35-E36</f>
        <v>-2771568</v>
      </c>
      <c r="F37" s="169">
        <f>F35-F36</f>
        <v>7360909</v>
      </c>
      <c r="G37" s="169">
        <f>G35-G36</f>
        <v>-5973147</v>
      </c>
      <c r="H37" s="115"/>
      <c r="I37" s="128">
        <f t="shared" si="1"/>
        <v>-1.5844734777161855</v>
      </c>
      <c r="K37" s="178">
        <f t="shared" si="2"/>
        <v>-8.0599018409275267</v>
      </c>
      <c r="O37" s="177">
        <v>-55458441</v>
      </c>
    </row>
    <row r="38" spans="1:15" x14ac:dyDescent="0.2">
      <c r="A38" s="20" t="s">
        <v>112</v>
      </c>
      <c r="B38" s="113"/>
      <c r="C38" s="181"/>
      <c r="D38" s="124">
        <f t="shared" si="0"/>
        <v>0</v>
      </c>
      <c r="E38" s="111"/>
      <c r="F38" s="169">
        <f>SUM(G38:H38)</f>
        <v>0</v>
      </c>
      <c r="G38" s="169">
        <f>SUM(H38:I38)</f>
        <v>0</v>
      </c>
      <c r="H38" s="112"/>
      <c r="I38" s="128"/>
      <c r="K38" s="178"/>
      <c r="O38" s="181"/>
    </row>
    <row r="39" spans="1:15" x14ac:dyDescent="0.2">
      <c r="A39" s="20" t="s">
        <v>97</v>
      </c>
      <c r="B39" s="113"/>
      <c r="C39" s="182">
        <f>C37-C40</f>
        <v>-39195024</v>
      </c>
      <c r="D39" s="124">
        <f t="shared" si="0"/>
        <v>-700126</v>
      </c>
      <c r="E39" s="116">
        <f>-4627947</f>
        <v>-4627947</v>
      </c>
      <c r="F39" s="169">
        <f>F37-F40</f>
        <v>5500733.7599999998</v>
      </c>
      <c r="G39" s="169">
        <f>-5082956</f>
        <v>-5082956</v>
      </c>
      <c r="H39" s="117"/>
      <c r="I39" s="128">
        <f t="shared" si="1"/>
        <v>-0.8622600707147573</v>
      </c>
      <c r="K39" s="178">
        <f t="shared" si="2"/>
        <v>-8.1254173915881367</v>
      </c>
      <c r="O39" s="182">
        <v>-38494898</v>
      </c>
    </row>
    <row r="40" spans="1:15" x14ac:dyDescent="0.2">
      <c r="A40" s="21" t="s">
        <v>98</v>
      </c>
      <c r="B40" s="108" t="s">
        <v>233</v>
      </c>
      <c r="C40" s="183">
        <f>-12772271</f>
        <v>-12772271</v>
      </c>
      <c r="D40" s="124">
        <f t="shared" si="0"/>
        <v>4191272</v>
      </c>
      <c r="E40" s="118">
        <v>1856379</v>
      </c>
      <c r="F40" s="169">
        <f>[3]PL!$Y$35</f>
        <v>1860175.24</v>
      </c>
      <c r="G40" s="169">
        <f>-890191</f>
        <v>-890191</v>
      </c>
      <c r="H40" s="119"/>
      <c r="I40" s="128"/>
      <c r="K40" s="178">
        <f t="shared" si="2"/>
        <v>-7.8661654694425458</v>
      </c>
      <c r="O40" s="183">
        <v>-16963543</v>
      </c>
    </row>
    <row r="41" spans="1:15" x14ac:dyDescent="0.2">
      <c r="A41" s="21" t="s">
        <v>110</v>
      </c>
      <c r="B41" s="108"/>
      <c r="C41" s="177">
        <f>C39+C40</f>
        <v>-51967295</v>
      </c>
      <c r="D41" s="124">
        <f t="shared" si="0"/>
        <v>3491146</v>
      </c>
      <c r="E41" s="177">
        <f>E39+E40</f>
        <v>-2771568</v>
      </c>
      <c r="F41" s="169">
        <f>SUM(F39:F40)</f>
        <v>7360909</v>
      </c>
      <c r="G41" s="169">
        <f>SUM(G39:G40)</f>
        <v>-5973147</v>
      </c>
      <c r="H41" s="115"/>
      <c r="I41" s="128">
        <f t="shared" si="1"/>
        <v>-1.5844734777161855</v>
      </c>
      <c r="K41" s="178">
        <f t="shared" si="2"/>
        <v>-8.0599018409275267</v>
      </c>
      <c r="O41" s="177">
        <v>-55458441</v>
      </c>
    </row>
    <row r="42" spans="1:15" x14ac:dyDescent="0.2">
      <c r="A42" s="21" t="s">
        <v>111</v>
      </c>
      <c r="B42" s="108"/>
      <c r="C42" s="181"/>
      <c r="D42" s="124">
        <f t="shared" si="0"/>
        <v>0</v>
      </c>
      <c r="E42" s="111"/>
      <c r="F42" s="170"/>
      <c r="G42" s="170"/>
      <c r="H42" s="112"/>
      <c r="I42" s="128"/>
      <c r="K42" s="178"/>
      <c r="O42" s="181"/>
    </row>
    <row r="43" spans="1:15" x14ac:dyDescent="0.2">
      <c r="A43" s="21" t="s">
        <v>100</v>
      </c>
      <c r="B43" s="108"/>
      <c r="C43" s="181"/>
      <c r="D43" s="124">
        <f t="shared" si="0"/>
        <v>0</v>
      </c>
      <c r="E43" s="111"/>
      <c r="F43" s="170"/>
      <c r="G43" s="170"/>
      <c r="H43" s="112"/>
      <c r="I43" s="128"/>
      <c r="K43" s="178"/>
      <c r="O43" s="181"/>
    </row>
    <row r="44" spans="1:15" ht="28.5" x14ac:dyDescent="0.2">
      <c r="A44" s="24" t="s">
        <v>101</v>
      </c>
      <c r="B44" s="108"/>
      <c r="C44" s="181">
        <v>0</v>
      </c>
      <c r="D44" s="124">
        <f t="shared" si="0"/>
        <v>0</v>
      </c>
      <c r="E44" s="111">
        <v>0</v>
      </c>
      <c r="F44" s="170">
        <v>0</v>
      </c>
      <c r="G44" s="170">
        <v>0</v>
      </c>
      <c r="H44" s="112"/>
      <c r="I44" s="128"/>
      <c r="K44" s="178"/>
      <c r="O44" s="181">
        <v>0</v>
      </c>
    </row>
    <row r="45" spans="1:15" x14ac:dyDescent="0.2">
      <c r="A45" s="24" t="s">
        <v>102</v>
      </c>
      <c r="B45" s="108"/>
      <c r="C45" s="181">
        <v>0</v>
      </c>
      <c r="D45" s="124">
        <f t="shared" si="0"/>
        <v>0</v>
      </c>
      <c r="E45" s="111">
        <v>0</v>
      </c>
      <c r="F45" s="170">
        <v>0</v>
      </c>
      <c r="G45" s="170">
        <v>0</v>
      </c>
      <c r="H45" s="112"/>
      <c r="I45" s="128"/>
      <c r="K45" s="178"/>
      <c r="O45" s="181">
        <v>0</v>
      </c>
    </row>
    <row r="46" spans="1:15" ht="28.5" x14ac:dyDescent="0.2">
      <c r="A46" s="24" t="s">
        <v>103</v>
      </c>
      <c r="B46" s="108"/>
      <c r="C46" s="181">
        <v>0</v>
      </c>
      <c r="D46" s="124">
        <f t="shared" si="0"/>
        <v>0</v>
      </c>
      <c r="E46" s="111">
        <v>0</v>
      </c>
      <c r="F46" s="170">
        <v>0</v>
      </c>
      <c r="G46" s="170">
        <v>0</v>
      </c>
      <c r="H46" s="112"/>
      <c r="I46" s="128"/>
      <c r="K46" s="178"/>
      <c r="O46" s="181">
        <v>0</v>
      </c>
    </row>
    <row r="47" spans="1:15" x14ac:dyDescent="0.2">
      <c r="A47" s="24" t="s">
        <v>161</v>
      </c>
      <c r="B47" s="108"/>
      <c r="C47" s="181"/>
      <c r="D47" s="124">
        <f t="shared" si="0"/>
        <v>0</v>
      </c>
      <c r="E47" s="111"/>
      <c r="F47" s="170">
        <v>0</v>
      </c>
      <c r="G47" s="170">
        <v>0</v>
      </c>
      <c r="H47" s="112"/>
      <c r="I47" s="128"/>
      <c r="K47" s="178"/>
      <c r="O47" s="181"/>
    </row>
    <row r="48" spans="1:15" ht="42.75" x14ac:dyDescent="0.2">
      <c r="A48" s="24" t="s">
        <v>117</v>
      </c>
      <c r="B48" s="108"/>
      <c r="C48" s="181">
        <f>C47</f>
        <v>0</v>
      </c>
      <c r="D48" s="124">
        <f t="shared" si="0"/>
        <v>0</v>
      </c>
      <c r="E48" s="111">
        <v>0</v>
      </c>
      <c r="F48" s="170">
        <v>0</v>
      </c>
      <c r="G48" s="170">
        <v>0</v>
      </c>
      <c r="H48" s="112"/>
      <c r="I48" s="128"/>
      <c r="K48" s="178"/>
      <c r="O48" s="181">
        <v>0</v>
      </c>
    </row>
    <row r="49" spans="1:15" x14ac:dyDescent="0.2">
      <c r="A49" s="21" t="s">
        <v>104</v>
      </c>
      <c r="B49" s="108"/>
      <c r="C49" s="181">
        <v>0</v>
      </c>
      <c r="D49" s="124">
        <f t="shared" si="0"/>
        <v>0</v>
      </c>
      <c r="E49" s="111">
        <v>0</v>
      </c>
      <c r="F49" s="170">
        <v>0</v>
      </c>
      <c r="G49" s="170">
        <v>0</v>
      </c>
      <c r="H49" s="112"/>
      <c r="I49" s="128"/>
      <c r="K49" s="178"/>
      <c r="O49" s="181">
        <v>0</v>
      </c>
    </row>
    <row r="50" spans="1:15" x14ac:dyDescent="0.2">
      <c r="A50" s="21" t="s">
        <v>113</v>
      </c>
      <c r="B50" s="108"/>
      <c r="C50" s="181"/>
      <c r="D50" s="124">
        <f t="shared" si="0"/>
        <v>0</v>
      </c>
      <c r="E50" s="111"/>
      <c r="F50" s="170">
        <v>0</v>
      </c>
      <c r="G50" s="170">
        <v>0</v>
      </c>
      <c r="H50" s="112"/>
      <c r="I50" s="128"/>
      <c r="K50" s="178"/>
      <c r="O50" s="181"/>
    </row>
    <row r="51" spans="1:15" x14ac:dyDescent="0.2">
      <c r="A51" s="21" t="s">
        <v>98</v>
      </c>
      <c r="B51" s="108"/>
      <c r="C51" s="181">
        <v>0</v>
      </c>
      <c r="D51" s="124">
        <f t="shared" si="0"/>
        <v>0</v>
      </c>
      <c r="E51" s="111">
        <v>0</v>
      </c>
      <c r="F51" s="170">
        <v>0</v>
      </c>
      <c r="G51" s="170">
        <v>0</v>
      </c>
      <c r="H51" s="112"/>
      <c r="I51" s="128"/>
      <c r="K51" s="178"/>
      <c r="O51" s="181">
        <v>0</v>
      </c>
    </row>
    <row r="52" spans="1:15" ht="28.5" x14ac:dyDescent="0.2">
      <c r="A52" s="24" t="s">
        <v>116</v>
      </c>
      <c r="B52" s="108"/>
      <c r="C52" s="177">
        <f>C41+C50</f>
        <v>-51967295</v>
      </c>
      <c r="D52" s="124">
        <f t="shared" si="0"/>
        <v>3491146</v>
      </c>
      <c r="E52" s="114">
        <f>E41</f>
        <v>-2771568</v>
      </c>
      <c r="F52" s="171">
        <f t="shared" ref="F52:G52" si="5">F41+F48</f>
        <v>7360909</v>
      </c>
      <c r="G52" s="171">
        <f t="shared" si="5"/>
        <v>-5973147</v>
      </c>
      <c r="H52" s="115"/>
      <c r="I52" s="128">
        <f t="shared" si="1"/>
        <v>-1.5844734777161855</v>
      </c>
      <c r="K52" s="178">
        <f t="shared" si="2"/>
        <v>-8.0599018409275267</v>
      </c>
      <c r="O52" s="177">
        <v>-55458441</v>
      </c>
    </row>
    <row r="53" spans="1:15" x14ac:dyDescent="0.2">
      <c r="A53" s="21" t="s">
        <v>104</v>
      </c>
      <c r="B53" s="108"/>
      <c r="C53" s="181"/>
      <c r="D53" s="124">
        <f t="shared" si="0"/>
        <v>0</v>
      </c>
      <c r="E53" s="111"/>
      <c r="F53" s="170"/>
      <c r="G53" s="170"/>
      <c r="H53" s="112"/>
      <c r="I53" s="128"/>
      <c r="K53" s="178"/>
      <c r="O53" s="181"/>
    </row>
    <row r="54" spans="1:15" x14ac:dyDescent="0.2">
      <c r="A54" s="21" t="s">
        <v>114</v>
      </c>
      <c r="B54" s="108"/>
      <c r="C54" s="177">
        <f>C39</f>
        <v>-39195024</v>
      </c>
      <c r="D54" s="124">
        <f t="shared" si="0"/>
        <v>-700126</v>
      </c>
      <c r="E54" s="114">
        <f>E39</f>
        <v>-4627947</v>
      </c>
      <c r="F54" s="171">
        <f t="shared" ref="F54:G55" si="6">F39+F50</f>
        <v>5500733.7599999998</v>
      </c>
      <c r="G54" s="171">
        <f t="shared" si="6"/>
        <v>-5082956</v>
      </c>
      <c r="H54" s="115"/>
      <c r="I54" s="128">
        <f t="shared" si="1"/>
        <v>-0.8622600707147573</v>
      </c>
      <c r="K54" s="178">
        <f t="shared" si="2"/>
        <v>-8.1254173915881367</v>
      </c>
      <c r="O54" s="177">
        <v>-38494898</v>
      </c>
    </row>
    <row r="55" spans="1:15" x14ac:dyDescent="0.2">
      <c r="A55" s="21" t="s">
        <v>115</v>
      </c>
      <c r="B55" s="108"/>
      <c r="C55" s="184">
        <f>C40</f>
        <v>-12772271</v>
      </c>
      <c r="D55" s="124">
        <f t="shared" si="0"/>
        <v>4191272</v>
      </c>
      <c r="E55" s="111">
        <f>E40</f>
        <v>1856379</v>
      </c>
      <c r="F55" s="171">
        <f t="shared" si="6"/>
        <v>1860175.24</v>
      </c>
      <c r="G55" s="171">
        <f t="shared" si="6"/>
        <v>-890191</v>
      </c>
      <c r="H55" s="112"/>
      <c r="I55" s="128"/>
      <c r="K55" s="178">
        <f t="shared" si="2"/>
        <v>-7.8661654694425458</v>
      </c>
      <c r="O55" s="184">
        <v>-16963543</v>
      </c>
    </row>
    <row r="56" spans="1:15" x14ac:dyDescent="0.2">
      <c r="A56" s="21"/>
      <c r="B56" s="108"/>
      <c r="C56" s="184"/>
      <c r="D56" s="124">
        <f t="shared" si="0"/>
        <v>0</v>
      </c>
      <c r="E56" s="111"/>
      <c r="F56" s="172"/>
      <c r="G56" s="172"/>
      <c r="H56" s="112"/>
      <c r="I56" s="128"/>
      <c r="K56" s="178"/>
      <c r="O56" s="184"/>
    </row>
    <row r="57" spans="1:15" x14ac:dyDescent="0.2">
      <c r="A57" s="25" t="s">
        <v>119</v>
      </c>
      <c r="B57" s="120" t="s">
        <v>234</v>
      </c>
      <c r="C57" s="185">
        <f>(C39)/166639960*1000</f>
        <v>-235.2078337032726</v>
      </c>
      <c r="D57" s="187">
        <f t="shared" si="0"/>
        <v>-4.2014292370209319</v>
      </c>
      <c r="E57" s="185">
        <f>(E39)/166639960*1000</f>
        <v>-27.772132206464764</v>
      </c>
      <c r="F57" s="173">
        <f>(F54)/166639960*1000</f>
        <v>33.009692033051373</v>
      </c>
      <c r="G57" s="173">
        <f>(G54)/166639960*1000</f>
        <v>-30.502623740428167</v>
      </c>
      <c r="H57" s="121"/>
      <c r="I57" s="128">
        <f t="shared" si="1"/>
        <v>-0.86226007071475763</v>
      </c>
      <c r="K57" s="178">
        <f t="shared" si="2"/>
        <v>-8.1254173915881367</v>
      </c>
      <c r="O57" s="185">
        <v>-231.00640446625167</v>
      </c>
    </row>
    <row r="58" spans="1:15" x14ac:dyDescent="0.2">
      <c r="B58" s="122"/>
      <c r="C58" s="122"/>
      <c r="D58" s="122"/>
      <c r="E58" s="122"/>
      <c r="F58" s="122"/>
      <c r="G58" s="123"/>
      <c r="H58" s="123"/>
    </row>
    <row r="59" spans="1:15" x14ac:dyDescent="0.2">
      <c r="A59" s="16" t="str">
        <f>бб!A99</f>
        <v>И.о.генерального директора</v>
      </c>
      <c r="B59" s="14"/>
      <c r="C59" s="92" t="str">
        <f>бб!D99</f>
        <v>В.В.Лесин</v>
      </c>
      <c r="D59" s="17"/>
      <c r="F59" s="16"/>
    </row>
    <row r="60" spans="1:15" x14ac:dyDescent="0.2">
      <c r="A60" s="16"/>
      <c r="B60" s="14"/>
      <c r="D60" s="17"/>
      <c r="E60" s="14"/>
      <c r="F60" s="16"/>
    </row>
    <row r="61" spans="1:15" x14ac:dyDescent="0.2">
      <c r="A61" s="16" t="str">
        <f>бб!A102</f>
        <v xml:space="preserve">Главный бухгалтер                                              </v>
      </c>
      <c r="B61" s="14"/>
      <c r="C61" s="93" t="s">
        <v>156</v>
      </c>
      <c r="D61" s="17"/>
      <c r="F61" s="16"/>
    </row>
    <row r="62" spans="1:15" x14ac:dyDescent="0.2">
      <c r="A62" s="16"/>
    </row>
    <row r="63" spans="1:15" x14ac:dyDescent="0.2">
      <c r="A63" s="5" t="s">
        <v>54</v>
      </c>
    </row>
  </sheetData>
  <mergeCells count="11">
    <mergeCell ref="A8:F8"/>
    <mergeCell ref="A10:F10"/>
    <mergeCell ref="A11:F11"/>
    <mergeCell ref="A12:F12"/>
    <mergeCell ref="A9:F9"/>
    <mergeCell ref="A16:F16"/>
    <mergeCell ref="A18:F18"/>
    <mergeCell ref="A20:F20"/>
    <mergeCell ref="A21:F21"/>
    <mergeCell ref="A13:F13"/>
    <mergeCell ref="A15:F15"/>
  </mergeCells>
  <phoneticPr fontId="2" type="noConversion"/>
  <pageMargins left="0.17" right="0.15748031496062992" top="0" bottom="0" header="0" footer="0"/>
  <pageSetup paperSize="9" scale="7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82"/>
  <sheetViews>
    <sheetView topLeftCell="A33" zoomScaleNormal="100" workbookViewId="0">
      <selection activeCell="C70" sqref="C70"/>
    </sheetView>
  </sheetViews>
  <sheetFormatPr defaultRowHeight="14.25" x14ac:dyDescent="0.2"/>
  <cols>
    <col min="1" max="1" width="55.42578125" style="3" customWidth="1"/>
    <col min="2" max="2" width="8.42578125" style="3" customWidth="1"/>
    <col min="3" max="3" width="22.5703125" style="4" customWidth="1"/>
    <col min="4" max="4" width="22.140625" style="23" customWidth="1"/>
    <col min="5" max="5" width="19.7109375" style="3" customWidth="1"/>
    <col min="6" max="6" width="18" style="3" customWidth="1"/>
    <col min="7" max="16384" width="9.140625" style="3"/>
  </cols>
  <sheetData>
    <row r="5" spans="1:5" ht="41.25" customHeight="1" x14ac:dyDescent="0.3">
      <c r="A5" s="201" t="s">
        <v>231</v>
      </c>
      <c r="B5" s="201"/>
      <c r="C5" s="201"/>
      <c r="D5" s="201"/>
      <c r="E5" s="26"/>
    </row>
    <row r="6" spans="1:5" ht="18.75" customHeight="1" x14ac:dyDescent="0.3">
      <c r="A6" s="208"/>
      <c r="B6" s="209"/>
      <c r="C6" s="209"/>
      <c r="D6" s="209"/>
      <c r="E6" s="26"/>
    </row>
    <row r="7" spans="1:5" x14ac:dyDescent="0.2">
      <c r="A7" s="202"/>
      <c r="B7" s="202"/>
      <c r="C7" s="202"/>
      <c r="D7" s="202"/>
      <c r="E7" s="26"/>
    </row>
    <row r="8" spans="1:5" hidden="1" x14ac:dyDescent="0.2">
      <c r="A8" s="202" t="s">
        <v>72</v>
      </c>
      <c r="B8" s="202"/>
      <c r="C8" s="202"/>
      <c r="D8" s="202"/>
      <c r="E8" s="26"/>
    </row>
    <row r="9" spans="1:5" hidden="1" x14ac:dyDescent="0.2">
      <c r="A9" s="202" t="s">
        <v>73</v>
      </c>
      <c r="B9" s="202"/>
      <c r="C9" s="202"/>
      <c r="D9" s="202"/>
      <c r="E9" s="26"/>
    </row>
    <row r="10" spans="1:5" ht="16.5" hidden="1" customHeight="1" x14ac:dyDescent="0.2">
      <c r="A10" s="207" t="s">
        <v>123</v>
      </c>
      <c r="B10" s="207"/>
      <c r="C10" s="207"/>
      <c r="D10" s="207"/>
    </row>
    <row r="11" spans="1:5" ht="20.25" hidden="1" customHeight="1" x14ac:dyDescent="0.2">
      <c r="A11" s="207" t="s">
        <v>150</v>
      </c>
      <c r="B11" s="207"/>
      <c r="C11" s="207"/>
      <c r="D11" s="207"/>
    </row>
    <row r="12" spans="1:5" ht="12" hidden="1" customHeight="1" x14ac:dyDescent="0.2">
      <c r="A12" s="204" t="s">
        <v>92</v>
      </c>
      <c r="B12" s="205"/>
      <c r="C12" s="205"/>
      <c r="D12" s="205"/>
    </row>
    <row r="13" spans="1:5" ht="20.25" hidden="1" customHeight="1" x14ac:dyDescent="0.2">
      <c r="A13" s="62" t="s">
        <v>124</v>
      </c>
      <c r="B13" s="62"/>
      <c r="C13" s="174"/>
      <c r="D13" s="65"/>
    </row>
    <row r="14" spans="1:5" ht="18.75" hidden="1" customHeight="1" x14ac:dyDescent="0.2">
      <c r="A14" s="62" t="s">
        <v>125</v>
      </c>
      <c r="B14" s="62"/>
      <c r="C14" s="174"/>
      <c r="D14" s="65"/>
    </row>
    <row r="15" spans="1:5" ht="23.25" customHeight="1" x14ac:dyDescent="0.2">
      <c r="A15" s="200" t="s">
        <v>168</v>
      </c>
      <c r="B15" s="200"/>
      <c r="C15" s="200"/>
      <c r="D15" s="200"/>
    </row>
    <row r="16" spans="1:5" ht="56.25" customHeight="1" x14ac:dyDescent="0.2">
      <c r="A16" s="8" t="s">
        <v>2</v>
      </c>
      <c r="B16" s="8" t="s">
        <v>177</v>
      </c>
      <c r="C16" s="180" t="str">
        <f>ф2!C22</f>
        <v>За девять месяцев, закончившихся  30 сентября 2022 года</v>
      </c>
      <c r="D16" s="32" t="str">
        <f>ф2!E22</f>
        <v>За девять месяцев, закончившихся  30 сентября 2021 года</v>
      </c>
    </row>
    <row r="17" spans="1:4" s="5" customFormat="1" ht="21" customHeight="1" x14ac:dyDescent="0.2">
      <c r="A17" s="73" t="s">
        <v>3</v>
      </c>
      <c r="B17" s="74"/>
      <c r="C17" s="188"/>
      <c r="D17" s="74"/>
    </row>
    <row r="18" spans="1:4" ht="12" customHeight="1" x14ac:dyDescent="0.2">
      <c r="A18" s="21" t="s">
        <v>27</v>
      </c>
      <c r="B18" s="27"/>
      <c r="C18" s="94">
        <f>SUM(C20:C24)</f>
        <v>76202507</v>
      </c>
      <c r="D18" s="94">
        <f>SUM(D20:D24)</f>
        <v>63505097</v>
      </c>
    </row>
    <row r="19" spans="1:4" ht="12" customHeight="1" x14ac:dyDescent="0.2">
      <c r="A19" s="21" t="s">
        <v>6</v>
      </c>
      <c r="B19" s="27"/>
      <c r="C19" s="94"/>
      <c r="D19" s="89"/>
    </row>
    <row r="20" spans="1:4" ht="12" customHeight="1" x14ac:dyDescent="0.2">
      <c r="A20" s="21" t="s">
        <v>80</v>
      </c>
      <c r="B20" s="27"/>
      <c r="C20" s="95">
        <v>75752358</v>
      </c>
      <c r="D20" s="95">
        <v>62980026</v>
      </c>
    </row>
    <row r="21" spans="1:4" ht="12" customHeight="1" x14ac:dyDescent="0.2">
      <c r="A21" s="21" t="s">
        <v>81</v>
      </c>
      <c r="B21" s="27"/>
      <c r="C21" s="94" t="s">
        <v>159</v>
      </c>
      <c r="D21" s="94" t="s">
        <v>159</v>
      </c>
    </row>
    <row r="22" spans="1:4" ht="12" customHeight="1" x14ac:dyDescent="0.2">
      <c r="A22" s="21" t="s">
        <v>82</v>
      </c>
      <c r="B22" s="27"/>
      <c r="C22" s="94" t="s">
        <v>159</v>
      </c>
      <c r="D22" s="94" t="s">
        <v>159</v>
      </c>
    </row>
    <row r="23" spans="1:4" ht="12" customHeight="1" x14ac:dyDescent="0.2">
      <c r="A23" s="21" t="s">
        <v>7</v>
      </c>
      <c r="B23" s="27"/>
      <c r="C23" s="94" t="s">
        <v>159</v>
      </c>
      <c r="D23" s="94" t="s">
        <v>159</v>
      </c>
    </row>
    <row r="24" spans="1:4" ht="12" customHeight="1" x14ac:dyDescent="0.2">
      <c r="A24" s="21" t="s">
        <v>8</v>
      </c>
      <c r="B24" s="27"/>
      <c r="C24" s="94">
        <v>450149</v>
      </c>
      <c r="D24" s="94">
        <v>525071</v>
      </c>
    </row>
    <row r="25" spans="1:4" ht="12" customHeight="1" x14ac:dyDescent="0.2">
      <c r="A25" s="21" t="s">
        <v>28</v>
      </c>
      <c r="B25" s="27"/>
      <c r="C25" s="94">
        <f>SUM(C27:C32)</f>
        <v>67119252</v>
      </c>
      <c r="D25" s="94">
        <f>SUM(D27:D32)</f>
        <v>50785744</v>
      </c>
    </row>
    <row r="26" spans="1:4" ht="12" customHeight="1" x14ac:dyDescent="0.2">
      <c r="A26" s="21" t="s">
        <v>6</v>
      </c>
      <c r="B26" s="27"/>
      <c r="C26" s="94"/>
      <c r="D26" s="94"/>
    </row>
    <row r="27" spans="1:4" ht="12" customHeight="1" x14ac:dyDescent="0.2">
      <c r="A27" s="21" t="s">
        <v>83</v>
      </c>
      <c r="B27" s="27"/>
      <c r="C27" s="94">
        <v>28334351</v>
      </c>
      <c r="D27" s="94">
        <v>23341607</v>
      </c>
    </row>
    <row r="28" spans="1:4" ht="12" customHeight="1" x14ac:dyDescent="0.2">
      <c r="A28" s="21" t="s">
        <v>9</v>
      </c>
      <c r="B28" s="27"/>
      <c r="C28" s="94">
        <v>46285</v>
      </c>
      <c r="D28" s="94"/>
    </row>
    <row r="29" spans="1:4" ht="12" customHeight="1" x14ac:dyDescent="0.2">
      <c r="A29" s="21" t="s">
        <v>10</v>
      </c>
      <c r="B29" s="27"/>
      <c r="C29" s="94">
        <v>7591123</v>
      </c>
      <c r="D29" s="94">
        <v>6611945</v>
      </c>
    </row>
    <row r="30" spans="1:4" ht="12" customHeight="1" x14ac:dyDescent="0.2">
      <c r="A30" s="21" t="s">
        <v>99</v>
      </c>
      <c r="B30" s="27"/>
      <c r="C30" s="94">
        <v>20428596</v>
      </c>
      <c r="D30" s="94">
        <v>14504717</v>
      </c>
    </row>
    <row r="31" spans="1:4" ht="12" customHeight="1" x14ac:dyDescent="0.2">
      <c r="A31" s="21" t="s">
        <v>84</v>
      </c>
      <c r="B31" s="27"/>
      <c r="C31" s="94">
        <f>90676+8968463</f>
        <v>9059139</v>
      </c>
      <c r="D31" s="94">
        <v>5737863</v>
      </c>
    </row>
    <row r="32" spans="1:4" ht="12" customHeight="1" x14ac:dyDescent="0.2">
      <c r="A32" s="21" t="s">
        <v>11</v>
      </c>
      <c r="B32" s="27"/>
      <c r="C32" s="94">
        <f>729355+930403</f>
        <v>1659758</v>
      </c>
      <c r="D32" s="94">
        <v>589612</v>
      </c>
    </row>
    <row r="33" spans="1:4" ht="12" customHeight="1" x14ac:dyDescent="0.2">
      <c r="A33" s="25" t="s">
        <v>85</v>
      </c>
      <c r="B33" s="28"/>
      <c r="C33" s="96">
        <f>C18-C25</f>
        <v>9083255</v>
      </c>
      <c r="D33" s="96">
        <f>D18-D25</f>
        <v>12719353</v>
      </c>
    </row>
    <row r="34" spans="1:4" s="26" customFormat="1" ht="21" customHeight="1" x14ac:dyDescent="0.2">
      <c r="A34" s="11" t="s">
        <v>4</v>
      </c>
      <c r="B34" s="11"/>
      <c r="C34" s="189"/>
      <c r="D34" s="90"/>
    </row>
    <row r="35" spans="1:4" ht="12" customHeight="1" x14ac:dyDescent="0.2">
      <c r="A35" s="21" t="s">
        <v>29</v>
      </c>
      <c r="B35" s="27"/>
      <c r="C35" s="94">
        <f>SUM(C36:C42)</f>
        <v>4460046</v>
      </c>
      <c r="D35" s="94">
        <f>SUM(D36:D42)</f>
        <v>6973847</v>
      </c>
    </row>
    <row r="36" spans="1:4" ht="12" customHeight="1" x14ac:dyDescent="0.2">
      <c r="A36" s="21" t="s">
        <v>6</v>
      </c>
      <c r="B36" s="27"/>
      <c r="C36" s="94"/>
      <c r="D36" s="89"/>
    </row>
    <row r="37" spans="1:4" ht="12" customHeight="1" x14ac:dyDescent="0.2">
      <c r="A37" s="21" t="s">
        <v>12</v>
      </c>
      <c r="B37" s="27"/>
      <c r="C37" s="94" t="s">
        <v>159</v>
      </c>
      <c r="D37" s="89" t="s">
        <v>159</v>
      </c>
    </row>
    <row r="38" spans="1:4" ht="12" customHeight="1" x14ac:dyDescent="0.2">
      <c r="A38" s="21" t="s">
        <v>13</v>
      </c>
      <c r="B38" s="27"/>
      <c r="C38" s="94">
        <v>1314300</v>
      </c>
      <c r="D38" s="89" t="s">
        <v>159</v>
      </c>
    </row>
    <row r="39" spans="1:4" ht="12" customHeight="1" x14ac:dyDescent="0.2">
      <c r="A39" s="21" t="s">
        <v>14</v>
      </c>
      <c r="B39" s="27"/>
      <c r="C39" s="94" t="s">
        <v>159</v>
      </c>
      <c r="D39" s="89" t="s">
        <v>159</v>
      </c>
    </row>
    <row r="40" spans="1:4" ht="12" customHeight="1" x14ac:dyDescent="0.2">
      <c r="A40" s="21" t="s">
        <v>15</v>
      </c>
      <c r="B40" s="27"/>
      <c r="C40" s="94" t="s">
        <v>159</v>
      </c>
      <c r="D40" s="89" t="s">
        <v>159</v>
      </c>
    </row>
    <row r="41" spans="1:4" ht="12" customHeight="1" x14ac:dyDescent="0.2">
      <c r="A41" s="21" t="s">
        <v>86</v>
      </c>
      <c r="B41" s="27"/>
      <c r="C41" s="94"/>
      <c r="D41" s="89"/>
    </row>
    <row r="42" spans="1:4" ht="12" customHeight="1" x14ac:dyDescent="0.2">
      <c r="A42" s="21" t="s">
        <v>8</v>
      </c>
      <c r="B42" s="27"/>
      <c r="C42" s="94">
        <v>3145746</v>
      </c>
      <c r="D42" s="94">
        <v>6973847</v>
      </c>
    </row>
    <row r="43" spans="1:4" ht="12" customHeight="1" x14ac:dyDescent="0.2">
      <c r="A43" s="21" t="s">
        <v>30</v>
      </c>
      <c r="B43" s="27"/>
      <c r="C43" s="94">
        <f>SUM(C45:C50)</f>
        <v>5792232</v>
      </c>
      <c r="D43" s="94">
        <f>SUM(D45:D50)</f>
        <v>18294222</v>
      </c>
    </row>
    <row r="44" spans="1:4" ht="12" customHeight="1" x14ac:dyDescent="0.2">
      <c r="A44" s="21" t="s">
        <v>6</v>
      </c>
      <c r="B44" s="27"/>
      <c r="C44" s="94"/>
      <c r="D44" s="89"/>
    </row>
    <row r="45" spans="1:4" ht="12" customHeight="1" x14ac:dyDescent="0.2">
      <c r="A45" s="21" t="s">
        <v>17</v>
      </c>
      <c r="B45" s="27"/>
      <c r="C45" s="94">
        <v>231502</v>
      </c>
      <c r="D45" s="94">
        <v>0</v>
      </c>
    </row>
    <row r="46" spans="1:4" ht="12" customHeight="1" x14ac:dyDescent="0.2">
      <c r="A46" s="21" t="s">
        <v>16</v>
      </c>
      <c r="B46" s="27"/>
      <c r="C46" s="94">
        <v>0</v>
      </c>
      <c r="D46" s="94">
        <v>13687</v>
      </c>
    </row>
    <row r="47" spans="1:4" ht="12" customHeight="1" x14ac:dyDescent="0.2">
      <c r="A47" s="21" t="s">
        <v>18</v>
      </c>
      <c r="B47" s="27"/>
      <c r="C47" s="94">
        <v>4271255</v>
      </c>
      <c r="D47" s="94">
        <v>3125407</v>
      </c>
    </row>
    <row r="48" spans="1:4" ht="12" customHeight="1" x14ac:dyDescent="0.2">
      <c r="A48" s="21" t="s">
        <v>19</v>
      </c>
      <c r="B48" s="27"/>
      <c r="C48" s="125">
        <v>0</v>
      </c>
      <c r="D48" s="125">
        <v>10560483</v>
      </c>
    </row>
    <row r="49" spans="1:4" ht="12" customHeight="1" x14ac:dyDescent="0.2">
      <c r="A49" s="21" t="s">
        <v>87</v>
      </c>
      <c r="B49" s="27"/>
      <c r="C49" s="94"/>
      <c r="D49" s="94"/>
    </row>
    <row r="50" spans="1:4" ht="12" customHeight="1" x14ac:dyDescent="0.2">
      <c r="A50" s="21" t="s">
        <v>20</v>
      </c>
      <c r="B50" s="27"/>
      <c r="C50" s="94">
        <v>1289475</v>
      </c>
      <c r="D50" s="94">
        <v>4594645</v>
      </c>
    </row>
    <row r="51" spans="1:4" ht="12" customHeight="1" x14ac:dyDescent="0.2">
      <c r="A51" s="25" t="s">
        <v>88</v>
      </c>
      <c r="B51" s="28"/>
      <c r="C51" s="126">
        <f>C35-C43</f>
        <v>-1332186</v>
      </c>
      <c r="D51" s="126">
        <f>D35-D43</f>
        <v>-11320375</v>
      </c>
    </row>
    <row r="52" spans="1:4" ht="21" customHeight="1" x14ac:dyDescent="0.2">
      <c r="A52" s="75" t="s">
        <v>5</v>
      </c>
      <c r="B52" s="16"/>
      <c r="C52" s="190"/>
      <c r="D52" s="88"/>
    </row>
    <row r="53" spans="1:4" ht="12" customHeight="1" x14ac:dyDescent="0.2">
      <c r="A53" s="21" t="s">
        <v>27</v>
      </c>
      <c r="B53" s="27"/>
      <c r="C53" s="127">
        <f>SUM(C55:C58)</f>
        <v>87432774</v>
      </c>
      <c r="D53" s="127">
        <f>SUM(D55:D58)</f>
        <v>45992579</v>
      </c>
    </row>
    <row r="54" spans="1:4" ht="12" customHeight="1" x14ac:dyDescent="0.2">
      <c r="A54" s="21" t="s">
        <v>6</v>
      </c>
      <c r="B54" s="27"/>
      <c r="C54" s="94"/>
      <c r="D54" s="89"/>
    </row>
    <row r="55" spans="1:4" ht="12" customHeight="1" x14ac:dyDescent="0.2">
      <c r="A55" s="21" t="s">
        <v>21</v>
      </c>
      <c r="B55" s="27"/>
      <c r="C55" s="94"/>
      <c r="D55" s="89"/>
    </row>
    <row r="56" spans="1:4" ht="12" customHeight="1" x14ac:dyDescent="0.2">
      <c r="A56" s="21" t="s">
        <v>22</v>
      </c>
      <c r="B56" s="27"/>
      <c r="C56" s="94">
        <v>87432774</v>
      </c>
      <c r="D56" s="94">
        <v>44706444</v>
      </c>
    </row>
    <row r="57" spans="1:4" x14ac:dyDescent="0.2">
      <c r="A57" s="33" t="s">
        <v>152</v>
      </c>
      <c r="B57" s="27"/>
      <c r="C57" s="94">
        <v>0</v>
      </c>
      <c r="D57" s="94" t="s">
        <v>159</v>
      </c>
    </row>
    <row r="58" spans="1:4" ht="12" customHeight="1" x14ac:dyDescent="0.2">
      <c r="A58" s="21" t="s">
        <v>8</v>
      </c>
      <c r="B58" s="27"/>
      <c r="C58" s="94">
        <v>0</v>
      </c>
      <c r="D58" s="94">
        <v>1286135</v>
      </c>
    </row>
    <row r="59" spans="1:4" ht="12" customHeight="1" x14ac:dyDescent="0.2">
      <c r="A59" s="21" t="s">
        <v>31</v>
      </c>
      <c r="B59" s="27"/>
      <c r="C59" s="94">
        <f>SUM(C61:C65)</f>
        <v>95536667</v>
      </c>
      <c r="D59" s="94">
        <f>SUM(D61:D65)</f>
        <v>46686057</v>
      </c>
    </row>
    <row r="60" spans="1:4" ht="12" customHeight="1" x14ac:dyDescent="0.2">
      <c r="A60" s="21" t="s">
        <v>6</v>
      </c>
      <c r="B60" s="27"/>
      <c r="C60" s="94"/>
      <c r="D60" s="94"/>
    </row>
    <row r="61" spans="1:4" ht="12" customHeight="1" x14ac:dyDescent="0.2">
      <c r="A61" s="21" t="s">
        <v>23</v>
      </c>
      <c r="B61" s="27"/>
      <c r="C61" s="94">
        <v>92664217</v>
      </c>
      <c r="D61" s="94">
        <v>45512334</v>
      </c>
    </row>
    <row r="62" spans="1:4" ht="12" customHeight="1" x14ac:dyDescent="0.2">
      <c r="A62" s="21" t="s">
        <v>153</v>
      </c>
      <c r="B62" s="27"/>
      <c r="C62" s="94" t="s">
        <v>159</v>
      </c>
      <c r="D62" s="94" t="s">
        <v>159</v>
      </c>
    </row>
    <row r="63" spans="1:4" ht="12" customHeight="1" x14ac:dyDescent="0.2">
      <c r="A63" s="21" t="s">
        <v>24</v>
      </c>
      <c r="B63" s="27"/>
      <c r="C63" s="94"/>
      <c r="D63" s="94"/>
    </row>
    <row r="64" spans="1:4" ht="12" customHeight="1" x14ac:dyDescent="0.2">
      <c r="A64" s="21" t="s">
        <v>99</v>
      </c>
      <c r="B64" s="27"/>
      <c r="C64" s="94">
        <v>0</v>
      </c>
      <c r="D64" s="94">
        <v>0</v>
      </c>
    </row>
    <row r="65" spans="1:5" ht="12" customHeight="1" x14ac:dyDescent="0.2">
      <c r="A65" s="21" t="s">
        <v>8</v>
      </c>
      <c r="B65" s="27"/>
      <c r="C65" s="94">
        <v>2872450</v>
      </c>
      <c r="D65" s="94">
        <v>1173723</v>
      </c>
    </row>
    <row r="66" spans="1:5" ht="12" customHeight="1" x14ac:dyDescent="0.2">
      <c r="A66" s="25" t="s">
        <v>89</v>
      </c>
      <c r="B66" s="28"/>
      <c r="C66" s="96">
        <f>C53-C59</f>
        <v>-8103893</v>
      </c>
      <c r="D66" s="96">
        <f>D53-D59</f>
        <v>-693478</v>
      </c>
    </row>
    <row r="67" spans="1:5" ht="12" customHeight="1" x14ac:dyDescent="0.2">
      <c r="A67" s="22" t="s">
        <v>25</v>
      </c>
      <c r="B67" s="29"/>
      <c r="C67" s="191">
        <f>C33+C51+C66</f>
        <v>-352824</v>
      </c>
      <c r="D67" s="81">
        <f>D33+D51+D66</f>
        <v>705500</v>
      </c>
    </row>
    <row r="68" spans="1:5" ht="12" customHeight="1" x14ac:dyDescent="0.2">
      <c r="A68" s="25" t="s">
        <v>26</v>
      </c>
      <c r="B68" s="28"/>
      <c r="C68" s="126"/>
      <c r="D68" s="79"/>
    </row>
    <row r="69" spans="1:5" ht="12" customHeight="1" x14ac:dyDescent="0.2">
      <c r="A69" s="21" t="s">
        <v>167</v>
      </c>
      <c r="B69" s="27"/>
      <c r="C69" s="125">
        <f>-242400-92098+1+43</f>
        <v>-334454</v>
      </c>
      <c r="D69" s="78">
        <v>46069</v>
      </c>
    </row>
    <row r="70" spans="1:5" ht="12" customHeight="1" x14ac:dyDescent="0.2">
      <c r="A70" s="21" t="s">
        <v>90</v>
      </c>
      <c r="B70" s="27"/>
      <c r="C70" s="66">
        <f>бб!D52</f>
        <v>3445894</v>
      </c>
      <c r="D70" s="43">
        <v>365901</v>
      </c>
    </row>
    <row r="71" spans="1:5" ht="12" customHeight="1" x14ac:dyDescent="0.2">
      <c r="A71" s="25" t="s">
        <v>91</v>
      </c>
      <c r="B71" s="28"/>
      <c r="C71" s="192">
        <f>C70+C67+C69</f>
        <v>2758616</v>
      </c>
      <c r="D71" s="44">
        <f>D70+D67+D69</f>
        <v>1117470</v>
      </c>
      <c r="E71" s="23">
        <f>бб!C52-C71</f>
        <v>0</v>
      </c>
    </row>
    <row r="72" spans="1:5" ht="12" customHeight="1" x14ac:dyDescent="0.2">
      <c r="A72" s="30"/>
      <c r="B72" s="31"/>
      <c r="C72" s="144"/>
      <c r="D72" s="72"/>
    </row>
    <row r="73" spans="1:5" ht="12" customHeight="1" x14ac:dyDescent="0.2">
      <c r="B73" s="14"/>
      <c r="C73" s="175">
        <f>бб!D98</f>
        <v>0</v>
      </c>
      <c r="D73" s="148"/>
    </row>
    <row r="74" spans="1:5" ht="12" customHeight="1" x14ac:dyDescent="0.2">
      <c r="A74" s="16" t="str">
        <f>бб!A99</f>
        <v>И.о.генерального директора</v>
      </c>
      <c r="B74" s="14"/>
      <c r="C74" s="210" t="str">
        <f>бб!D99</f>
        <v>В.В.Лесин</v>
      </c>
      <c r="D74" s="211"/>
    </row>
    <row r="75" spans="1:5" ht="12" customHeight="1" x14ac:dyDescent="0.2"/>
    <row r="77" spans="1:5" x14ac:dyDescent="0.2">
      <c r="A77" s="16" t="str">
        <f>бб!A102</f>
        <v xml:space="preserve">Главный бухгалтер                                              </v>
      </c>
      <c r="B77" s="14"/>
      <c r="C77" s="206" t="s">
        <v>156</v>
      </c>
      <c r="D77" s="206"/>
    </row>
    <row r="78" spans="1:5" x14ac:dyDescent="0.2">
      <c r="A78" s="5" t="s">
        <v>54</v>
      </c>
    </row>
    <row r="79" spans="1:5" x14ac:dyDescent="0.2">
      <c r="C79" s="19"/>
    </row>
    <row r="81" spans="3:3" x14ac:dyDescent="0.2">
      <c r="C81" s="176"/>
    </row>
    <row r="82" spans="3:3" x14ac:dyDescent="0.2">
      <c r="C82" s="176"/>
    </row>
  </sheetData>
  <mergeCells count="11">
    <mergeCell ref="A12:D12"/>
    <mergeCell ref="A15:D15"/>
    <mergeCell ref="C77:D77"/>
    <mergeCell ref="A5:D5"/>
    <mergeCell ref="A9:D9"/>
    <mergeCell ref="A10:D10"/>
    <mergeCell ref="A11:D11"/>
    <mergeCell ref="A8:D8"/>
    <mergeCell ref="A7:D7"/>
    <mergeCell ref="A6:D6"/>
    <mergeCell ref="C74:D74"/>
  </mergeCells>
  <phoneticPr fontId="2" type="noConversion"/>
  <pageMargins left="0.47244094488188981" right="0" top="0" bottom="0" header="0.19685039370078741" footer="0.19685039370078741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R60"/>
  <sheetViews>
    <sheetView topLeftCell="A2" workbookViewId="0">
      <selection activeCell="H38" sqref="H38"/>
    </sheetView>
  </sheetViews>
  <sheetFormatPr defaultRowHeight="12.75" x14ac:dyDescent="0.2"/>
  <cols>
    <col min="1" max="1" width="29" style="34" customWidth="1"/>
    <col min="2" max="2" width="7.28515625" style="34" customWidth="1"/>
    <col min="3" max="3" width="11.5703125" style="34" customWidth="1"/>
    <col min="4" max="4" width="11.28515625" style="34" customWidth="1"/>
    <col min="5" max="5" width="14.42578125" style="34" customWidth="1"/>
    <col min="6" max="6" width="11.28515625" style="34" customWidth="1"/>
    <col min="7" max="7" width="10.85546875" style="34" customWidth="1"/>
    <col min="8" max="8" width="12" style="34" customWidth="1"/>
    <col min="9" max="9" width="11.85546875" style="34" customWidth="1"/>
    <col min="10" max="10" width="9.7109375" style="34" customWidth="1"/>
    <col min="11" max="11" width="10.42578125" style="34" hidden="1" customWidth="1"/>
    <col min="12" max="12" width="9.28515625" style="34" hidden="1" customWidth="1"/>
    <col min="13" max="13" width="14.28515625" style="34" hidden="1" customWidth="1"/>
    <col min="14" max="14" width="11" style="34" hidden="1" customWidth="1"/>
    <col min="15" max="15" width="15.5703125" style="34" hidden="1" customWidth="1"/>
    <col min="16" max="16" width="17" style="34" hidden="1" customWidth="1"/>
    <col min="17" max="17" width="19.7109375" style="34" customWidth="1"/>
    <col min="18" max="18" width="13.42578125" style="34" customWidth="1"/>
    <col min="19" max="16384" width="9.140625" style="34"/>
  </cols>
  <sheetData>
    <row r="8" spans="1:11" ht="15" customHeight="1" x14ac:dyDescent="0.2"/>
    <row r="9" spans="1:11" s="36" customFormat="1" ht="45" customHeight="1" x14ac:dyDescent="0.3">
      <c r="A9" s="201" t="s">
        <v>227</v>
      </c>
      <c r="B9" s="201"/>
      <c r="C9" s="201"/>
      <c r="D9" s="201"/>
      <c r="E9" s="201"/>
      <c r="F9" s="201"/>
      <c r="G9" s="201"/>
      <c r="H9" s="201"/>
      <c r="I9" s="201"/>
      <c r="J9" s="35"/>
    </row>
    <row r="10" spans="1:11" s="36" customFormat="1" ht="19.5" x14ac:dyDescent="0.3">
      <c r="A10" s="203"/>
      <c r="B10" s="203"/>
      <c r="C10" s="203"/>
      <c r="D10" s="203"/>
      <c r="E10" s="203"/>
      <c r="F10" s="203"/>
      <c r="G10" s="203"/>
      <c r="H10" s="203"/>
      <c r="I10" s="203"/>
      <c r="J10" s="35"/>
    </row>
    <row r="11" spans="1:11" s="36" customFormat="1" ht="19.5" x14ac:dyDescent="0.3">
      <c r="A11" s="202"/>
      <c r="B11" s="202"/>
      <c r="C11" s="202"/>
      <c r="D11" s="202"/>
      <c r="E11" s="202"/>
      <c r="F11" s="202"/>
      <c r="G11" s="202"/>
      <c r="H11" s="202"/>
      <c r="I11" s="202"/>
      <c r="J11" s="35"/>
    </row>
    <row r="12" spans="1:11" s="36" customFormat="1" ht="20.25" hidden="1" x14ac:dyDescent="0.35">
      <c r="A12" s="202" t="s">
        <v>71</v>
      </c>
      <c r="B12" s="202"/>
      <c r="C12" s="202"/>
      <c r="D12" s="202"/>
      <c r="E12" s="202"/>
      <c r="F12" s="202"/>
      <c r="G12" s="202"/>
      <c r="H12" s="202"/>
      <c r="I12" s="202"/>
      <c r="J12" s="37"/>
    </row>
    <row r="13" spans="1:11" s="39" customFormat="1" ht="15.75" hidden="1" x14ac:dyDescent="0.3">
      <c r="A13" s="5" t="s">
        <v>126</v>
      </c>
      <c r="B13" s="16"/>
      <c r="C13" s="16"/>
      <c r="D13" s="16"/>
      <c r="E13" s="16"/>
      <c r="F13" s="16"/>
      <c r="G13" s="16"/>
      <c r="H13" s="16"/>
      <c r="I13" s="16"/>
      <c r="J13" s="1"/>
      <c r="K13" s="45"/>
    </row>
    <row r="14" spans="1:11" s="39" customFormat="1" ht="15.75" hidden="1" x14ac:dyDescent="0.3">
      <c r="A14" s="5" t="s">
        <v>151</v>
      </c>
      <c r="B14" s="5"/>
      <c r="C14" s="5"/>
      <c r="D14" s="5"/>
      <c r="E14" s="5"/>
      <c r="F14" s="5"/>
      <c r="G14" s="5"/>
      <c r="H14" s="5"/>
      <c r="I14" s="5"/>
      <c r="J14" s="1"/>
      <c r="K14" s="45"/>
    </row>
    <row r="15" spans="1:11" s="39" customFormat="1" ht="15.75" hidden="1" x14ac:dyDescent="0.3">
      <c r="A15" s="218" t="s">
        <v>1</v>
      </c>
      <c r="B15" s="218"/>
      <c r="C15" s="218"/>
      <c r="D15" s="218"/>
      <c r="E15" s="218"/>
      <c r="F15" s="218"/>
      <c r="G15" s="218"/>
      <c r="H15" s="218"/>
      <c r="I15" s="218"/>
      <c r="J15" s="1"/>
      <c r="K15" s="45"/>
    </row>
    <row r="16" spans="1:11" s="39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45"/>
    </row>
    <row r="17" spans="1:11" s="39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45"/>
    </row>
    <row r="18" spans="1:11" s="38" customFormat="1" ht="13.5" hidden="1" x14ac:dyDescent="0.25">
      <c r="A18" s="68"/>
      <c r="B18" s="68"/>
      <c r="C18" s="69"/>
      <c r="D18" s="69"/>
      <c r="E18" s="64"/>
      <c r="F18" s="64"/>
      <c r="G18" s="64"/>
      <c r="H18" s="64"/>
      <c r="I18" s="64"/>
      <c r="J18" s="46"/>
      <c r="K18" s="46"/>
    </row>
    <row r="19" spans="1:11" s="38" customFormat="1" ht="14.25" x14ac:dyDescent="0.25">
      <c r="A19" s="200" t="s">
        <v>168</v>
      </c>
      <c r="B19" s="200"/>
      <c r="C19" s="200"/>
      <c r="D19" s="200"/>
      <c r="E19" s="200"/>
      <c r="F19" s="200"/>
      <c r="G19" s="147"/>
      <c r="H19" s="147"/>
      <c r="I19" s="147"/>
      <c r="J19" s="2"/>
    </row>
    <row r="20" spans="1:11" ht="12.75" customHeight="1" x14ac:dyDescent="0.2">
      <c r="A20" s="216"/>
      <c r="B20" s="217" t="s">
        <v>177</v>
      </c>
      <c r="C20" s="215" t="s">
        <v>56</v>
      </c>
      <c r="D20" s="215"/>
      <c r="E20" s="216"/>
      <c r="F20" s="216"/>
      <c r="G20" s="216"/>
      <c r="H20" s="216" t="s">
        <v>32</v>
      </c>
      <c r="I20" s="216" t="s">
        <v>53</v>
      </c>
    </row>
    <row r="21" spans="1:11" ht="38.25" x14ac:dyDescent="0.2">
      <c r="A21" s="216"/>
      <c r="B21" s="216"/>
      <c r="C21" s="48" t="s">
        <v>49</v>
      </c>
      <c r="D21" s="48" t="s">
        <v>94</v>
      </c>
      <c r="E21" s="48" t="s">
        <v>52</v>
      </c>
      <c r="F21" s="47" t="s">
        <v>57</v>
      </c>
      <c r="G21" s="47" t="s">
        <v>58</v>
      </c>
      <c r="H21" s="216"/>
      <c r="I21" s="216"/>
    </row>
    <row r="22" spans="1:11" x14ac:dyDescent="0.2">
      <c r="A22" s="49">
        <v>1</v>
      </c>
      <c r="B22" s="49">
        <v>2</v>
      </c>
      <c r="C22" s="49">
        <v>3</v>
      </c>
      <c r="D22" s="49">
        <v>4</v>
      </c>
      <c r="E22" s="49">
        <v>5</v>
      </c>
      <c r="F22" s="49">
        <v>6</v>
      </c>
      <c r="G22" s="49">
        <v>7</v>
      </c>
      <c r="H22" s="49">
        <v>8</v>
      </c>
      <c r="I22" s="49">
        <v>9</v>
      </c>
    </row>
    <row r="23" spans="1:11" x14ac:dyDescent="0.2">
      <c r="A23" s="50" t="s">
        <v>203</v>
      </c>
      <c r="B23" s="51"/>
      <c r="C23" s="101">
        <f>C25</f>
        <v>16663996</v>
      </c>
      <c r="D23" s="101">
        <f>D25</f>
        <v>1188176</v>
      </c>
      <c r="E23" s="52">
        <f>E25</f>
        <v>50375040</v>
      </c>
      <c r="F23" s="52">
        <f>F25</f>
        <v>-29278000</v>
      </c>
      <c r="G23" s="52">
        <f>SUM(C23:F23)</f>
        <v>38949212</v>
      </c>
      <c r="H23" s="101">
        <f>H25</f>
        <v>52642708</v>
      </c>
      <c r="I23" s="52">
        <f>G23+H23</f>
        <v>91591920</v>
      </c>
    </row>
    <row r="24" spans="1:11" x14ac:dyDescent="0.2">
      <c r="A24" s="53" t="s">
        <v>95</v>
      </c>
      <c r="B24" s="51"/>
      <c r="C24" s="52">
        <v>0</v>
      </c>
      <c r="D24" s="52">
        <v>0</v>
      </c>
      <c r="E24" s="52">
        <v>0</v>
      </c>
      <c r="F24" s="54">
        <v>0</v>
      </c>
      <c r="G24" s="52">
        <f>SUM(C24:F24)</f>
        <v>0</v>
      </c>
      <c r="H24" s="54">
        <v>0</v>
      </c>
      <c r="I24" s="52">
        <f>G24</f>
        <v>0</v>
      </c>
    </row>
    <row r="25" spans="1:11" x14ac:dyDescent="0.2">
      <c r="A25" s="50" t="s">
        <v>59</v>
      </c>
      <c r="B25" s="51"/>
      <c r="C25" s="52">
        <f>бб!D61</f>
        <v>16663996</v>
      </c>
      <c r="D25" s="52">
        <f>бб!D62</f>
        <v>1188176</v>
      </c>
      <c r="E25" s="52">
        <f>бб!D65</f>
        <v>50375040</v>
      </c>
      <c r="F25" s="52">
        <f>бб!D66</f>
        <v>-29278000</v>
      </c>
      <c r="G25" s="52">
        <f>SUM(C25:F25)</f>
        <v>38949212</v>
      </c>
      <c r="H25" s="52">
        <f>бб!D67</f>
        <v>52642708</v>
      </c>
      <c r="I25" s="52">
        <f>G25+H25</f>
        <v>91591920</v>
      </c>
    </row>
    <row r="26" spans="1:11" ht="25.5" x14ac:dyDescent="0.2">
      <c r="A26" s="53" t="s">
        <v>60</v>
      </c>
      <c r="B26" s="51"/>
      <c r="C26" s="52">
        <v>0</v>
      </c>
      <c r="D26" s="52">
        <v>0</v>
      </c>
      <c r="E26" s="76">
        <f>бб!C65-бб!D65</f>
        <v>-4163255</v>
      </c>
      <c r="F26" s="76">
        <f>-E26</f>
        <v>4163255</v>
      </c>
      <c r="G26" s="52">
        <f>SUM(C26:F26)</f>
        <v>0</v>
      </c>
      <c r="H26" s="54">
        <v>0</v>
      </c>
      <c r="I26" s="52">
        <f>G26</f>
        <v>0</v>
      </c>
    </row>
    <row r="27" spans="1:11" ht="25.5" x14ac:dyDescent="0.2">
      <c r="A27" s="53" t="s">
        <v>157</v>
      </c>
      <c r="B27" s="51"/>
      <c r="C27" s="52">
        <v>0</v>
      </c>
      <c r="D27" s="52"/>
      <c r="E27" s="76">
        <v>0</v>
      </c>
      <c r="F27" s="76"/>
      <c r="G27" s="76">
        <f>SUM(C27:F27)</f>
        <v>0</v>
      </c>
      <c r="H27" s="54">
        <v>0</v>
      </c>
      <c r="I27" s="76">
        <f>G27</f>
        <v>0</v>
      </c>
    </row>
    <row r="28" spans="1:11" ht="25.5" x14ac:dyDescent="0.2">
      <c r="A28" s="53" t="s">
        <v>61</v>
      </c>
      <c r="B28" s="51"/>
      <c r="C28" s="52">
        <v>0</v>
      </c>
      <c r="D28" s="52">
        <v>0</v>
      </c>
      <c r="E28" s="52">
        <v>0</v>
      </c>
      <c r="F28" s="54">
        <v>0</v>
      </c>
      <c r="G28" s="54">
        <v>0</v>
      </c>
      <c r="H28" s="54">
        <v>0</v>
      </c>
      <c r="I28" s="76">
        <v>0</v>
      </c>
    </row>
    <row r="29" spans="1:11" ht="53.25" customHeight="1" x14ac:dyDescent="0.2">
      <c r="A29" s="53" t="s">
        <v>62</v>
      </c>
      <c r="B29" s="51"/>
      <c r="C29" s="52">
        <v>0</v>
      </c>
      <c r="D29" s="52">
        <v>0</v>
      </c>
      <c r="E29" s="76">
        <f>бб!C65-бб!D65</f>
        <v>-4163255</v>
      </c>
      <c r="F29" s="76">
        <f>F26+F27+F28</f>
        <v>4163255</v>
      </c>
      <c r="G29" s="76">
        <f>G26+G27+G28</f>
        <v>0</v>
      </c>
      <c r="H29" s="76">
        <f>H26+H27+H28</f>
        <v>0</v>
      </c>
      <c r="I29" s="76">
        <f>G29</f>
        <v>0</v>
      </c>
    </row>
    <row r="30" spans="1:11" x14ac:dyDescent="0.2">
      <c r="A30" s="53" t="s">
        <v>32</v>
      </c>
      <c r="B30" s="51"/>
      <c r="C30" s="52">
        <v>0</v>
      </c>
      <c r="D30" s="52">
        <v>0</v>
      </c>
      <c r="E30" s="52">
        <v>0</v>
      </c>
      <c r="F30" s="52"/>
      <c r="G30" s="152">
        <f>F30</f>
        <v>0</v>
      </c>
      <c r="H30" s="52"/>
      <c r="I30" s="54">
        <f>G30+H30</f>
        <v>0</v>
      </c>
    </row>
    <row r="31" spans="1:11" x14ac:dyDescent="0.2">
      <c r="A31" s="53" t="s">
        <v>63</v>
      </c>
      <c r="B31" s="51"/>
      <c r="C31" s="52">
        <v>0</v>
      </c>
      <c r="D31" s="52">
        <v>0</v>
      </c>
      <c r="E31" s="76"/>
      <c r="F31" s="76">
        <f>ф2!C39</f>
        <v>-39195024</v>
      </c>
      <c r="G31" s="76">
        <f>SUM(C31:F31)</f>
        <v>-39195024</v>
      </c>
      <c r="H31" s="54">
        <f>ф2!C55</f>
        <v>-12772271</v>
      </c>
      <c r="I31" s="76">
        <f>G31+H31</f>
        <v>-51967295</v>
      </c>
    </row>
    <row r="32" spans="1:11" ht="25.5" x14ac:dyDescent="0.2">
      <c r="A32" s="53" t="s">
        <v>64</v>
      </c>
      <c r="B32" s="51"/>
      <c r="C32" s="52">
        <v>0</v>
      </c>
      <c r="D32" s="52">
        <v>0</v>
      </c>
      <c r="E32" s="76">
        <f>E29+E31</f>
        <v>-4163255</v>
      </c>
      <c r="F32" s="76">
        <f>F29+F31</f>
        <v>-35031769</v>
      </c>
      <c r="G32" s="76">
        <f>G29+G31</f>
        <v>-39195024</v>
      </c>
      <c r="H32" s="76">
        <f>H29+H31</f>
        <v>-12772271</v>
      </c>
      <c r="I32" s="76">
        <f>I29+I31</f>
        <v>-51967295</v>
      </c>
    </row>
    <row r="33" spans="1:18" x14ac:dyDescent="0.2">
      <c r="A33" s="53" t="s">
        <v>65</v>
      </c>
      <c r="B33" s="51"/>
      <c r="C33" s="52">
        <v>0</v>
      </c>
      <c r="D33" s="52">
        <v>0</v>
      </c>
      <c r="E33" s="52">
        <v>0</v>
      </c>
      <c r="F33" s="76"/>
      <c r="G33" s="76">
        <f>SUM(C33:F33)</f>
        <v>0</v>
      </c>
      <c r="H33" s="54">
        <v>0</v>
      </c>
      <c r="I33" s="76">
        <f>G33+H33</f>
        <v>0</v>
      </c>
    </row>
    <row r="34" spans="1:18" x14ac:dyDescent="0.2">
      <c r="A34" s="53" t="s">
        <v>66</v>
      </c>
      <c r="B34" s="51"/>
      <c r="C34" s="52">
        <v>0</v>
      </c>
      <c r="D34" s="52">
        <v>0</v>
      </c>
      <c r="E34" s="52">
        <v>0</v>
      </c>
      <c r="F34" s="55">
        <v>0</v>
      </c>
      <c r="G34" s="54">
        <f>SUM(C34:F34)</f>
        <v>0</v>
      </c>
      <c r="H34" s="55">
        <v>0</v>
      </c>
      <c r="I34" s="54">
        <f>G34+H34</f>
        <v>0</v>
      </c>
    </row>
    <row r="35" spans="1:18" ht="25.5" x14ac:dyDescent="0.2">
      <c r="A35" s="53" t="s">
        <v>67</v>
      </c>
      <c r="B35" s="51"/>
      <c r="C35" s="52">
        <v>0</v>
      </c>
      <c r="D35" s="52">
        <v>0</v>
      </c>
      <c r="E35" s="52">
        <v>0</v>
      </c>
      <c r="F35" s="55">
        <v>0</v>
      </c>
      <c r="G35" s="54">
        <f>SUM(C35:F35)</f>
        <v>0</v>
      </c>
      <c r="H35" s="54">
        <v>0</v>
      </c>
      <c r="I35" s="54">
        <f>G35+H35</f>
        <v>0</v>
      </c>
    </row>
    <row r="36" spans="1:18" ht="25.5" x14ac:dyDescent="0.2">
      <c r="A36" s="53" t="s">
        <v>228</v>
      </c>
      <c r="B36" s="51"/>
      <c r="C36" s="52">
        <f t="shared" ref="C36:G36" si="0">C25+C32+C33+C34-C35</f>
        <v>16663996</v>
      </c>
      <c r="D36" s="52">
        <f t="shared" si="0"/>
        <v>1188176</v>
      </c>
      <c r="E36" s="52">
        <f t="shared" si="0"/>
        <v>46211785</v>
      </c>
      <c r="F36" s="52">
        <f>F25+F32+F33+F34-F35</f>
        <v>-64309769</v>
      </c>
      <c r="G36" s="52">
        <f t="shared" si="0"/>
        <v>-245812</v>
      </c>
      <c r="H36" s="52">
        <f>H25+H32+H33+H34-H35+H30</f>
        <v>39870437</v>
      </c>
      <c r="I36" s="52">
        <f>I25+I32+I33+I34-I35+I30</f>
        <v>39624625</v>
      </c>
      <c r="J36" s="42">
        <f>бб!C65-E36</f>
        <v>0</v>
      </c>
      <c r="Q36" s="42">
        <f>бб!C68-ф4!I36</f>
        <v>0</v>
      </c>
      <c r="R36" s="42">
        <f>бб!C67-H36</f>
        <v>0</v>
      </c>
    </row>
    <row r="37" spans="1:18" x14ac:dyDescent="0.2">
      <c r="A37" s="56"/>
      <c r="B37" s="213"/>
      <c r="C37" s="213"/>
      <c r="D37" s="213"/>
      <c r="E37" s="213"/>
      <c r="F37" s="213"/>
      <c r="G37" s="213"/>
      <c r="H37" s="213"/>
      <c r="I37" s="214"/>
      <c r="K37" s="40">
        <f>бб!C84-ф4!C36</f>
        <v>-14919898</v>
      </c>
      <c r="L37" s="40">
        <f>бб!C85-ф4!D36</f>
        <v>-938094</v>
      </c>
      <c r="M37" s="71">
        <f>бб!C88-ф4!E36</f>
        <v>-43941402</v>
      </c>
      <c r="N37" s="40">
        <f>бб!C89-ф4!F36</f>
        <v>66534788</v>
      </c>
      <c r="O37" s="40">
        <f>бб!C90-ф4!H36</f>
        <v>-37894874</v>
      </c>
      <c r="P37" s="40">
        <f>бб!C91-ф4!I36</f>
        <v>19316694</v>
      </c>
      <c r="Q37" s="41"/>
    </row>
    <row r="38" spans="1:18" x14ac:dyDescent="0.2">
      <c r="A38" s="53" t="s">
        <v>204</v>
      </c>
      <c r="B38" s="51"/>
      <c r="C38" s="101">
        <v>16663996</v>
      </c>
      <c r="D38" s="101">
        <v>1188176</v>
      </c>
      <c r="E38" s="101">
        <v>19732400</v>
      </c>
      <c r="F38" s="101">
        <v>18548178</v>
      </c>
      <c r="G38" s="101">
        <f>SUM(C38:F38)</f>
        <v>56132750</v>
      </c>
      <c r="H38" s="101" t="s">
        <v>165</v>
      </c>
      <c r="I38" s="101">
        <f>G38</f>
        <v>56132750</v>
      </c>
    </row>
    <row r="39" spans="1:18" x14ac:dyDescent="0.2">
      <c r="A39" s="53" t="s">
        <v>118</v>
      </c>
      <c r="B39" s="51"/>
      <c r="C39" s="101" t="s">
        <v>165</v>
      </c>
      <c r="D39" s="101" t="s">
        <v>165</v>
      </c>
      <c r="E39" s="76" t="s">
        <v>165</v>
      </c>
      <c r="F39" s="76" t="s">
        <v>165</v>
      </c>
      <c r="G39" s="76" t="s">
        <v>165</v>
      </c>
      <c r="H39" s="102" t="s">
        <v>165</v>
      </c>
      <c r="I39" s="76" t="s">
        <v>165</v>
      </c>
    </row>
    <row r="40" spans="1:18" ht="25.5" x14ac:dyDescent="0.2">
      <c r="A40" s="53" t="s">
        <v>68</v>
      </c>
      <c r="B40" s="51"/>
      <c r="C40" s="101">
        <v>16663996</v>
      </c>
      <c r="D40" s="101">
        <v>1188176</v>
      </c>
      <c r="E40" s="101">
        <f>E38</f>
        <v>19732400</v>
      </c>
      <c r="F40" s="101">
        <f>F38</f>
        <v>18548178</v>
      </c>
      <c r="G40" s="101">
        <f>G38</f>
        <v>56132750</v>
      </c>
      <c r="H40" s="102" t="s">
        <v>165</v>
      </c>
      <c r="I40" s="101">
        <f>I38</f>
        <v>56132750</v>
      </c>
      <c r="Q40" s="42">
        <f>SUM(C40:F40)-I40</f>
        <v>0</v>
      </c>
    </row>
    <row r="41" spans="1:18" ht="25.5" x14ac:dyDescent="0.2">
      <c r="A41" s="53" t="s">
        <v>60</v>
      </c>
      <c r="B41" s="51"/>
      <c r="C41" s="101" t="s">
        <v>165</v>
      </c>
      <c r="D41" s="101" t="s">
        <v>165</v>
      </c>
      <c r="E41" s="76">
        <f>-949996</f>
        <v>-949996</v>
      </c>
      <c r="F41" s="76">
        <f>-E41</f>
        <v>949996</v>
      </c>
      <c r="G41" s="102">
        <v>0</v>
      </c>
      <c r="H41" s="102" t="s">
        <v>165</v>
      </c>
      <c r="I41" s="102" t="s">
        <v>165</v>
      </c>
    </row>
    <row r="42" spans="1:18" ht="12.75" hidden="1" customHeight="1" x14ac:dyDescent="0.2">
      <c r="A42" s="52">
        <v>0</v>
      </c>
      <c r="B42" s="52"/>
      <c r="C42" s="101" t="s">
        <v>165</v>
      </c>
      <c r="D42" s="101" t="s">
        <v>165</v>
      </c>
      <c r="E42" s="101" t="s">
        <v>165</v>
      </c>
      <c r="F42" s="101">
        <v>-237645</v>
      </c>
      <c r="G42" s="102">
        <v>-237645</v>
      </c>
      <c r="H42" s="102" t="s">
        <v>165</v>
      </c>
      <c r="I42" s="102">
        <v>-237645</v>
      </c>
    </row>
    <row r="43" spans="1:18" ht="25.5" x14ac:dyDescent="0.2">
      <c r="A43" s="53" t="s">
        <v>61</v>
      </c>
      <c r="B43" s="51"/>
      <c r="C43" s="101" t="s">
        <v>165</v>
      </c>
      <c r="D43" s="101" t="s">
        <v>165</v>
      </c>
      <c r="E43" s="101">
        <v>0</v>
      </c>
      <c r="F43" s="102" t="s">
        <v>165</v>
      </c>
      <c r="G43" s="102" t="s">
        <v>165</v>
      </c>
      <c r="H43" s="102" t="s">
        <v>165</v>
      </c>
      <c r="I43" s="102" t="s">
        <v>166</v>
      </c>
    </row>
    <row r="44" spans="1:18" ht="25.5" x14ac:dyDescent="0.2">
      <c r="A44" s="53" t="s">
        <v>157</v>
      </c>
      <c r="B44" s="51"/>
      <c r="C44" s="101" t="s">
        <v>165</v>
      </c>
      <c r="D44" s="101">
        <f>-933366</f>
        <v>-933366</v>
      </c>
      <c r="E44" s="76"/>
      <c r="F44" s="76"/>
      <c r="G44" s="77">
        <f>D44</f>
        <v>-933366</v>
      </c>
      <c r="H44" s="101">
        <v>11759985</v>
      </c>
      <c r="I44" s="104">
        <f>G44+H44</f>
        <v>10826619</v>
      </c>
    </row>
    <row r="45" spans="1:18" ht="51" x14ac:dyDescent="0.2">
      <c r="A45" s="53" t="s">
        <v>69</v>
      </c>
      <c r="B45" s="51"/>
      <c r="C45" s="101" t="s">
        <v>165</v>
      </c>
      <c r="D45" s="101" t="s">
        <v>165</v>
      </c>
      <c r="E45" s="76">
        <f>E41</f>
        <v>-949996</v>
      </c>
      <c r="F45" s="76">
        <f>F41+F44</f>
        <v>949996</v>
      </c>
      <c r="G45" s="76">
        <v>0</v>
      </c>
      <c r="H45" s="76">
        <v>0</v>
      </c>
      <c r="I45" s="76">
        <f>H45</f>
        <v>0</v>
      </c>
    </row>
    <row r="46" spans="1:18" x14ac:dyDescent="0.2">
      <c r="A46" s="53" t="s">
        <v>63</v>
      </c>
      <c r="B46" s="51"/>
      <c r="C46" s="101" t="s">
        <v>165</v>
      </c>
      <c r="D46" s="101" t="s">
        <v>165</v>
      </c>
      <c r="E46" s="76">
        <v>0</v>
      </c>
      <c r="F46" s="76">
        <f>ф2!E54</f>
        <v>-4627947</v>
      </c>
      <c r="G46" s="76">
        <f>F46</f>
        <v>-4627947</v>
      </c>
      <c r="H46" s="76">
        <f>ф2!E40</f>
        <v>1856379</v>
      </c>
      <c r="I46" s="76">
        <f>G46+H46</f>
        <v>-2771568</v>
      </c>
    </row>
    <row r="47" spans="1:18" ht="25.5" x14ac:dyDescent="0.2">
      <c r="A47" s="53" t="s">
        <v>70</v>
      </c>
      <c r="B47" s="51"/>
      <c r="C47" s="101" t="s">
        <v>165</v>
      </c>
      <c r="D47" s="101">
        <f>D44</f>
        <v>-933366</v>
      </c>
      <c r="E47" s="76">
        <f>E45+E46+E44</f>
        <v>-949996</v>
      </c>
      <c r="F47" s="76">
        <f>F45+F46</f>
        <v>-3677951</v>
      </c>
      <c r="G47" s="76">
        <f>G45+G46+G44-1</f>
        <v>-5561314</v>
      </c>
      <c r="H47" s="76">
        <f>H45+H46+H44</f>
        <v>13616364</v>
      </c>
      <c r="I47" s="76">
        <f>I45+I46+I44-1</f>
        <v>8055050</v>
      </c>
    </row>
    <row r="48" spans="1:18" x14ac:dyDescent="0.2">
      <c r="A48" s="53" t="s">
        <v>65</v>
      </c>
      <c r="B48" s="51"/>
      <c r="C48" s="101" t="s">
        <v>165</v>
      </c>
      <c r="D48" s="101" t="s">
        <v>165</v>
      </c>
      <c r="E48" s="101" t="s">
        <v>165</v>
      </c>
      <c r="F48" s="76" t="s">
        <v>166</v>
      </c>
      <c r="G48" s="76" t="s">
        <v>166</v>
      </c>
      <c r="H48" s="102" t="s">
        <v>165</v>
      </c>
      <c r="I48" s="104" t="s">
        <v>166</v>
      </c>
    </row>
    <row r="49" spans="1:17" x14ac:dyDescent="0.2">
      <c r="A49" s="53" t="s">
        <v>66</v>
      </c>
      <c r="B49" s="51"/>
      <c r="C49" s="101" t="s">
        <v>165</v>
      </c>
      <c r="D49" s="101" t="s">
        <v>165</v>
      </c>
      <c r="E49" s="101" t="s">
        <v>165</v>
      </c>
      <c r="F49" s="103" t="s">
        <v>165</v>
      </c>
      <c r="G49" s="102" t="s">
        <v>165</v>
      </c>
      <c r="H49" s="103" t="s">
        <v>165</v>
      </c>
      <c r="I49" s="102" t="s">
        <v>165</v>
      </c>
    </row>
    <row r="50" spans="1:17" ht="25.5" x14ac:dyDescent="0.2">
      <c r="A50" s="53" t="s">
        <v>67</v>
      </c>
      <c r="B50" s="51"/>
      <c r="C50" s="101" t="s">
        <v>165</v>
      </c>
      <c r="D50" s="101" t="s">
        <v>165</v>
      </c>
      <c r="E50" s="101" t="s">
        <v>165</v>
      </c>
      <c r="F50" s="103" t="s">
        <v>165</v>
      </c>
      <c r="G50" s="102" t="s">
        <v>165</v>
      </c>
      <c r="H50" s="102" t="s">
        <v>165</v>
      </c>
      <c r="I50" s="102" t="s">
        <v>165</v>
      </c>
    </row>
    <row r="51" spans="1:17" ht="25.5" x14ac:dyDescent="0.2">
      <c r="A51" s="53" t="s">
        <v>229</v>
      </c>
      <c r="B51" s="51"/>
      <c r="C51" s="101">
        <v>16663996</v>
      </c>
      <c r="D51" s="101">
        <f>D40+D47</f>
        <v>254810</v>
      </c>
      <c r="E51" s="101">
        <f>E40+E47</f>
        <v>18782404</v>
      </c>
      <c r="F51" s="101">
        <f>F40+F47-1</f>
        <v>14870226</v>
      </c>
      <c r="G51" s="101">
        <f t="shared" ref="G51:I51" si="1">G40+G47</f>
        <v>50571436</v>
      </c>
      <c r="H51" s="101">
        <f>H47</f>
        <v>13616364</v>
      </c>
      <c r="I51" s="101">
        <f t="shared" si="1"/>
        <v>64187800</v>
      </c>
      <c r="K51" s="42"/>
      <c r="L51" s="42"/>
      <c r="M51" s="42"/>
      <c r="N51" s="42"/>
      <c r="O51" s="42"/>
      <c r="P51" s="42"/>
      <c r="Q51" s="42">
        <f>SUM(C51:F51)-G51</f>
        <v>0</v>
      </c>
    </row>
    <row r="52" spans="1:17" x14ac:dyDescent="0.2">
      <c r="A52" s="60"/>
      <c r="B52" s="64"/>
      <c r="C52" s="64"/>
      <c r="D52" s="64"/>
      <c r="E52" s="64"/>
      <c r="F52" s="64"/>
      <c r="G52" s="64"/>
      <c r="H52" s="64"/>
      <c r="I52" s="64"/>
      <c r="K52" s="42"/>
      <c r="L52" s="42"/>
      <c r="M52" s="42"/>
      <c r="N52" s="42"/>
      <c r="O52" s="42"/>
    </row>
    <row r="53" spans="1:17" ht="14.25" x14ac:dyDescent="0.2">
      <c r="A53" s="60" t="str">
        <f>бб!A99</f>
        <v>И.о.генерального директора</v>
      </c>
      <c r="B53" s="59"/>
      <c r="C53" s="59"/>
      <c r="D53" s="64"/>
      <c r="E53" s="92" t="str">
        <f>бб!D99</f>
        <v>В.В.Лесин</v>
      </c>
      <c r="F53" s="64"/>
      <c r="G53" s="64"/>
      <c r="H53" s="61"/>
      <c r="I53" s="64"/>
    </row>
    <row r="54" spans="1:17" x14ac:dyDescent="0.2">
      <c r="A54" s="60"/>
      <c r="B54" s="59"/>
      <c r="C54" s="59"/>
      <c r="D54" s="61"/>
      <c r="E54" s="212"/>
      <c r="F54" s="212"/>
      <c r="G54" s="64"/>
      <c r="H54" s="64"/>
      <c r="I54" s="64"/>
    </row>
    <row r="55" spans="1:17" x14ac:dyDescent="0.2">
      <c r="A55" s="60"/>
      <c r="B55" s="59"/>
      <c r="C55" s="59"/>
      <c r="D55" s="61"/>
      <c r="E55" s="64"/>
      <c r="F55" s="64"/>
      <c r="G55" s="64"/>
      <c r="H55" s="64"/>
      <c r="I55" s="64"/>
    </row>
    <row r="56" spans="1:17" ht="14.25" x14ac:dyDescent="0.2">
      <c r="A56" s="60" t="str">
        <f>бб!A102</f>
        <v xml:space="preserve">Главный бухгалтер                                              </v>
      </c>
      <c r="B56" s="59"/>
      <c r="C56" s="59"/>
      <c r="D56" s="64"/>
      <c r="E56" s="93" t="s">
        <v>156</v>
      </c>
      <c r="F56" s="60"/>
      <c r="G56" s="64"/>
      <c r="H56" s="61"/>
      <c r="I56" s="64"/>
    </row>
    <row r="57" spans="1:17" x14ac:dyDescent="0.2">
      <c r="A57" s="64"/>
      <c r="B57" s="64"/>
      <c r="C57" s="64"/>
      <c r="D57" s="64"/>
      <c r="E57" s="64"/>
      <c r="F57" s="64"/>
      <c r="G57" s="64"/>
      <c r="H57" s="64"/>
      <c r="I57" s="64"/>
    </row>
    <row r="58" spans="1:17" ht="15" customHeight="1" x14ac:dyDescent="0.2">
      <c r="A58" s="57" t="s">
        <v>54</v>
      </c>
      <c r="B58" s="64"/>
      <c r="C58" s="64"/>
      <c r="D58" s="64"/>
      <c r="E58" s="64"/>
      <c r="F58" s="64"/>
      <c r="G58" s="64"/>
      <c r="H58" s="64"/>
      <c r="I58" s="64"/>
    </row>
    <row r="59" spans="1:17" x14ac:dyDescent="0.2">
      <c r="A59" s="64"/>
      <c r="B59" s="64"/>
      <c r="C59" s="64"/>
      <c r="D59" s="64"/>
      <c r="E59" s="64"/>
      <c r="F59" s="64"/>
      <c r="G59" s="64"/>
      <c r="H59" s="64"/>
      <c r="I59" s="64"/>
    </row>
    <row r="60" spans="1:17" x14ac:dyDescent="0.2">
      <c r="A60" s="64"/>
      <c r="B60" s="64"/>
      <c r="C60" s="64"/>
      <c r="D60" s="64"/>
      <c r="E60" s="64"/>
      <c r="F60" s="64"/>
      <c r="G60" s="64"/>
      <c r="H60" s="64"/>
      <c r="I60" s="64"/>
    </row>
  </sheetData>
  <mergeCells count="13">
    <mergeCell ref="A19:F19"/>
    <mergeCell ref="A9:I9"/>
    <mergeCell ref="A12:I12"/>
    <mergeCell ref="A15:I15"/>
    <mergeCell ref="A10:I10"/>
    <mergeCell ref="A11:I11"/>
    <mergeCell ref="E54:F54"/>
    <mergeCell ref="B37:I37"/>
    <mergeCell ref="C20:G20"/>
    <mergeCell ref="A20:A21"/>
    <mergeCell ref="B20:B21"/>
    <mergeCell ref="H20:H21"/>
    <mergeCell ref="I20:I21"/>
  </mergeCells>
  <phoneticPr fontId="2" type="noConversion"/>
  <pageMargins left="0" right="0" top="0" bottom="0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2022-11-10T12:11:18Z</cp:lastPrinted>
  <dcterms:created xsi:type="dcterms:W3CDTF">2007-05-04T07:43:23Z</dcterms:created>
  <dcterms:modified xsi:type="dcterms:W3CDTF">2022-11-21T08:20:28Z</dcterms:modified>
</cp:coreProperties>
</file>