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mbuh\Documents\Биржа\2023 год\2 кв 2023г\"/>
    </mc:Choice>
  </mc:AlternateContent>
  <bookViews>
    <workbookView xWindow="0" yWindow="0" windowWidth="28800" windowHeight="12435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</externalReferences>
  <definedNames>
    <definedName name="_xlnm.Print_Area" localSheetId="0">бб!$A$1:$D$104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52511"/>
</workbook>
</file>

<file path=xl/calcChain.xml><?xml version="1.0" encoding="utf-8"?>
<calcChain xmlns="http://schemas.openxmlformats.org/spreadsheetml/2006/main">
  <c r="C40" i="10" l="1"/>
  <c r="C36" i="10"/>
  <c r="C32" i="10"/>
  <c r="C31" i="10"/>
  <c r="C30" i="10"/>
  <c r="C29" i="10"/>
  <c r="C28" i="10"/>
  <c r="C27" i="10"/>
  <c r="C26" i="10"/>
  <c r="C24" i="10"/>
  <c r="C23" i="10"/>
  <c r="C32" i="11" l="1"/>
  <c r="C31" i="11"/>
  <c r="C29" i="11"/>
  <c r="C89" i="4" l="1"/>
  <c r="C72" i="4"/>
  <c r="C48" i="10"/>
  <c r="C55" i="10"/>
  <c r="D36" i="10"/>
  <c r="D31" i="10"/>
  <c r="D30" i="10"/>
  <c r="D29" i="10"/>
  <c r="D28" i="10"/>
  <c r="D27" i="10"/>
  <c r="D26" i="10"/>
  <c r="D23" i="10"/>
  <c r="D38" i="10"/>
  <c r="G25" i="10"/>
  <c r="G33" i="10" s="1"/>
  <c r="G35" i="10" s="1"/>
  <c r="G37" i="10" s="1"/>
  <c r="G39" i="10" s="1"/>
  <c r="G41" i="10" s="1"/>
  <c r="G52" i="10" s="1"/>
  <c r="F25" i="10"/>
  <c r="F33" i="10" s="1"/>
  <c r="F35" i="10" s="1"/>
  <c r="F37" i="10" s="1"/>
  <c r="F39" i="10" s="1"/>
  <c r="F41" i="10" s="1"/>
  <c r="F52" i="10" s="1"/>
  <c r="E25" i="10"/>
  <c r="E33" i="10" s="1"/>
  <c r="E35" i="10" s="1"/>
  <c r="E37" i="10" s="1"/>
  <c r="E39" i="10" s="1"/>
  <c r="E41" i="10" s="1"/>
  <c r="E52" i="10" s="1"/>
  <c r="D40" i="10" l="1"/>
  <c r="D55" i="10" s="1"/>
  <c r="C25" i="10"/>
  <c r="C33" i="10" s="1"/>
  <c r="C35" i="10" s="1"/>
  <c r="C37" i="10" s="1"/>
  <c r="D24" i="10"/>
  <c r="D25" i="10" s="1"/>
  <c r="D33" i="10" s="1"/>
  <c r="D35" i="10" s="1"/>
  <c r="D37" i="10" s="1"/>
  <c r="D39" i="10" s="1"/>
  <c r="C39" i="10" l="1"/>
  <c r="C57" i="10" s="1"/>
  <c r="F31" i="3"/>
  <c r="C54" i="10"/>
  <c r="D57" i="10"/>
  <c r="D54" i="10"/>
  <c r="D41" i="10"/>
  <c r="D52" i="10" s="1"/>
  <c r="C41" i="10" l="1"/>
  <c r="C52" i="10" s="1"/>
  <c r="D89" i="4"/>
  <c r="D42" i="4" l="1"/>
  <c r="D25" i="11" l="1"/>
  <c r="D59" i="11"/>
  <c r="D53" i="11"/>
  <c r="D43" i="11"/>
  <c r="D51" i="11" s="1"/>
  <c r="D35" i="11"/>
  <c r="D18" i="11"/>
  <c r="D66" i="11" l="1"/>
  <c r="D33" i="11"/>
  <c r="D67" i="11" l="1"/>
  <c r="D72" i="11" s="1"/>
  <c r="D91" i="4" l="1"/>
  <c r="E53" i="3" l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91" i="4" l="1"/>
  <c r="K55" i="10" l="1"/>
  <c r="C67" i="4" l="1"/>
  <c r="C37" i="4" l="1"/>
  <c r="C52" i="4" l="1"/>
  <c r="C54" i="4" s="1"/>
  <c r="I36" i="10" l="1"/>
  <c r="I31" i="10"/>
  <c r="I30" i="10"/>
  <c r="I29" i="10"/>
  <c r="I28" i="10"/>
  <c r="I27" i="10"/>
  <c r="I26" i="10"/>
  <c r="I24" i="10"/>
  <c r="C79" i="4" l="1"/>
  <c r="C92" i="4" s="1"/>
  <c r="C94" i="4" s="1"/>
  <c r="G30" i="3"/>
  <c r="I30" i="3" s="1"/>
  <c r="I23" i="10" l="1"/>
  <c r="E97" i="4"/>
  <c r="D16" i="11" l="1"/>
  <c r="C16" i="11"/>
  <c r="C18" i="11" l="1"/>
  <c r="C43" i="11"/>
  <c r="C59" i="11"/>
  <c r="C25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52" i="4" l="1"/>
  <c r="F64" i="4"/>
  <c r="E25" i="3"/>
  <c r="E29" i="3"/>
  <c r="E32" i="3" s="1"/>
  <c r="E26" i="3"/>
  <c r="D23" i="3"/>
  <c r="D36" i="3"/>
  <c r="L37" i="3" s="1"/>
  <c r="E72" i="11"/>
  <c r="E23" i="3" l="1"/>
  <c r="E36" i="3"/>
  <c r="F25" i="3"/>
  <c r="F65" i="4"/>
  <c r="H65" i="4" s="1"/>
  <c r="D37" i="4"/>
  <c r="D54" i="4" s="1"/>
  <c r="D79" i="4"/>
  <c r="D92" i="4" s="1"/>
  <c r="F26" i="3"/>
  <c r="F29" i="3" s="1"/>
  <c r="F32" i="3" s="1"/>
  <c r="G26" i="3" l="1"/>
  <c r="I26" i="3" s="1"/>
  <c r="J36" i="3"/>
  <c r="M37" i="3"/>
  <c r="C25" i="3"/>
  <c r="D67" i="4"/>
  <c r="F23" i="3"/>
  <c r="F36" i="3"/>
  <c r="N37" i="3" s="1"/>
  <c r="G29" i="3" l="1"/>
  <c r="I29" i="3" s="1"/>
  <c r="I32" i="3" s="1"/>
  <c r="D94" i="4"/>
  <c r="F97" i="4" s="1"/>
  <c r="C23" i="3"/>
  <c r="G23" i="3" s="1"/>
  <c r="I23" i="3" s="1"/>
  <c r="C36" i="3"/>
  <c r="K37" i="3" s="1"/>
  <c r="G25" i="3"/>
  <c r="I25" i="3" s="1"/>
  <c r="G32" i="3" l="1"/>
  <c r="G36" i="3" s="1"/>
  <c r="I36" i="3"/>
  <c r="P37" i="3" s="1"/>
  <c r="Q36" i="3" l="1"/>
</calcChain>
</file>

<file path=xl/sharedStrings.xml><?xml version="1.0" encoding="utf-8"?>
<sst xmlns="http://schemas.openxmlformats.org/spreadsheetml/2006/main" count="320" uniqueCount="232">
  <si>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</si>
  <si>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</si>
  <si>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</si>
  <si>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</si>
  <si>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</si>
  <si>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</si>
  <si>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</si>
  <si>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</si>
  <si>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</si>
  <si>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</si>
  <si>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</si>
  <si>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</si>
  <si>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</si>
  <si>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</si>
  <si>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</si>
  <si>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</si>
  <si>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</si>
  <si>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</si>
  <si>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</si>
  <si>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</si>
  <si>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</si>
  <si>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</si>
  <si>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</si>
  <si>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</si>
  <si>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</si>
  <si>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</si>
  <si>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</si>
  <si>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</si>
  <si>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</si>
  <si>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</si>
  <si>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</si>
  <si>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</si>
  <si>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</si>
  <si>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</si>
  <si>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</si>
  <si>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</si>
  <si>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</si>
  <si>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</si>
  <si>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</si>
  <si>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</si>
  <si>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</si>
  <si>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</si>
  <si>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</si>
  <si>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</si>
  <si>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</si>
  <si>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</si>
  <si>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</si>
  <si>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</si>
  <si>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</si>
  <si>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</si>
  <si>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</si>
  <si>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</si>
  <si>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</si>
  <si>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</si>
  <si>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</si>
  <si>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</si>
  <si>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</si>
  <si>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</si>
  <si>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</si>
  <si>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</si>
  <si>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</si>
  <si>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</si>
  <si>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</si>
  <si>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</si>
  <si>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</si>
  <si>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</si>
  <si>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</si>
  <si>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</si>
  <si>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</si>
  <si>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</si>
  <si>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</si>
  <si>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</si>
  <si>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</si>
  <si>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</si>
  <si>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</si>
  <si>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</si>
  <si>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</si>
  <si>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</si>
  <si>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</si>
  <si>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</si>
  <si>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</si>
  <si>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</si>
  <si>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</si>
  <si>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</si>
  <si>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</si>
  <si>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</si>
  <si>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</si>
  <si>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</si>
  <si>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</si>
  <si>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</si>
  <si>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</si>
  <si>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</si>
  <si>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</si>
  <si>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</si>
  <si>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</si>
  <si>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</si>
  <si>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</si>
  <si>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</si>
  <si>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</si>
  <si>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</si>
  <si>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</si>
  <si>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</si>
  <si>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</si>
  <si>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</si>
  <si>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</si>
  <si>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</si>
  <si>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</si>
  <si>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</si>
  <si>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</si>
  <si>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</si>
  <si>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</si>
  <si>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</si>
  <si>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</si>
  <si>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</si>
  <si>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</si>
  <si>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</si>
  <si>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</si>
  <si>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</si>
  <si>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</si>
  <si>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</si>
  <si>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</si>
  <si>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</si>
  <si>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</si>
  <si>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</si>
  <si>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</si>
  <si>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</si>
  <si>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</si>
  <si>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</si>
  <si>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</si>
  <si>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</si>
  <si>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</si>
  <si>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</si>
  <si>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</si>
  <si>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</si>
  <si>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</si>
  <si>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</si>
  <si>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</si>
  <si>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</si>
  <si>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</si>
  <si>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</si>
  <si>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</si>
  <si>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</si>
  <si>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</si>
  <si>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</si>
  <si>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</si>
  <si>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</si>
  <si>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</si>
  <si>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</si>
  <si>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</si>
  <si>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</si>
  <si>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</si>
  <si>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</si>
  <si>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</si>
  <si>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</si>
  <si>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</si>
  <si>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</si>
  <si>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</si>
  <si>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</si>
  <si>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</si>
  <si>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</si>
  <si>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</si>
  <si>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</si>
  <si>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</si>
  <si>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</si>
  <si>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</si>
  <si>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</si>
  <si>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</si>
  <si>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</si>
  <si>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</si>
  <si>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</si>
  <si>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</si>
  <si>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</si>
  <si>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</si>
  <si>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</si>
  <si>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</si>
  <si>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</si>
  <si>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</si>
  <si>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</si>
  <si>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</si>
  <si>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</si>
  <si>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</si>
  <si>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</si>
  <si>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</si>
  <si>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</si>
  <si>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</si>
  <si>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</si>
  <si>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</si>
  <si>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</si>
  <si>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</si>
  <si>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</si>
  <si>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</si>
  <si>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</si>
  <si>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</si>
  <si>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</si>
  <si>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</si>
  <si>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</si>
  <si>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</si>
  <si>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</si>
  <si>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</si>
  <si>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</si>
  <si>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Долгосрочные активы по договорам с покупателями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</si>
  <si>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</si>
  <si>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</si>
  <si>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</si>
  <si>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</si>
  <si>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</si>
  <si>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</si>
  <si>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</si>
  <si>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</si>
  <si>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</si>
  <si>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</si>
  <si>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</si>
  <si>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</si>
  <si>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31 декабря 2022г.</t>
  </si>
  <si>
    <t>Сальдо на 1 января 2023 г.</t>
  </si>
  <si>
    <t>Финансовые гарантии долгосрочные</t>
  </si>
  <si>
    <t>Генеральный директор</t>
  </si>
  <si>
    <t>Консолидированный отчет о финансовом положении по состоянию на                                         30 июня 2023 года</t>
  </si>
  <si>
    <t>30 июня 2023г.</t>
  </si>
  <si>
    <t>За шесть месяцев, закончившихся  30 июня 2023 года</t>
  </si>
  <si>
    <t>За шесть месяцев, закончившихся  30 июня 2022 года</t>
  </si>
  <si>
    <t xml:space="preserve"> За 3 месяца 2023г.</t>
  </si>
  <si>
    <t xml:space="preserve">в  том числе за 2 квартал, закончившихся  30 июня 2022 года </t>
  </si>
  <si>
    <t xml:space="preserve">в  том числе за 2 квартал, закончившихся  30 июня 2023 года </t>
  </si>
  <si>
    <t>О.А. Щемель</t>
  </si>
  <si>
    <t>С.Н. Беликова</t>
  </si>
  <si>
    <t xml:space="preserve">Консолидированный отчет о прибылях и убытках и прочем совокупном доходе за период, закончившийся 30 июня 2023 года </t>
  </si>
  <si>
    <t>Консолидированный отчет о движении денежных средств за период, закончившийся                                   30 июня 2023 года</t>
  </si>
  <si>
    <t>Сальдо на 30 июня 2023 г. (стр.060-стр.070+стр.080-стр.090)</t>
  </si>
  <si>
    <t>Консолидированный отчет об изменениях в собственном капитале за период,                                                       закончившийся  30 июня 2023  года</t>
  </si>
  <si>
    <t>Сальдо на 1 января 2022 г.</t>
  </si>
  <si>
    <t>Сальдо на 30 июня   2022 г. (стр.060-стр.070+стр.080-стр.090)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</si>
</sst>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_);_(@_)"/>
    <numFmt numFmtId="166" formatCode="_-* #,##0.00_р_._-;\-* #,##0.00_р_._-;_-* &quot;-&quot;_р_._-;_-@_-"/>
    <numFmt numFmtId="167" formatCode="_(* #,##0_);_(* \(#,##0\);_(* \-_);_(@_)"/>
    <numFmt numFmtId="168" formatCode="_(* #,##0.00_);_(* \(#,##0.00\);_(* \-_);_(@_)"/>
    <numFmt numFmtId="169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41" fontId="13" fillId="0" borderId="0" xfId="0" applyNumberFormat="1" applyFont="1"/>
    <xf numFmtId="0" fontId="13" fillId="0" borderId="0" xfId="0" applyFont="1"/>
    <xf numFmtId="41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41" fontId="14" fillId="0" borderId="5" xfId="0" applyNumberFormat="1" applyFont="1" applyBorder="1" applyAlignment="1">
      <alignment horizontal="right" vertical="center" shrinkToFit="1"/>
    </xf>
    <xf numFmtId="41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1" fontId="16" fillId="0" borderId="0" xfId="0" applyNumberFormat="1" applyFont="1" applyFill="1" applyAlignment="1">
      <alignment vertical="center"/>
    </xf>
    <xf numFmtId="0" fontId="14" fillId="0" borderId="0" xfId="0" applyFont="1"/>
    <xf numFmtId="41" fontId="16" fillId="0" borderId="0" xfId="0" applyNumberFormat="1" applyFont="1" applyAlignment="1">
      <alignment vertical="center"/>
    </xf>
    <xf numFmtId="41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6" fontId="13" fillId="0" borderId="0" xfId="0" applyNumberFormat="1" applyFont="1"/>
    <xf numFmtId="41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14" fillId="0" borderId="5" xfId="3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41" fontId="19" fillId="0" borderId="0" xfId="0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41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1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1" fontId="6" fillId="0" borderId="7" xfId="0" applyNumberFormat="1" applyFont="1" applyBorder="1" applyAlignment="1" applyProtection="1">
      <alignment horizontal="right" vertical="center" shrinkToFit="1"/>
    </xf>
    <xf numFmtId="41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1" fontId="6" fillId="0" borderId="7" xfId="0" applyNumberFormat="1" applyFont="1" applyBorder="1" applyAlignment="1" applyProtection="1">
      <alignment vertical="center" shrinkToFit="1"/>
    </xf>
    <xf numFmtId="41" fontId="6" fillId="0" borderId="7" xfId="0" applyNumberFormat="1" applyFont="1" applyBorder="1" applyAlignment="1" applyProtection="1">
      <alignment horizontal="left" vertical="center" shrinkToFit="1"/>
    </xf>
    <xf numFmtId="41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43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41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9" fontId="19" fillId="0" borderId="0" xfId="2" applyNumberFormat="1" applyFont="1" applyBorder="1"/>
    <xf numFmtId="0" fontId="19" fillId="0" borderId="0" xfId="0" applyFont="1" applyBorder="1"/>
    <xf numFmtId="169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9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1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1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19" fillId="0" borderId="0" xfId="3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14" fillId="0" borderId="5" xfId="3" applyNumberFormat="1" applyFont="1" applyBorder="1" applyAlignment="1">
      <alignment horizontal="right" vertical="center" shrinkToFit="1"/>
    </xf>
    <xf numFmtId="41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1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4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49" fontId="14" fillId="0" borderId="5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7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2" xfId="0" applyNumberFormat="1" applyFont="1" applyFill="1" applyBorder="1" applyAlignment="1" applyProtection="1">
      <alignment vertical="center" shrinkToFit="1"/>
      <protection locked="0"/>
    </xf>
    <xf numFmtId="167" fontId="6" fillId="0" borderId="2" xfId="0" applyNumberFormat="1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vertical="center" shrinkToFit="1"/>
    </xf>
    <xf numFmtId="164" fontId="6" fillId="0" borderId="2" xfId="3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vertical="center"/>
    </xf>
    <xf numFmtId="41" fontId="14" fillId="0" borderId="5" xfId="0" applyNumberFormat="1" applyFont="1" applyFill="1" applyBorder="1" applyAlignment="1">
      <alignment horizontal="right" vertical="center" shrinkToFit="1"/>
    </xf>
    <xf numFmtId="167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13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13" xfId="0" applyNumberFormat="1" applyFont="1" applyFill="1" applyBorder="1" applyAlignment="1" applyProtection="1">
      <alignment vertical="center"/>
      <protection locked="0"/>
    </xf>
    <xf numFmtId="167" fontId="6" fillId="3" borderId="0" xfId="0" applyNumberFormat="1" applyFont="1" applyFill="1" applyBorder="1" applyAlignment="1" applyProtection="1">
      <alignment vertical="center"/>
      <protection locked="0"/>
    </xf>
    <xf numFmtId="167" fontId="6" fillId="3" borderId="0" xfId="0" applyNumberFormat="1" applyFont="1" applyFill="1" applyBorder="1" applyAlignment="1" applyProtection="1">
      <alignment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left" vertical="center"/>
      <protection locked="0"/>
    </xf>
    <xf numFmtId="167" fontId="6" fillId="3" borderId="0" xfId="0" applyNumberFormat="1" applyFont="1" applyFill="1" applyBorder="1" applyAlignment="1">
      <alignment vertical="center"/>
    </xf>
    <xf numFmtId="167" fontId="6" fillId="0" borderId="13" xfId="0" applyNumberFormat="1" applyFont="1" applyFill="1" applyBorder="1" applyAlignment="1">
      <alignment vertical="center"/>
    </xf>
    <xf numFmtId="167" fontId="6" fillId="3" borderId="2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right" vertical="center" wrapText="1"/>
    </xf>
    <xf numFmtId="164" fontId="6" fillId="3" borderId="0" xfId="3" applyNumberFormat="1" applyFont="1" applyFill="1" applyBorder="1" applyAlignment="1">
      <alignment horizontal="center" vertical="center"/>
    </xf>
    <xf numFmtId="168" fontId="6" fillId="0" borderId="4" xfId="0" applyNumberFormat="1" applyFont="1" applyFill="1" applyBorder="1" applyAlignment="1">
      <alignment vertical="center" shrinkToFit="1"/>
    </xf>
    <xf numFmtId="168" fontId="6" fillId="3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68" fontId="6" fillId="0" borderId="0" xfId="0" applyNumberFormat="1" applyFont="1" applyFill="1" applyBorder="1" applyAlignment="1">
      <alignment vertical="center" shrinkToFit="1"/>
    </xf>
    <xf numFmtId="168" fontId="6" fillId="3" borderId="0" xfId="0" applyNumberFormat="1" applyFont="1" applyFill="1" applyBorder="1" applyAlignment="1">
      <alignment vertical="center" shrinkToFit="1"/>
    </xf>
    <xf numFmtId="41" fontId="20" fillId="0" borderId="0" xfId="0" applyNumberFormat="1" applyFont="1"/>
    <xf numFmtId="164" fontId="16" fillId="0" borderId="0" xfId="3" applyNumberFormat="1" applyFont="1" applyFill="1" applyAlignment="1">
      <alignment horizontal="right" vertical="center"/>
    </xf>
    <xf numFmtId="164" fontId="16" fillId="0" borderId="0" xfId="3" applyNumberFormat="1" applyFont="1" applyAlignment="1">
      <alignment horizontal="right" vertical="center"/>
    </xf>
    <xf numFmtId="164" fontId="6" fillId="0" borderId="1" xfId="3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 wrapText="1"/>
    </xf>
    <xf numFmtId="164" fontId="6" fillId="0" borderId="9" xfId="3" applyNumberFormat="1" applyFont="1" applyFill="1" applyBorder="1" applyAlignment="1">
      <alignment horizontal="right" vertical="center"/>
    </xf>
    <xf numFmtId="164" fontId="6" fillId="0" borderId="9" xfId="3" applyNumberFormat="1" applyFont="1" applyBorder="1" applyAlignment="1">
      <alignment horizontal="right" vertical="center"/>
    </xf>
    <xf numFmtId="164" fontId="6" fillId="0" borderId="2" xfId="3" applyNumberFormat="1" applyFont="1" applyFill="1" applyBorder="1" applyAlignment="1">
      <alignment horizontal="right" vertical="center" shrinkToFit="1"/>
    </xf>
    <xf numFmtId="164" fontId="6" fillId="0" borderId="4" xfId="3" applyNumberFormat="1" applyFont="1" applyFill="1" applyBorder="1" applyAlignment="1">
      <alignment horizontal="right" vertical="center" shrinkToFit="1"/>
    </xf>
    <xf numFmtId="164" fontId="6" fillId="0" borderId="2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164" fontId="6" fillId="0" borderId="3" xfId="3" applyNumberFormat="1" applyFont="1" applyFill="1" applyBorder="1" applyAlignment="1">
      <alignment horizontal="right" vertical="center" shrinkToFit="1"/>
    </xf>
    <xf numFmtId="164" fontId="6" fillId="0" borderId="0" xfId="3" applyNumberFormat="1" applyFont="1" applyFill="1" applyBorder="1" applyAlignment="1">
      <alignment horizontal="right" vertical="center" shrinkToFit="1"/>
    </xf>
    <xf numFmtId="164" fontId="6" fillId="0" borderId="0" xfId="3" applyNumberFormat="1" applyFont="1" applyBorder="1" applyAlignment="1">
      <alignment horizontal="right" vertical="center" shrinkToFit="1"/>
    </xf>
    <xf numFmtId="164" fontId="20" fillId="0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3" applyNumberFormat="1" applyFont="1" applyBorder="1" applyAlignment="1">
      <alignment horizontal="right" vertical="center"/>
    </xf>
    <xf numFmtId="164" fontId="0" fillId="0" borderId="0" xfId="3" applyNumberFormat="1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752475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8962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1261382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3/2%20&#1082;&#1074;%202023/&#1055;&#1069;_2Q2023_CAEPCO_&#1055;&#1072;&#1082;&#1077;&#1090;%20&#1060;&#1060;&#1054;_0808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ОСВ ПЭС"/>
      <sheetName val="ЦГЭ учет 49%"/>
      <sheetName val="ОСВ ПРЭК"/>
      <sheetName val="ОСВ ПТС"/>
      <sheetName val="ОСВ ЦГЭ"/>
      <sheetName val="ОСВ ЭТЭ"/>
      <sheetName val="ОСВ ПЭ"/>
      <sheetName val="фин.гарантия"/>
      <sheetName val="Корректировки"/>
      <sheetName val="RP support"/>
      <sheetName val="CFS ПЭ неконсол"/>
      <sheetName val="BS"/>
      <sheetName val="PL"/>
      <sheetName val="CSCE"/>
      <sheetName val="Sheet1"/>
      <sheetName val="CFS"/>
      <sheetName val="ОС"/>
      <sheetName val="3CО"/>
      <sheetName val="SCF"/>
      <sheetName val="5Гудв"/>
      <sheetName val="6 ОС"/>
      <sheetName val="7НМА"/>
      <sheetName val="8АвВыд"/>
      <sheetName val="9 ПрФА"/>
      <sheetName val="32Обесц"/>
      <sheetName val="10ТМ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себес свод"/>
      <sheetName val="ауп свод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V6">
            <v>50938902</v>
          </cell>
        </row>
        <row r="8">
          <cell r="V8">
            <v>-37638761</v>
          </cell>
        </row>
        <row r="12">
          <cell r="V12">
            <v>-3986233</v>
          </cell>
        </row>
        <row r="13">
          <cell r="V13">
            <v>-545367</v>
          </cell>
        </row>
        <row r="14">
          <cell r="V14">
            <v>-12616913</v>
          </cell>
        </row>
        <row r="15">
          <cell r="V15">
            <v>243216</v>
          </cell>
        </row>
        <row r="16">
          <cell r="V16">
            <v>19199709</v>
          </cell>
        </row>
        <row r="20">
          <cell r="V20">
            <v>1977405</v>
          </cell>
        </row>
        <row r="21">
          <cell r="V21">
            <v>-4212224</v>
          </cell>
        </row>
        <row r="22">
          <cell r="V22">
            <v>273640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-130942</v>
          </cell>
        </row>
        <row r="40">
          <cell r="V40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4"/>
  <sheetViews>
    <sheetView tabSelected="1" topLeftCell="A72" workbookViewId="0">
      <selection activeCell="D75" sqref="D75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8" customWidth="1"/>
    <col min="5" max="5" width="14.5703125" style="74" bestFit="1" customWidth="1"/>
    <col min="6" max="6" width="25.7109375" style="104" hidden="1" customWidth="1"/>
    <col min="7" max="7" width="0" style="105" hidden="1" customWidth="1"/>
    <col min="8" max="8" width="14.5703125" style="105" hidden="1" customWidth="1"/>
    <col min="9" max="9" width="19.140625" style="105" customWidth="1"/>
    <col min="10" max="11" width="9.140625" style="74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5" t="s">
        <v>217</v>
      </c>
      <c r="B7" s="195"/>
      <c r="C7" s="195"/>
      <c r="D7" s="195"/>
      <c r="E7" s="75"/>
      <c r="F7" s="106"/>
      <c r="G7" s="107"/>
      <c r="H7" s="107"/>
      <c r="I7" s="107"/>
      <c r="J7" s="75"/>
      <c r="K7" s="75"/>
    </row>
    <row r="8" spans="1:11" s="5" customFormat="1" ht="12" customHeight="1" x14ac:dyDescent="0.2">
      <c r="A8" s="198"/>
      <c r="B8" s="198"/>
      <c r="C8" s="198"/>
      <c r="D8" s="198"/>
      <c r="E8" s="75"/>
      <c r="F8" s="106"/>
      <c r="G8" s="107"/>
      <c r="H8" s="107"/>
      <c r="I8" s="107"/>
      <c r="J8" s="75"/>
      <c r="K8" s="75"/>
    </row>
    <row r="9" spans="1:11" s="5" customFormat="1" ht="12" hidden="1" customHeight="1" x14ac:dyDescent="0.2">
      <c r="A9" s="198" t="s">
        <v>34</v>
      </c>
      <c r="B9" s="198"/>
      <c r="C9" s="198"/>
      <c r="D9" s="198"/>
      <c r="E9" s="75"/>
      <c r="F9" s="106"/>
      <c r="G9" s="107"/>
      <c r="H9" s="107"/>
      <c r="I9" s="107"/>
      <c r="J9" s="75"/>
      <c r="K9" s="75"/>
    </row>
    <row r="10" spans="1:11" s="5" customFormat="1" ht="12" hidden="1" customHeight="1" x14ac:dyDescent="0.2">
      <c r="A10" s="6"/>
      <c r="B10" s="6"/>
      <c r="C10" s="6"/>
      <c r="D10" s="6"/>
      <c r="E10" s="75"/>
      <c r="F10" s="106"/>
      <c r="G10" s="107"/>
      <c r="H10" s="107"/>
      <c r="I10" s="107"/>
      <c r="J10" s="75"/>
      <c r="K10" s="75"/>
    </row>
    <row r="11" spans="1:11" s="5" customFormat="1" ht="12.95" hidden="1" customHeight="1" x14ac:dyDescent="0.2">
      <c r="A11" s="197" t="s">
        <v>120</v>
      </c>
      <c r="B11" s="197"/>
      <c r="C11" s="197"/>
      <c r="D11" s="197"/>
      <c r="E11" s="75"/>
      <c r="F11" s="106"/>
      <c r="G11" s="107"/>
      <c r="H11" s="107"/>
      <c r="I11" s="107"/>
      <c r="J11" s="75"/>
      <c r="K11" s="75"/>
    </row>
    <row r="12" spans="1:11" s="5" customFormat="1" ht="12.95" hidden="1" customHeight="1" x14ac:dyDescent="0.2">
      <c r="A12" s="126"/>
      <c r="B12" s="126"/>
      <c r="C12" s="126"/>
      <c r="D12" s="58"/>
      <c r="E12" s="75"/>
      <c r="F12" s="106"/>
      <c r="G12" s="107"/>
      <c r="H12" s="107"/>
      <c r="I12" s="107"/>
      <c r="J12" s="75"/>
      <c r="K12" s="75"/>
    </row>
    <row r="13" spans="1:11" s="5" customFormat="1" ht="16.5" hidden="1" customHeight="1" x14ac:dyDescent="0.2">
      <c r="A13" s="197" t="s">
        <v>148</v>
      </c>
      <c r="B13" s="197"/>
      <c r="C13" s="197"/>
      <c r="D13" s="197"/>
      <c r="E13" s="75"/>
      <c r="F13" s="106"/>
      <c r="G13" s="107"/>
      <c r="H13" s="107"/>
      <c r="I13" s="107"/>
      <c r="J13" s="75"/>
      <c r="K13" s="75"/>
    </row>
    <row r="14" spans="1:11" s="5" customFormat="1" ht="12.95" hidden="1" customHeight="1" x14ac:dyDescent="0.2">
      <c r="A14" s="199" t="s">
        <v>80</v>
      </c>
      <c r="B14" s="199"/>
      <c r="C14" s="199"/>
      <c r="D14" s="199"/>
      <c r="E14" s="75"/>
      <c r="F14" s="106"/>
      <c r="G14" s="107"/>
      <c r="H14" s="107"/>
      <c r="I14" s="107"/>
      <c r="J14" s="75"/>
      <c r="K14" s="75"/>
    </row>
    <row r="15" spans="1:11" s="5" customFormat="1" ht="12.95" hidden="1" customHeight="1" x14ac:dyDescent="0.2">
      <c r="A15" s="126"/>
      <c r="B15" s="126"/>
      <c r="C15" s="126"/>
      <c r="D15" s="58"/>
      <c r="E15" s="75"/>
      <c r="F15" s="106"/>
      <c r="G15" s="107"/>
      <c r="H15" s="107"/>
      <c r="I15" s="107"/>
      <c r="J15" s="75"/>
      <c r="K15" s="75"/>
    </row>
    <row r="16" spans="1:11" s="5" customFormat="1" ht="12.95" hidden="1" customHeight="1" x14ac:dyDescent="0.2">
      <c r="A16" s="197" t="s">
        <v>121</v>
      </c>
      <c r="B16" s="197"/>
      <c r="C16" s="197"/>
      <c r="D16" s="197"/>
      <c r="E16" s="75"/>
      <c r="F16" s="106"/>
      <c r="G16" s="107"/>
      <c r="H16" s="107"/>
      <c r="I16" s="107"/>
      <c r="J16" s="75"/>
      <c r="K16" s="75"/>
    </row>
    <row r="17" spans="1:11" s="5" customFormat="1" ht="7.5" hidden="1" customHeight="1" x14ac:dyDescent="0.2">
      <c r="A17" s="126"/>
      <c r="B17" s="126"/>
      <c r="C17" s="126"/>
      <c r="D17" s="58"/>
      <c r="E17" s="75"/>
      <c r="F17" s="106"/>
      <c r="G17" s="107"/>
      <c r="H17" s="107"/>
      <c r="I17" s="107"/>
      <c r="J17" s="75"/>
      <c r="K17" s="75"/>
    </row>
    <row r="18" spans="1:11" s="5" customFormat="1" ht="18.75" hidden="1" customHeight="1" x14ac:dyDescent="0.2">
      <c r="A18" s="197" t="s">
        <v>122</v>
      </c>
      <c r="B18" s="197"/>
      <c r="C18" s="197"/>
      <c r="D18" s="197"/>
      <c r="E18" s="75"/>
      <c r="F18" s="106"/>
      <c r="G18" s="107"/>
      <c r="H18" s="107"/>
      <c r="I18" s="107"/>
      <c r="J18" s="75"/>
      <c r="K18" s="75"/>
    </row>
    <row r="19" spans="1:11" s="5" customFormat="1" ht="15.75" hidden="1" customHeight="1" x14ac:dyDescent="0.2">
      <c r="A19" s="127"/>
      <c r="B19" s="127"/>
      <c r="C19" s="127"/>
      <c r="D19" s="7"/>
      <c r="E19" s="75"/>
      <c r="F19" s="106"/>
      <c r="G19" s="107"/>
      <c r="H19" s="107"/>
      <c r="I19" s="107"/>
      <c r="J19" s="75"/>
      <c r="K19" s="75"/>
    </row>
    <row r="20" spans="1:11" s="5" customFormat="1" ht="15.75" customHeight="1" x14ac:dyDescent="0.2">
      <c r="A20" s="127"/>
      <c r="B20" s="127"/>
      <c r="C20" s="127"/>
      <c r="D20" s="7"/>
      <c r="E20" s="75"/>
      <c r="F20" s="106"/>
      <c r="G20" s="107"/>
      <c r="H20" s="107"/>
      <c r="I20" s="107"/>
      <c r="J20" s="75"/>
      <c r="K20" s="75"/>
    </row>
    <row r="21" spans="1:11" s="5" customFormat="1" ht="21.75" customHeight="1" x14ac:dyDescent="0.2">
      <c r="A21" s="196" t="s">
        <v>166</v>
      </c>
      <c r="B21" s="196"/>
      <c r="C21" s="196"/>
      <c r="D21" s="196"/>
      <c r="E21" s="75"/>
      <c r="F21" s="106"/>
      <c r="G21" s="107"/>
      <c r="H21" s="107"/>
      <c r="I21" s="107"/>
      <c r="J21" s="75"/>
      <c r="K21" s="75"/>
    </row>
    <row r="22" spans="1:11" s="10" customFormat="1" ht="34.5" customHeight="1" x14ac:dyDescent="0.2">
      <c r="A22" s="128"/>
      <c r="B22" s="129" t="s">
        <v>175</v>
      </c>
      <c r="C22" s="102" t="s">
        <v>218</v>
      </c>
      <c r="D22" s="102" t="s">
        <v>213</v>
      </c>
      <c r="E22" s="76"/>
      <c r="F22" s="108"/>
      <c r="G22" s="109"/>
      <c r="H22" s="109"/>
      <c r="I22" s="109"/>
      <c r="J22" s="76"/>
      <c r="K22" s="76"/>
    </row>
    <row r="23" spans="1:11" s="5" customFormat="1" ht="11.25" hidden="1" customHeight="1" x14ac:dyDescent="0.2">
      <c r="A23" s="65">
        <v>1</v>
      </c>
      <c r="B23" s="65">
        <v>2</v>
      </c>
      <c r="C23" s="65">
        <v>3</v>
      </c>
      <c r="D23" s="65">
        <v>4</v>
      </c>
      <c r="E23" s="75"/>
      <c r="F23" s="106"/>
      <c r="G23" s="107"/>
      <c r="H23" s="107"/>
      <c r="I23" s="107"/>
      <c r="J23" s="75"/>
      <c r="K23" s="75"/>
    </row>
    <row r="24" spans="1:11" s="5" customFormat="1" ht="20.25" customHeight="1" x14ac:dyDescent="0.2">
      <c r="A24" s="130" t="s">
        <v>35</v>
      </c>
      <c r="B24" s="103"/>
      <c r="C24" s="103"/>
      <c r="D24" s="103"/>
      <c r="E24" s="75"/>
      <c r="F24" s="106"/>
      <c r="G24" s="107"/>
      <c r="H24" s="107"/>
      <c r="I24" s="107"/>
      <c r="J24" s="75"/>
      <c r="K24" s="75"/>
    </row>
    <row r="25" spans="1:11" s="5" customFormat="1" ht="14.1" customHeight="1" x14ac:dyDescent="0.2">
      <c r="A25" s="85" t="s">
        <v>167</v>
      </c>
      <c r="B25" s="85" t="s">
        <v>0</v>
      </c>
      <c r="C25" s="61"/>
      <c r="D25" s="61"/>
      <c r="E25" s="75"/>
      <c r="F25" s="15"/>
      <c r="G25" s="15"/>
      <c r="H25" s="15"/>
      <c r="I25" s="15"/>
      <c r="J25" s="75"/>
      <c r="K25" s="75"/>
    </row>
    <row r="26" spans="1:11" s="5" customFormat="1" ht="14.1" customHeight="1" x14ac:dyDescent="0.2">
      <c r="A26" s="85"/>
      <c r="B26" s="85"/>
      <c r="C26" s="61"/>
      <c r="D26" s="61"/>
      <c r="E26" s="75"/>
      <c r="F26" s="15"/>
      <c r="G26" s="15"/>
      <c r="H26" s="15"/>
      <c r="I26" s="15"/>
      <c r="J26" s="75"/>
      <c r="K26" s="75"/>
    </row>
    <row r="27" spans="1:11" s="5" customFormat="1" ht="14.1" customHeight="1" x14ac:dyDescent="0.2">
      <c r="A27" s="85" t="s">
        <v>38</v>
      </c>
      <c r="B27" s="131" t="s">
        <v>176</v>
      </c>
      <c r="C27" s="61">
        <v>200134169</v>
      </c>
      <c r="D27" s="61">
        <v>208319738</v>
      </c>
      <c r="E27" s="75"/>
      <c r="F27" s="15"/>
      <c r="G27" s="15"/>
      <c r="H27" s="15"/>
      <c r="I27" s="15"/>
      <c r="J27" s="75"/>
      <c r="K27" s="75"/>
    </row>
    <row r="28" spans="1:11" s="5" customFormat="1" ht="14.1" customHeight="1" x14ac:dyDescent="0.2">
      <c r="A28" s="85" t="s">
        <v>137</v>
      </c>
      <c r="B28" s="131" t="s">
        <v>177</v>
      </c>
      <c r="C28" s="61"/>
      <c r="D28" s="61"/>
      <c r="E28" s="75"/>
      <c r="F28" s="15"/>
      <c r="G28" s="15"/>
      <c r="H28" s="15"/>
      <c r="I28" s="15"/>
      <c r="J28" s="75"/>
      <c r="K28" s="75"/>
    </row>
    <row r="29" spans="1:11" s="5" customFormat="1" ht="14.1" customHeight="1" x14ac:dyDescent="0.2">
      <c r="A29" s="85" t="s">
        <v>39</v>
      </c>
      <c r="B29" s="131" t="s">
        <v>178</v>
      </c>
      <c r="C29" s="61">
        <v>71046039</v>
      </c>
      <c r="D29" s="61">
        <v>74294959</v>
      </c>
      <c r="E29" s="75"/>
      <c r="F29" s="15"/>
      <c r="G29" s="15"/>
      <c r="H29" s="15"/>
      <c r="I29" s="15"/>
      <c r="J29" s="75"/>
      <c r="K29" s="75"/>
    </row>
    <row r="30" spans="1:11" s="5" customFormat="1" ht="13.5" customHeight="1" x14ac:dyDescent="0.2">
      <c r="A30" s="132" t="s">
        <v>200</v>
      </c>
      <c r="B30" s="131" t="s">
        <v>179</v>
      </c>
      <c r="C30" s="61">
        <v>3753466</v>
      </c>
      <c r="D30" s="61">
        <v>3119535</v>
      </c>
      <c r="E30" s="75"/>
      <c r="F30" s="15"/>
      <c r="G30" s="15"/>
      <c r="H30" s="15"/>
      <c r="I30" s="15"/>
      <c r="J30" s="75"/>
      <c r="K30" s="75"/>
    </row>
    <row r="31" spans="1:11" s="5" customFormat="1" ht="15" customHeight="1" x14ac:dyDescent="0.2">
      <c r="A31" s="85" t="s">
        <v>191</v>
      </c>
      <c r="B31" s="131" t="s">
        <v>181</v>
      </c>
      <c r="C31" s="61">
        <v>58300</v>
      </c>
      <c r="D31" s="61" t="s">
        <v>140</v>
      </c>
      <c r="E31" s="75"/>
      <c r="F31" s="15"/>
      <c r="G31" s="15"/>
      <c r="H31" s="15"/>
      <c r="I31" s="15"/>
      <c r="J31" s="75"/>
      <c r="K31" s="75"/>
    </row>
    <row r="32" spans="1:11" s="5" customFormat="1" ht="19.5" hidden="1" customHeight="1" x14ac:dyDescent="0.2">
      <c r="A32" s="85" t="s">
        <v>37</v>
      </c>
      <c r="B32" s="131"/>
      <c r="C32" s="61">
        <v>0</v>
      </c>
      <c r="D32" s="61">
        <v>0</v>
      </c>
      <c r="E32" s="75"/>
      <c r="F32" s="15"/>
      <c r="G32" s="15"/>
      <c r="H32" s="15"/>
      <c r="I32" s="15"/>
      <c r="J32" s="75"/>
      <c r="K32" s="75"/>
    </row>
    <row r="33" spans="1:11" s="5" customFormat="1" ht="14.1" hidden="1" customHeight="1" x14ac:dyDescent="0.2">
      <c r="A33" s="85" t="s">
        <v>56</v>
      </c>
      <c r="B33" s="131"/>
      <c r="C33" s="61"/>
      <c r="D33" s="61"/>
      <c r="E33" s="75"/>
      <c r="F33" s="15"/>
      <c r="G33" s="15"/>
      <c r="H33" s="15"/>
      <c r="I33" s="15"/>
      <c r="J33" s="75"/>
      <c r="K33" s="75"/>
    </row>
    <row r="34" spans="1:11" s="5" customFormat="1" ht="14.1" hidden="1" customHeight="1" x14ac:dyDescent="0.2">
      <c r="A34" s="127"/>
      <c r="B34" s="127"/>
      <c r="C34" s="127"/>
      <c r="D34" s="127"/>
      <c r="E34" s="75"/>
      <c r="J34" s="75"/>
      <c r="K34" s="75"/>
    </row>
    <row r="35" spans="1:11" s="5" customFormat="1" ht="14.1" customHeight="1" x14ac:dyDescent="0.2">
      <c r="A35" s="85" t="s">
        <v>40</v>
      </c>
      <c r="B35" s="131"/>
      <c r="C35" s="61">
        <v>3426386</v>
      </c>
      <c r="D35" s="61">
        <v>3426386</v>
      </c>
      <c r="E35" s="75"/>
      <c r="F35" s="15"/>
      <c r="G35" s="15"/>
      <c r="H35" s="15"/>
      <c r="I35" s="15"/>
      <c r="J35" s="75"/>
      <c r="K35" s="75"/>
    </row>
    <row r="36" spans="1:11" s="5" customFormat="1" ht="14.1" customHeight="1" x14ac:dyDescent="0.2">
      <c r="A36" s="85" t="s">
        <v>41</v>
      </c>
      <c r="B36" s="131" t="s">
        <v>181</v>
      </c>
      <c r="C36" s="61">
        <v>377869</v>
      </c>
      <c r="D36" s="61">
        <v>1187311</v>
      </c>
      <c r="E36" s="75"/>
      <c r="F36" s="15"/>
      <c r="G36" s="15"/>
      <c r="H36" s="15"/>
      <c r="I36" s="15"/>
      <c r="J36" s="75"/>
      <c r="K36" s="75"/>
    </row>
    <row r="37" spans="1:11" s="5" customFormat="1" ht="14.1" customHeight="1" x14ac:dyDescent="0.2">
      <c r="A37" s="85" t="s">
        <v>42</v>
      </c>
      <c r="B37" s="83"/>
      <c r="C37" s="61">
        <f>SUM(C27:C36)</f>
        <v>278796229</v>
      </c>
      <c r="D37" s="61">
        <f>SUM(D27:D36)</f>
        <v>290347929</v>
      </c>
      <c r="E37" s="75"/>
      <c r="F37" s="106"/>
      <c r="G37" s="107"/>
      <c r="H37" s="107"/>
      <c r="I37" s="107"/>
      <c r="J37" s="75"/>
      <c r="K37" s="75"/>
    </row>
    <row r="38" spans="1:11" s="5" customFormat="1" ht="14.1" customHeight="1" x14ac:dyDescent="0.2">
      <c r="A38" s="85" t="s">
        <v>168</v>
      </c>
      <c r="B38" s="85" t="s">
        <v>0</v>
      </c>
      <c r="C38" s="85"/>
      <c r="D38" s="158"/>
      <c r="E38" s="75"/>
      <c r="F38" s="106"/>
      <c r="G38" s="107"/>
      <c r="H38" s="107"/>
      <c r="I38" s="107"/>
      <c r="J38" s="75"/>
      <c r="K38" s="75"/>
    </row>
    <row r="39" spans="1:11" s="5" customFormat="1" ht="14.1" customHeight="1" x14ac:dyDescent="0.2">
      <c r="A39" s="85"/>
      <c r="B39" s="85"/>
      <c r="C39" s="85"/>
      <c r="D39" s="158"/>
      <c r="E39" s="75"/>
      <c r="F39" s="106"/>
      <c r="G39" s="107"/>
      <c r="H39" s="107"/>
      <c r="I39" s="107"/>
      <c r="J39" s="75"/>
      <c r="K39" s="75"/>
    </row>
    <row r="40" spans="1:11" s="5" customFormat="1" ht="14.1" customHeight="1" x14ac:dyDescent="0.2">
      <c r="A40" s="85" t="s">
        <v>138</v>
      </c>
      <c r="B40" s="131" t="s">
        <v>182</v>
      </c>
      <c r="C40" s="61">
        <v>3190746</v>
      </c>
      <c r="D40" s="61">
        <v>3356866</v>
      </c>
      <c r="E40" s="75"/>
      <c r="F40" s="106"/>
      <c r="G40" s="107"/>
      <c r="H40" s="107"/>
      <c r="I40" s="107"/>
      <c r="J40" s="75"/>
      <c r="K40" s="75"/>
    </row>
    <row r="41" spans="1:11" s="5" customFormat="1" ht="14.1" customHeight="1" x14ac:dyDescent="0.2">
      <c r="A41" s="85" t="s">
        <v>129</v>
      </c>
      <c r="B41" s="131" t="s">
        <v>183</v>
      </c>
      <c r="C41" s="61">
        <v>10925674</v>
      </c>
      <c r="D41" s="61">
        <v>12373468</v>
      </c>
      <c r="E41" s="75"/>
      <c r="F41" s="106"/>
      <c r="G41" s="107"/>
      <c r="H41" s="110"/>
      <c r="I41" s="107"/>
      <c r="J41" s="75"/>
      <c r="K41" s="75"/>
    </row>
    <row r="42" spans="1:11" s="5" customFormat="1" ht="14.1" customHeight="1" x14ac:dyDescent="0.2">
      <c r="A42" s="85" t="s">
        <v>131</v>
      </c>
      <c r="B42" s="131" t="s">
        <v>181</v>
      </c>
      <c r="C42" s="61">
        <v>338585</v>
      </c>
      <c r="D42" s="61">
        <f>1124115-D44</f>
        <v>314726</v>
      </c>
      <c r="E42" s="75"/>
      <c r="F42" s="106"/>
      <c r="G42" s="107"/>
      <c r="H42" s="107"/>
      <c r="I42" s="107"/>
      <c r="J42" s="75"/>
      <c r="K42" s="75"/>
    </row>
    <row r="43" spans="1:11" s="5" customFormat="1" ht="14.1" customHeight="1" x14ac:dyDescent="0.2">
      <c r="A43" s="85" t="s">
        <v>133</v>
      </c>
      <c r="B43" s="131" t="s">
        <v>181</v>
      </c>
      <c r="C43" s="61">
        <v>714185</v>
      </c>
      <c r="D43" s="61">
        <v>1006872</v>
      </c>
      <c r="E43" s="75"/>
      <c r="F43" s="106"/>
      <c r="G43" s="107"/>
      <c r="H43" s="107"/>
      <c r="I43" s="107"/>
      <c r="J43" s="75"/>
      <c r="K43" s="75"/>
    </row>
    <row r="44" spans="1:11" s="5" customFormat="1" ht="14.1" customHeight="1" x14ac:dyDescent="0.2">
      <c r="A44" s="132" t="s">
        <v>132</v>
      </c>
      <c r="B44" s="131" t="s">
        <v>181</v>
      </c>
      <c r="C44" s="61">
        <v>1145092</v>
      </c>
      <c r="D44" s="61">
        <v>809389</v>
      </c>
      <c r="E44" s="75"/>
      <c r="F44" s="106"/>
      <c r="G44" s="107"/>
      <c r="H44" s="107"/>
      <c r="I44" s="107"/>
      <c r="J44" s="75"/>
      <c r="K44" s="75"/>
    </row>
    <row r="45" spans="1:11" s="5" customFormat="1" ht="14.1" customHeight="1" x14ac:dyDescent="0.2">
      <c r="A45" s="85" t="s">
        <v>130</v>
      </c>
      <c r="B45" s="131" t="s">
        <v>180</v>
      </c>
      <c r="C45" s="61">
        <v>3614174</v>
      </c>
      <c r="D45" s="61">
        <v>1276411</v>
      </c>
      <c r="E45" s="75"/>
      <c r="F45" s="106"/>
      <c r="G45" s="107"/>
      <c r="H45" s="107"/>
      <c r="I45" s="107"/>
      <c r="J45" s="75"/>
      <c r="K45" s="75"/>
    </row>
    <row r="46" spans="1:11" s="5" customFormat="1" ht="14.1" customHeight="1" x14ac:dyDescent="0.2">
      <c r="A46" s="85" t="s">
        <v>97</v>
      </c>
      <c r="B46" s="131" t="s">
        <v>181</v>
      </c>
      <c r="C46" s="61">
        <v>77115</v>
      </c>
      <c r="D46" s="61">
        <v>1666750</v>
      </c>
      <c r="E46" s="75"/>
      <c r="F46" s="106"/>
      <c r="G46" s="107"/>
      <c r="H46" s="107"/>
      <c r="I46" s="107"/>
      <c r="J46" s="75"/>
      <c r="K46" s="75"/>
    </row>
    <row r="47" spans="1:11" s="5" customFormat="1" ht="14.1" customHeight="1" x14ac:dyDescent="0.2">
      <c r="A47" s="85" t="s">
        <v>155</v>
      </c>
      <c r="B47" s="131"/>
      <c r="C47" s="82">
        <v>0</v>
      </c>
      <c r="D47" s="82" t="s">
        <v>140</v>
      </c>
      <c r="E47" s="75"/>
      <c r="F47" s="106"/>
      <c r="G47" s="107"/>
      <c r="H47" s="107"/>
      <c r="I47" s="107"/>
      <c r="J47" s="75"/>
      <c r="K47" s="75"/>
    </row>
    <row r="48" spans="1:11" s="5" customFormat="1" ht="14.1" hidden="1" customHeight="1" x14ac:dyDescent="0.2">
      <c r="A48" s="127"/>
      <c r="B48" s="127"/>
      <c r="C48" s="127"/>
      <c r="D48" s="127"/>
      <c r="E48" s="75"/>
      <c r="F48" s="106"/>
      <c r="G48" s="107"/>
      <c r="H48" s="107"/>
      <c r="I48" s="107"/>
      <c r="J48" s="75"/>
      <c r="K48" s="75"/>
    </row>
    <row r="49" spans="1:11" s="5" customFormat="1" ht="14.1" hidden="1" customHeight="1" x14ac:dyDescent="0.2">
      <c r="A49" s="127"/>
      <c r="B49" s="127"/>
      <c r="C49" s="127"/>
      <c r="D49" s="127"/>
      <c r="E49" s="75"/>
      <c r="F49" s="106"/>
      <c r="G49" s="107"/>
      <c r="H49" s="107"/>
      <c r="I49" s="107"/>
      <c r="J49" s="75"/>
      <c r="K49" s="75"/>
    </row>
    <row r="50" spans="1:11" s="5" customFormat="1" ht="14.1" hidden="1" customHeight="1" x14ac:dyDescent="0.2">
      <c r="A50" s="127"/>
      <c r="B50" s="127"/>
      <c r="C50" s="127"/>
      <c r="D50" s="127"/>
      <c r="E50" s="75"/>
      <c r="F50" s="106"/>
      <c r="G50" s="107"/>
      <c r="H50" s="107"/>
      <c r="I50" s="107"/>
      <c r="J50" s="75"/>
      <c r="K50" s="75"/>
    </row>
    <row r="51" spans="1:11" s="5" customFormat="1" ht="14.1" customHeight="1" x14ac:dyDescent="0.2">
      <c r="A51" s="85" t="s">
        <v>139</v>
      </c>
      <c r="B51" s="131" t="s">
        <v>184</v>
      </c>
      <c r="C51" s="61">
        <v>5021028</v>
      </c>
      <c r="D51" s="61">
        <v>1851438</v>
      </c>
      <c r="E51" s="75"/>
      <c r="F51" s="106"/>
      <c r="G51" s="107"/>
      <c r="H51" s="107"/>
      <c r="I51" s="107"/>
      <c r="J51" s="75"/>
      <c r="K51" s="75"/>
    </row>
    <row r="52" spans="1:11" s="5" customFormat="1" ht="14.1" customHeight="1" x14ac:dyDescent="0.2">
      <c r="A52" s="85" t="s">
        <v>36</v>
      </c>
      <c r="B52" s="131"/>
      <c r="C52" s="61">
        <f>SUM(C40:C51)</f>
        <v>25026599</v>
      </c>
      <c r="D52" s="61">
        <f>SUM(D40:D51)</f>
        <v>22655920</v>
      </c>
      <c r="E52" s="75"/>
      <c r="F52" s="121"/>
      <c r="G52" s="107"/>
      <c r="H52" s="107"/>
      <c r="I52" s="107"/>
      <c r="J52" s="75"/>
      <c r="K52" s="75"/>
    </row>
    <row r="53" spans="1:11" s="5" customFormat="1" ht="14.1" customHeight="1" x14ac:dyDescent="0.2">
      <c r="A53" s="85"/>
      <c r="B53" s="131"/>
      <c r="C53" s="61"/>
      <c r="D53" s="61"/>
      <c r="E53" s="75"/>
      <c r="F53" s="121"/>
      <c r="G53" s="107"/>
      <c r="H53" s="107"/>
      <c r="I53" s="107"/>
      <c r="J53" s="75"/>
      <c r="K53" s="75"/>
    </row>
    <row r="54" spans="1:11" s="5" customFormat="1" ht="20.25" customHeight="1" x14ac:dyDescent="0.2">
      <c r="A54" s="133" t="s">
        <v>169</v>
      </c>
      <c r="B54" s="134" t="s">
        <v>0</v>
      </c>
      <c r="C54" s="135">
        <f>C37+C52</f>
        <v>303822828</v>
      </c>
      <c r="D54" s="135">
        <f>D37+D52</f>
        <v>313003849</v>
      </c>
      <c r="E54" s="75"/>
      <c r="F54" s="106"/>
      <c r="G54" s="107"/>
      <c r="H54" s="107"/>
      <c r="I54" s="107"/>
      <c r="J54" s="75"/>
      <c r="K54" s="75"/>
    </row>
    <row r="55" spans="1:11" s="5" customFormat="1" ht="27.75" hidden="1" customHeight="1" x14ac:dyDescent="0.2">
      <c r="A55" s="134" t="s">
        <v>43</v>
      </c>
      <c r="B55" s="128"/>
      <c r="C55" s="9"/>
      <c r="D55" s="9"/>
      <c r="E55" s="75"/>
      <c r="F55" s="106"/>
      <c r="G55" s="107"/>
      <c r="H55" s="107"/>
      <c r="I55" s="107"/>
      <c r="J55" s="75"/>
      <c r="K55" s="75"/>
    </row>
    <row r="56" spans="1:11" s="5" customFormat="1" ht="13.5" hidden="1" customHeight="1" x14ac:dyDescent="0.2">
      <c r="A56" s="128"/>
      <c r="B56" s="65"/>
      <c r="C56" s="65"/>
      <c r="D56" s="65"/>
      <c r="E56" s="75"/>
      <c r="F56" s="106"/>
      <c r="G56" s="107"/>
      <c r="H56" s="107"/>
      <c r="I56" s="107"/>
      <c r="J56" s="75"/>
      <c r="K56" s="75"/>
    </row>
    <row r="57" spans="1:11" s="5" customFormat="1" ht="14.1" customHeight="1" x14ac:dyDescent="0.2">
      <c r="A57" s="85"/>
      <c r="B57" s="83" t="s">
        <v>0</v>
      </c>
      <c r="C57" s="84"/>
      <c r="D57" s="84"/>
      <c r="E57" s="75"/>
      <c r="F57" s="15"/>
      <c r="G57" s="114"/>
      <c r="H57" s="114"/>
      <c r="I57" s="115"/>
      <c r="J57" s="75"/>
      <c r="K57" s="75"/>
    </row>
    <row r="58" spans="1:11" s="5" customFormat="1" ht="14.1" customHeight="1" x14ac:dyDescent="0.2">
      <c r="A58" s="85" t="s">
        <v>170</v>
      </c>
      <c r="B58" s="83" t="s">
        <v>0</v>
      </c>
      <c r="C58" s="84"/>
      <c r="D58" s="84"/>
      <c r="E58" s="75"/>
      <c r="F58" s="15"/>
      <c r="G58" s="13"/>
      <c r="H58" s="13"/>
      <c r="I58" s="116"/>
      <c r="J58" s="75"/>
      <c r="K58" s="75"/>
    </row>
    <row r="59" spans="1:11" s="5" customFormat="1" ht="14.1" customHeight="1" x14ac:dyDescent="0.2">
      <c r="A59" s="85" t="s">
        <v>199</v>
      </c>
      <c r="B59" s="83"/>
      <c r="C59" s="84"/>
      <c r="D59" s="84"/>
      <c r="E59" s="75"/>
      <c r="F59" s="15"/>
      <c r="G59" s="123"/>
      <c r="H59" s="123"/>
      <c r="I59" s="116"/>
      <c r="J59" s="75"/>
      <c r="K59" s="75"/>
    </row>
    <row r="60" spans="1:11" s="5" customFormat="1" ht="14.1" customHeight="1" x14ac:dyDescent="0.2">
      <c r="A60" s="85" t="s">
        <v>141</v>
      </c>
      <c r="B60" s="131" t="s">
        <v>185</v>
      </c>
      <c r="C60" s="61">
        <v>16663996</v>
      </c>
      <c r="D60" s="61">
        <v>16663996</v>
      </c>
      <c r="E60" s="75"/>
      <c r="F60" s="15"/>
      <c r="G60" s="114"/>
      <c r="H60" s="117"/>
      <c r="I60" s="117"/>
      <c r="J60" s="75"/>
      <c r="K60" s="75"/>
    </row>
    <row r="61" spans="1:11" s="5" customFormat="1" ht="14.1" customHeight="1" x14ac:dyDescent="0.2">
      <c r="A61" s="85" t="s">
        <v>94</v>
      </c>
      <c r="B61" s="131" t="s">
        <v>186</v>
      </c>
      <c r="C61" s="61">
        <v>1188176</v>
      </c>
      <c r="D61" s="61">
        <v>1188176</v>
      </c>
      <c r="E61" s="75"/>
      <c r="F61" s="15"/>
      <c r="G61" s="114"/>
      <c r="H61" s="117"/>
      <c r="I61" s="117"/>
      <c r="J61" s="75"/>
      <c r="K61" s="75"/>
    </row>
    <row r="62" spans="1:11" s="5" customFormat="1" ht="14.1" customHeight="1" x14ac:dyDescent="0.2">
      <c r="A62" s="85" t="s">
        <v>51</v>
      </c>
      <c r="B62" s="131"/>
      <c r="C62" s="84">
        <v>0</v>
      </c>
      <c r="D62" s="84">
        <v>0</v>
      </c>
      <c r="E62" s="75"/>
      <c r="F62" s="15"/>
      <c r="G62" s="114"/>
      <c r="H62" s="117"/>
      <c r="I62" s="117"/>
      <c r="J62" s="75"/>
      <c r="K62" s="75"/>
    </row>
    <row r="63" spans="1:11" s="5" customFormat="1" ht="14.1" customHeight="1" x14ac:dyDescent="0.2">
      <c r="A63" s="85" t="s">
        <v>52</v>
      </c>
      <c r="B63" s="131"/>
      <c r="C63" s="84">
        <v>0</v>
      </c>
      <c r="D63" s="84">
        <v>0</v>
      </c>
      <c r="E63" s="75"/>
      <c r="F63" s="15"/>
      <c r="G63" s="114"/>
      <c r="H63" s="117"/>
      <c r="I63" s="117"/>
      <c r="J63" s="75"/>
      <c r="K63" s="75"/>
    </row>
    <row r="64" spans="1:11" s="5" customFormat="1" ht="14.1" customHeight="1" x14ac:dyDescent="0.2">
      <c r="A64" s="85" t="s">
        <v>142</v>
      </c>
      <c r="B64" s="131"/>
      <c r="C64" s="61">
        <v>43248309</v>
      </c>
      <c r="D64" s="61">
        <v>45949076</v>
      </c>
      <c r="E64" s="75"/>
      <c r="F64" s="122">
        <f>D64-C64</f>
        <v>2700767</v>
      </c>
      <c r="G64" s="114"/>
      <c r="H64" s="117"/>
      <c r="I64" s="117"/>
      <c r="J64" s="75"/>
      <c r="K64" s="75"/>
    </row>
    <row r="65" spans="1:11" s="5" customFormat="1" ht="14.1" customHeight="1" x14ac:dyDescent="0.2">
      <c r="A65" s="85" t="s">
        <v>58</v>
      </c>
      <c r="B65" s="131"/>
      <c r="C65" s="61">
        <v>-2875297</v>
      </c>
      <c r="D65" s="61">
        <v>-19078496</v>
      </c>
      <c r="E65" s="75"/>
      <c r="F65" s="122">
        <f>D65+F64+ф2!C51</f>
        <v>-16377729</v>
      </c>
      <c r="G65" s="114"/>
      <c r="H65" s="117">
        <f>C65-F65</f>
        <v>13502432</v>
      </c>
      <c r="I65" s="117"/>
      <c r="J65" s="75"/>
      <c r="K65" s="75"/>
    </row>
    <row r="66" spans="1:11" s="5" customFormat="1" ht="14.1" customHeight="1" x14ac:dyDescent="0.2">
      <c r="A66" s="85" t="s">
        <v>33</v>
      </c>
      <c r="B66" s="131" t="s">
        <v>211</v>
      </c>
      <c r="C66" s="61"/>
      <c r="D66" s="61"/>
      <c r="E66" s="75"/>
      <c r="F66" s="15"/>
      <c r="G66" s="114"/>
      <c r="H66" s="117"/>
      <c r="I66" s="117"/>
      <c r="J66" s="75"/>
      <c r="K66" s="75"/>
    </row>
    <row r="67" spans="1:11" s="5" customFormat="1" ht="14.1" customHeight="1" x14ac:dyDescent="0.2">
      <c r="A67" s="85" t="s">
        <v>54</v>
      </c>
      <c r="B67" s="131"/>
      <c r="C67" s="61">
        <f>SUM(C60:C66)</f>
        <v>58225184</v>
      </c>
      <c r="D67" s="61">
        <f>SUM(D60:D66)</f>
        <v>44722752</v>
      </c>
      <c r="E67" s="75"/>
      <c r="F67" s="15"/>
      <c r="G67" s="114"/>
      <c r="H67" s="117"/>
      <c r="I67" s="117"/>
      <c r="J67" s="75"/>
      <c r="K67" s="75"/>
    </row>
    <row r="68" spans="1:11" s="5" customFormat="1" ht="14.1" customHeight="1" x14ac:dyDescent="0.2">
      <c r="A68" s="85" t="s">
        <v>171</v>
      </c>
      <c r="B68" s="131"/>
      <c r="C68" s="84"/>
      <c r="D68" s="84"/>
      <c r="E68" s="75"/>
      <c r="F68" s="15"/>
      <c r="G68" s="114"/>
      <c r="H68" s="111"/>
      <c r="I68" s="111"/>
      <c r="J68" s="75"/>
      <c r="K68" s="75"/>
    </row>
    <row r="69" spans="1:11" s="5" customFormat="1" ht="14.1" customHeight="1" x14ac:dyDescent="0.2">
      <c r="A69" s="85"/>
      <c r="B69" s="131"/>
      <c r="C69" s="84"/>
      <c r="D69" s="84"/>
      <c r="E69" s="75"/>
      <c r="F69" s="15"/>
      <c r="G69" s="114"/>
      <c r="H69" s="111"/>
      <c r="I69" s="111"/>
      <c r="J69" s="75"/>
      <c r="K69" s="75"/>
    </row>
    <row r="70" spans="1:11" s="5" customFormat="1" ht="14.1" customHeight="1" x14ac:dyDescent="0.2">
      <c r="A70" s="85" t="s">
        <v>187</v>
      </c>
      <c r="B70" s="131" t="s">
        <v>188</v>
      </c>
      <c r="C70" s="61">
        <v>121774213</v>
      </c>
      <c r="D70" s="61" t="s">
        <v>140</v>
      </c>
      <c r="E70" s="75"/>
      <c r="J70" s="75"/>
      <c r="K70" s="75"/>
    </row>
    <row r="71" spans="1:11" s="5" customFormat="1" ht="14.1" customHeight="1" x14ac:dyDescent="0.2">
      <c r="A71" s="85" t="s">
        <v>143</v>
      </c>
      <c r="B71" s="131" t="s">
        <v>189</v>
      </c>
      <c r="C71" s="61">
        <v>1752885</v>
      </c>
      <c r="D71" s="61">
        <v>1722068</v>
      </c>
      <c r="E71" s="75"/>
      <c r="F71" s="15"/>
      <c r="G71" s="114"/>
      <c r="H71" s="117"/>
      <c r="I71" s="117"/>
      <c r="J71" s="75"/>
      <c r="K71" s="75"/>
    </row>
    <row r="72" spans="1:11" s="5" customFormat="1" ht="14.1" customHeight="1" x14ac:dyDescent="0.2">
      <c r="A72" s="85" t="s">
        <v>47</v>
      </c>
      <c r="B72" s="131" t="s">
        <v>194</v>
      </c>
      <c r="C72" s="61">
        <f>4457521-C73</f>
        <v>4238707</v>
      </c>
      <c r="D72" s="61">
        <v>723094</v>
      </c>
      <c r="E72" s="75"/>
      <c r="F72" s="15"/>
      <c r="G72" s="114"/>
      <c r="H72" s="117"/>
      <c r="I72" s="117"/>
      <c r="J72" s="75"/>
      <c r="K72" s="75"/>
    </row>
    <row r="73" spans="1:11" s="5" customFormat="1" ht="14.1" customHeight="1" x14ac:dyDescent="0.2">
      <c r="A73" s="85" t="s">
        <v>215</v>
      </c>
      <c r="B73" s="131" t="s">
        <v>198</v>
      </c>
      <c r="C73" s="61">
        <v>218814</v>
      </c>
      <c r="D73" s="61" t="s">
        <v>140</v>
      </c>
      <c r="E73" s="75"/>
      <c r="F73" s="15"/>
      <c r="G73" s="114"/>
      <c r="H73" s="117"/>
      <c r="I73" s="117"/>
      <c r="J73" s="75"/>
      <c r="K73" s="75"/>
    </row>
    <row r="74" spans="1:11" s="5" customFormat="1" ht="14.1" customHeight="1" x14ac:dyDescent="0.2">
      <c r="A74" s="85" t="s">
        <v>144</v>
      </c>
      <c r="B74" s="131" t="s">
        <v>196</v>
      </c>
      <c r="C74" s="61">
        <v>96042</v>
      </c>
      <c r="D74" s="61">
        <v>96042</v>
      </c>
      <c r="E74" s="75"/>
      <c r="F74" s="15"/>
      <c r="G74" s="114"/>
      <c r="H74" s="67"/>
      <c r="I74" s="117"/>
      <c r="J74" s="75"/>
      <c r="K74" s="75"/>
    </row>
    <row r="75" spans="1:11" s="5" customFormat="1" ht="14.1" customHeight="1" x14ac:dyDescent="0.2">
      <c r="A75" s="85" t="s">
        <v>48</v>
      </c>
      <c r="B75" s="131"/>
      <c r="C75" s="61">
        <v>38549779</v>
      </c>
      <c r="D75" s="61">
        <v>38549779</v>
      </c>
      <c r="E75" s="75"/>
      <c r="F75" s="15"/>
      <c r="G75" s="114"/>
      <c r="H75" s="67"/>
      <c r="I75" s="117"/>
      <c r="J75" s="75"/>
      <c r="K75" s="75"/>
    </row>
    <row r="76" spans="1:11" s="5" customFormat="1" ht="14.1" customHeight="1" x14ac:dyDescent="0.2">
      <c r="A76" s="85" t="s">
        <v>145</v>
      </c>
      <c r="B76" s="131" t="s">
        <v>192</v>
      </c>
      <c r="C76" s="61">
        <v>5447449</v>
      </c>
      <c r="D76" s="61">
        <v>5447449</v>
      </c>
      <c r="E76" s="75"/>
      <c r="F76" s="15"/>
      <c r="G76" s="114"/>
      <c r="H76" s="67"/>
      <c r="I76" s="117"/>
      <c r="J76" s="75"/>
      <c r="K76" s="75"/>
    </row>
    <row r="77" spans="1:11" s="5" customFormat="1" ht="14.1" customHeight="1" x14ac:dyDescent="0.2">
      <c r="A77" s="85" t="s">
        <v>154</v>
      </c>
      <c r="B77" s="131" t="s">
        <v>190</v>
      </c>
      <c r="C77" s="61">
        <v>657265</v>
      </c>
      <c r="D77" s="61">
        <v>675272</v>
      </c>
      <c r="E77" s="75"/>
      <c r="F77" s="15"/>
      <c r="G77" s="114"/>
      <c r="H77" s="67"/>
      <c r="I77" s="117"/>
      <c r="J77" s="75"/>
      <c r="K77" s="75"/>
    </row>
    <row r="78" spans="1:11" s="5" customFormat="1" ht="14.1" customHeight="1" x14ac:dyDescent="0.2">
      <c r="A78" s="85" t="s">
        <v>164</v>
      </c>
      <c r="B78" s="131" t="s">
        <v>193</v>
      </c>
      <c r="C78" s="61">
        <v>9408500</v>
      </c>
      <c r="D78" s="61">
        <v>10471380</v>
      </c>
      <c r="E78" s="75"/>
      <c r="F78" s="15"/>
      <c r="G78" s="114"/>
      <c r="H78" s="67"/>
      <c r="I78" s="117"/>
      <c r="J78" s="75"/>
      <c r="K78" s="75"/>
    </row>
    <row r="79" spans="1:11" s="5" customFormat="1" ht="14.1" customHeight="1" x14ac:dyDescent="0.2">
      <c r="A79" s="85" t="s">
        <v>49</v>
      </c>
      <c r="B79" s="83"/>
      <c r="C79" s="61">
        <f>SUM(C70:C78)</f>
        <v>182143654</v>
      </c>
      <c r="D79" s="61">
        <f>SUM(D70:D78)</f>
        <v>57685084</v>
      </c>
      <c r="E79" s="75"/>
      <c r="F79" s="15"/>
      <c r="G79" s="114"/>
      <c r="H79" s="67"/>
      <c r="I79" s="117"/>
      <c r="J79" s="75"/>
      <c r="K79" s="75"/>
    </row>
    <row r="80" spans="1:11" s="5" customFormat="1" ht="14.1" customHeight="1" x14ac:dyDescent="0.2">
      <c r="A80" s="85" t="s">
        <v>172</v>
      </c>
      <c r="B80" s="83"/>
      <c r="C80" s="83"/>
      <c r="D80" s="83"/>
      <c r="E80" s="75"/>
      <c r="F80" s="15"/>
      <c r="G80" s="13"/>
      <c r="H80" s="118"/>
      <c r="I80" s="119"/>
      <c r="J80" s="75"/>
      <c r="K80" s="75"/>
    </row>
    <row r="81" spans="1:11" s="5" customFormat="1" ht="14.1" customHeight="1" x14ac:dyDescent="0.2">
      <c r="A81" s="85"/>
      <c r="B81" s="127"/>
      <c r="C81" s="127"/>
      <c r="D81" s="127"/>
      <c r="E81" s="75"/>
      <c r="F81" s="15"/>
      <c r="G81" s="13"/>
      <c r="H81" s="118"/>
      <c r="I81" s="119"/>
      <c r="J81" s="75"/>
      <c r="K81" s="75"/>
    </row>
    <row r="82" spans="1:11" s="5" customFormat="1" ht="14.1" customHeight="1" x14ac:dyDescent="0.2">
      <c r="A82" s="85" t="s">
        <v>146</v>
      </c>
      <c r="B82" s="131" t="s">
        <v>189</v>
      </c>
      <c r="C82" s="61">
        <v>61813</v>
      </c>
      <c r="D82" s="61">
        <v>61813</v>
      </c>
      <c r="E82" s="75"/>
      <c r="F82" s="15"/>
      <c r="G82" s="13"/>
      <c r="H82" s="118"/>
      <c r="I82" s="119"/>
      <c r="J82" s="75"/>
      <c r="K82" s="75"/>
    </row>
    <row r="83" spans="1:11" s="5" customFormat="1" ht="14.1" customHeight="1" x14ac:dyDescent="0.2">
      <c r="A83" s="85" t="s">
        <v>147</v>
      </c>
      <c r="B83" s="131" t="s">
        <v>188</v>
      </c>
      <c r="C83" s="61">
        <v>37613718</v>
      </c>
      <c r="D83" s="61">
        <v>185543080</v>
      </c>
      <c r="E83" s="75"/>
      <c r="F83" s="15"/>
      <c r="G83" s="114"/>
      <c r="H83" s="67"/>
      <c r="I83" s="117"/>
      <c r="J83" s="75"/>
      <c r="K83" s="75"/>
    </row>
    <row r="84" spans="1:11" s="5" customFormat="1" ht="14.1" customHeight="1" x14ac:dyDescent="0.2">
      <c r="A84" s="85" t="s">
        <v>136</v>
      </c>
      <c r="B84" s="131" t="s">
        <v>196</v>
      </c>
      <c r="C84" s="61">
        <v>2188699</v>
      </c>
      <c r="D84" s="61">
        <v>2227480</v>
      </c>
      <c r="E84" s="75"/>
      <c r="F84" s="15"/>
      <c r="G84" s="114"/>
      <c r="H84" s="67"/>
      <c r="I84" s="117"/>
      <c r="J84" s="75"/>
      <c r="K84" s="75"/>
    </row>
    <row r="85" spans="1:11" s="5" customFormat="1" ht="14.1" customHeight="1" x14ac:dyDescent="0.2">
      <c r="A85" s="85" t="s">
        <v>197</v>
      </c>
      <c r="B85" s="131" t="s">
        <v>198</v>
      </c>
      <c r="C85" s="61">
        <v>72083</v>
      </c>
      <c r="D85" s="61">
        <v>290897</v>
      </c>
      <c r="E85" s="75"/>
      <c r="F85" s="15"/>
      <c r="G85" s="114"/>
      <c r="H85" s="118"/>
      <c r="I85" s="119"/>
      <c r="J85" s="75"/>
      <c r="K85" s="75"/>
    </row>
    <row r="86" spans="1:11" s="5" customFormat="1" ht="14.1" customHeight="1" x14ac:dyDescent="0.2">
      <c r="A86" s="85" t="s">
        <v>134</v>
      </c>
      <c r="B86" s="131" t="s">
        <v>195</v>
      </c>
      <c r="C86" s="61">
        <v>16596171</v>
      </c>
      <c r="D86" s="61">
        <v>15269289</v>
      </c>
      <c r="E86" s="75"/>
      <c r="F86" s="15"/>
      <c r="G86" s="114"/>
      <c r="H86" s="118"/>
      <c r="I86" s="119"/>
      <c r="J86" s="75"/>
      <c r="K86" s="75"/>
    </row>
    <row r="87" spans="1:11" s="5" customFormat="1" ht="14.1" customHeight="1" x14ac:dyDescent="0.2">
      <c r="A87" s="85" t="s">
        <v>44</v>
      </c>
      <c r="B87" s="131" t="s">
        <v>196</v>
      </c>
      <c r="C87" s="61">
        <v>23640</v>
      </c>
      <c r="D87" s="61">
        <v>23640</v>
      </c>
      <c r="E87" s="77"/>
      <c r="F87" s="15"/>
      <c r="G87" s="114"/>
      <c r="H87" s="67"/>
      <c r="I87" s="117"/>
      <c r="J87" s="75"/>
      <c r="K87" s="75"/>
    </row>
    <row r="88" spans="1:11" s="5" customFormat="1" ht="14.1" customHeight="1" x14ac:dyDescent="0.2">
      <c r="A88" s="85" t="s">
        <v>135</v>
      </c>
      <c r="B88" s="131" t="s">
        <v>196</v>
      </c>
      <c r="C88" s="61">
        <v>2105220</v>
      </c>
      <c r="D88" s="61">
        <v>2821073</v>
      </c>
      <c r="E88" s="77"/>
      <c r="F88" s="15"/>
      <c r="G88" s="114"/>
      <c r="H88" s="67"/>
      <c r="I88" s="117"/>
      <c r="J88" s="75"/>
      <c r="K88" s="75"/>
    </row>
    <row r="89" spans="1:11" s="5" customFormat="1" ht="14.1" customHeight="1" x14ac:dyDescent="0.2">
      <c r="A89" s="85" t="s">
        <v>45</v>
      </c>
      <c r="B89" s="131" t="s">
        <v>196</v>
      </c>
      <c r="C89" s="61">
        <f>2918026-C85</f>
        <v>2845943</v>
      </c>
      <c r="D89" s="61">
        <f>2897947-D85</f>
        <v>2607050</v>
      </c>
      <c r="E89" s="75"/>
      <c r="F89" s="15"/>
      <c r="G89" s="114"/>
      <c r="H89" s="67"/>
      <c r="I89" s="117"/>
      <c r="J89" s="75"/>
      <c r="K89" s="75"/>
    </row>
    <row r="90" spans="1:11" s="5" customFormat="1" ht="14.1" customHeight="1" x14ac:dyDescent="0.2">
      <c r="A90" s="85" t="s">
        <v>163</v>
      </c>
      <c r="B90" s="131" t="s">
        <v>193</v>
      </c>
      <c r="C90" s="61">
        <v>1946703</v>
      </c>
      <c r="D90" s="61">
        <v>1751691</v>
      </c>
      <c r="E90" s="75"/>
      <c r="F90" s="15"/>
      <c r="G90" s="114"/>
      <c r="H90" s="67"/>
      <c r="I90" s="117"/>
      <c r="J90" s="75"/>
      <c r="K90" s="75"/>
    </row>
    <row r="91" spans="1:11" s="5" customFormat="1" ht="13.5" customHeight="1" x14ac:dyDescent="0.2">
      <c r="A91" s="85" t="s">
        <v>46</v>
      </c>
      <c r="B91" s="131"/>
      <c r="C91" s="61">
        <f>SUM(C82:C90)</f>
        <v>63453990</v>
      </c>
      <c r="D91" s="61">
        <f>SUM(D82:D90)</f>
        <v>210596013</v>
      </c>
      <c r="E91" s="75"/>
      <c r="F91" s="15"/>
      <c r="G91" s="13"/>
      <c r="H91" s="67"/>
      <c r="I91" s="117"/>
      <c r="J91" s="75"/>
      <c r="K91" s="75"/>
    </row>
    <row r="92" spans="1:11" s="5" customFormat="1" ht="20.25" customHeight="1" x14ac:dyDescent="0.2">
      <c r="A92" s="85" t="s">
        <v>173</v>
      </c>
      <c r="B92" s="131"/>
      <c r="C92" s="61">
        <f>C79+C91</f>
        <v>245597644</v>
      </c>
      <c r="D92" s="61">
        <f>D79+D91</f>
        <v>268281097</v>
      </c>
      <c r="E92" s="75"/>
      <c r="F92" s="15"/>
      <c r="G92" s="123"/>
      <c r="H92" s="67"/>
      <c r="I92" s="117"/>
      <c r="J92" s="75"/>
      <c r="K92" s="75"/>
    </row>
    <row r="93" spans="1:11" s="5" customFormat="1" ht="15.75" customHeight="1" x14ac:dyDescent="0.2">
      <c r="A93" s="85"/>
      <c r="B93" s="131"/>
      <c r="C93" s="61"/>
      <c r="D93" s="61"/>
      <c r="E93" s="78"/>
      <c r="F93" s="15"/>
      <c r="G93" s="13"/>
      <c r="H93" s="67"/>
      <c r="I93" s="117"/>
      <c r="J93" s="75"/>
      <c r="K93" s="75"/>
    </row>
    <row r="94" spans="1:11" s="5" customFormat="1" ht="23.25" customHeight="1" x14ac:dyDescent="0.2">
      <c r="A94" s="133" t="s">
        <v>174</v>
      </c>
      <c r="B94" s="134" t="s">
        <v>0</v>
      </c>
      <c r="C94" s="135">
        <f>C67+C92</f>
        <v>303822828</v>
      </c>
      <c r="D94" s="135">
        <f>D67+D92</f>
        <v>313003849</v>
      </c>
      <c r="E94" s="77"/>
      <c r="F94" s="15"/>
      <c r="G94" s="15"/>
      <c r="H94" s="112"/>
      <c r="I94" s="112"/>
      <c r="J94" s="75"/>
      <c r="K94" s="75"/>
    </row>
    <row r="95" spans="1:11" s="5" customFormat="1" ht="15" customHeight="1" x14ac:dyDescent="0.2">
      <c r="A95" s="127"/>
      <c r="B95" s="127"/>
      <c r="C95" s="149"/>
      <c r="D95" s="150"/>
      <c r="E95" s="75"/>
      <c r="F95" s="15"/>
      <c r="G95" s="15"/>
      <c r="H95" s="113"/>
      <c r="I95" s="79"/>
      <c r="J95" s="75"/>
      <c r="K95" s="75"/>
    </row>
    <row r="96" spans="1:11" s="5" customFormat="1" ht="19.5" customHeight="1" x14ac:dyDescent="0.2">
      <c r="A96" s="127"/>
      <c r="B96" s="116"/>
      <c r="C96" s="136"/>
      <c r="D96" s="136"/>
      <c r="E96" s="75"/>
      <c r="F96" s="12"/>
      <c r="G96" s="13"/>
      <c r="H96" s="62"/>
      <c r="I96" s="14"/>
      <c r="J96" s="75"/>
      <c r="K96" s="75"/>
    </row>
    <row r="97" spans="1:11" s="5" customFormat="1" ht="18.75" customHeight="1" x14ac:dyDescent="0.2">
      <c r="A97" s="127"/>
      <c r="B97" s="127"/>
      <c r="C97" s="127"/>
      <c r="D97" s="127"/>
      <c r="E97" s="77">
        <f>C54-C94</f>
        <v>0</v>
      </c>
      <c r="F97" s="122">
        <f>D54-D94</f>
        <v>0</v>
      </c>
      <c r="G97" s="13"/>
      <c r="H97" s="72"/>
      <c r="I97" s="16"/>
      <c r="J97" s="75"/>
      <c r="K97" s="75"/>
    </row>
    <row r="98" spans="1:11" s="5" customFormat="1" ht="18.75" customHeight="1" x14ac:dyDescent="0.2">
      <c r="A98" s="137" t="s">
        <v>0</v>
      </c>
      <c r="B98" s="116"/>
      <c r="C98" s="116"/>
      <c r="D98" s="16"/>
      <c r="E98" s="75"/>
      <c r="F98" s="15"/>
      <c r="G98" s="13"/>
      <c r="H98" s="13"/>
      <c r="I98" s="16"/>
      <c r="J98" s="75"/>
      <c r="K98" s="75"/>
    </row>
    <row r="99" spans="1:11" s="5" customFormat="1" ht="12" customHeight="1" x14ac:dyDescent="0.2">
      <c r="A99" s="137" t="s">
        <v>216</v>
      </c>
      <c r="B99" s="116"/>
      <c r="C99" s="125"/>
      <c r="D99" s="144" t="s">
        <v>224</v>
      </c>
      <c r="E99" s="15"/>
      <c r="F99" s="13"/>
      <c r="G99" s="73"/>
      <c r="H99" s="73"/>
      <c r="I99" s="75"/>
      <c r="J99" s="75"/>
    </row>
    <row r="100" spans="1:11" s="5" customFormat="1" ht="12" customHeight="1" x14ac:dyDescent="0.2">
      <c r="A100" s="137"/>
      <c r="B100" s="116"/>
      <c r="C100" s="125"/>
      <c r="D100" s="125"/>
      <c r="E100" s="75"/>
      <c r="F100" s="15"/>
      <c r="G100" s="13"/>
      <c r="H100" s="73"/>
      <c r="I100" s="16"/>
      <c r="J100" s="75"/>
      <c r="K100" s="75"/>
    </row>
    <row r="101" spans="1:11" s="5" customFormat="1" ht="12" customHeight="1" x14ac:dyDescent="0.2">
      <c r="A101" s="137"/>
      <c r="B101" s="116"/>
      <c r="C101" s="116"/>
      <c r="D101" s="16"/>
      <c r="E101" s="75"/>
      <c r="F101" s="15"/>
      <c r="G101" s="13"/>
      <c r="H101" s="13"/>
      <c r="I101" s="17"/>
      <c r="J101" s="75"/>
      <c r="K101" s="75"/>
    </row>
    <row r="102" spans="1:11" s="5" customFormat="1" ht="12" customHeight="1" x14ac:dyDescent="0.2">
      <c r="A102" s="137" t="s">
        <v>149</v>
      </c>
      <c r="B102" s="116"/>
      <c r="C102" s="116"/>
      <c r="D102" s="145" t="s">
        <v>156</v>
      </c>
      <c r="E102" s="75"/>
      <c r="F102" s="15"/>
      <c r="G102" s="13"/>
      <c r="H102" s="13"/>
      <c r="I102" s="16"/>
      <c r="J102" s="75"/>
      <c r="K102" s="75"/>
    </row>
    <row r="103" spans="1:11" s="5" customFormat="1" ht="12" customHeight="1" x14ac:dyDescent="0.2">
      <c r="A103" s="127"/>
      <c r="B103" s="6"/>
      <c r="C103" s="6"/>
      <c r="D103" s="7"/>
      <c r="E103" s="75"/>
      <c r="F103" s="15"/>
      <c r="G103" s="13"/>
      <c r="H103" s="13"/>
      <c r="I103" s="16"/>
      <c r="J103" s="75"/>
      <c r="K103" s="75"/>
    </row>
    <row r="104" spans="1:11" s="5" customFormat="1" ht="12" customHeight="1" x14ac:dyDescent="0.2">
      <c r="A104" s="151" t="s">
        <v>55</v>
      </c>
      <c r="B104" s="6"/>
      <c r="C104" s="6"/>
      <c r="D104" s="7"/>
      <c r="E104" s="75"/>
      <c r="F104" s="15"/>
      <c r="G104" s="13"/>
      <c r="H104" s="13"/>
      <c r="I104" s="16"/>
      <c r="J104" s="75"/>
      <c r="K104" s="75"/>
    </row>
    <row r="105" spans="1:11" s="5" customFormat="1" ht="12" customHeight="1" x14ac:dyDescent="0.2">
      <c r="A105" s="127"/>
      <c r="B105" s="138"/>
      <c r="C105" s="53"/>
      <c r="D105" s="53"/>
      <c r="E105" s="75"/>
      <c r="F105" s="106"/>
      <c r="G105" s="107"/>
      <c r="H105" s="107"/>
      <c r="I105" s="107"/>
      <c r="J105" s="75"/>
      <c r="K105" s="75"/>
    </row>
    <row r="106" spans="1:11" s="5" customFormat="1" ht="12" customHeight="1" x14ac:dyDescent="0.2">
      <c r="A106" s="138"/>
      <c r="B106" s="138"/>
      <c r="C106" s="138"/>
      <c r="D106" s="53"/>
      <c r="E106" s="75"/>
      <c r="F106" s="106"/>
      <c r="G106" s="107"/>
      <c r="H106" s="107"/>
      <c r="I106" s="107"/>
      <c r="J106" s="75"/>
      <c r="K106" s="75"/>
    </row>
    <row r="107" spans="1:11" s="5" customFormat="1" ht="12" customHeight="1" x14ac:dyDescent="0.2">
      <c r="A107" s="138"/>
      <c r="B107" s="138"/>
      <c r="C107" s="138"/>
      <c r="D107" s="53"/>
      <c r="E107" s="75"/>
      <c r="F107" s="106"/>
      <c r="G107" s="107"/>
      <c r="H107" s="107"/>
      <c r="I107" s="107"/>
      <c r="J107" s="75"/>
      <c r="K107" s="75"/>
    </row>
    <row r="108" spans="1:11" s="5" customFormat="1" ht="12" customHeight="1" x14ac:dyDescent="0.2">
      <c r="A108" s="138"/>
      <c r="B108" s="138"/>
      <c r="C108" s="138"/>
      <c r="D108" s="53"/>
      <c r="E108" s="75"/>
      <c r="F108" s="106"/>
      <c r="G108" s="107"/>
      <c r="H108" s="107"/>
      <c r="I108" s="107"/>
      <c r="J108" s="75"/>
      <c r="K108" s="75"/>
    </row>
    <row r="109" spans="1:11" s="5" customFormat="1" ht="12" customHeight="1" x14ac:dyDescent="0.2">
      <c r="A109" s="138"/>
      <c r="B109" s="138"/>
      <c r="C109" s="138"/>
      <c r="D109" s="53"/>
      <c r="E109" s="75"/>
      <c r="F109" s="106"/>
      <c r="G109" s="107"/>
      <c r="H109" s="107"/>
      <c r="I109" s="107"/>
      <c r="J109" s="75"/>
      <c r="K109" s="75"/>
    </row>
    <row r="110" spans="1:11" s="5" customFormat="1" ht="12" customHeight="1" x14ac:dyDescent="0.2">
      <c r="A110" s="138"/>
      <c r="B110" s="138"/>
      <c r="C110" s="138"/>
      <c r="D110" s="53"/>
      <c r="E110" s="75"/>
      <c r="F110" s="106"/>
      <c r="G110" s="107"/>
      <c r="H110" s="107"/>
      <c r="I110" s="107"/>
      <c r="J110" s="75"/>
      <c r="K110" s="75"/>
    </row>
    <row r="111" spans="1:11" s="5" customFormat="1" ht="12" customHeight="1" x14ac:dyDescent="0.2">
      <c r="A111" s="138"/>
      <c r="B111" s="127"/>
      <c r="C111" s="127"/>
      <c r="D111" s="7"/>
      <c r="E111" s="75"/>
      <c r="F111" s="106"/>
      <c r="G111" s="107"/>
      <c r="H111" s="107"/>
      <c r="I111" s="107"/>
      <c r="J111" s="75"/>
      <c r="K111" s="75"/>
    </row>
    <row r="112" spans="1:11" s="5" customFormat="1" ht="12" customHeight="1" x14ac:dyDescent="0.2">
      <c r="A112" s="127"/>
      <c r="B112" s="127"/>
      <c r="C112" s="127"/>
      <c r="D112" s="7"/>
      <c r="E112" s="75"/>
      <c r="F112" s="106"/>
      <c r="G112" s="107"/>
      <c r="H112" s="107"/>
      <c r="I112" s="107"/>
      <c r="J112" s="75"/>
      <c r="K112" s="75"/>
    </row>
    <row r="113" spans="1:11" s="5" customFormat="1" ht="12" customHeight="1" x14ac:dyDescent="0.2">
      <c r="A113" s="127"/>
      <c r="B113" s="127"/>
      <c r="C113" s="127"/>
      <c r="D113" s="7"/>
      <c r="E113" s="75"/>
      <c r="F113" s="106"/>
      <c r="G113" s="107"/>
      <c r="H113" s="107"/>
      <c r="I113" s="107"/>
      <c r="J113" s="75"/>
      <c r="K113" s="75"/>
    </row>
    <row r="114" spans="1:11" ht="12" customHeight="1" x14ac:dyDescent="0.2">
      <c r="A114" s="127"/>
    </row>
    <row r="115" spans="1:11" ht="12" customHeight="1" x14ac:dyDescent="0.2"/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N64"/>
  <sheetViews>
    <sheetView zoomScaleNormal="100" workbookViewId="0">
      <selection activeCell="C36" sqref="C36"/>
    </sheetView>
  </sheetViews>
  <sheetFormatPr defaultRowHeight="14.25" x14ac:dyDescent="0.2"/>
  <cols>
    <col min="1" max="1" width="63.5703125" style="3" customWidth="1"/>
    <col min="2" max="2" width="8.140625" style="3" customWidth="1"/>
    <col min="3" max="3" width="18.5703125" style="3" bestFit="1" customWidth="1"/>
    <col min="4" max="4" width="16.85546875" style="3" customWidth="1"/>
    <col min="5" max="5" width="13.7109375" style="3" hidden="1" customWidth="1"/>
    <col min="6" max="6" width="18.5703125" style="3" bestFit="1" customWidth="1"/>
    <col min="7" max="7" width="16.28515625" style="3" customWidth="1"/>
    <col min="8" max="8" width="1.140625" style="28" customWidth="1"/>
    <col min="9" max="9" width="7.7109375" style="3" hidden="1" customWidth="1"/>
    <col min="10" max="10" width="9.140625" style="3"/>
    <col min="11" max="11" width="17.5703125" style="3" hidden="1" customWidth="1"/>
    <col min="12" max="12" width="9.140625" style="3"/>
    <col min="13" max="14" width="29.5703125" style="3" customWidth="1"/>
    <col min="15" max="16384" width="9.140625" style="3"/>
  </cols>
  <sheetData>
    <row r="8" spans="1:7" ht="42.75" customHeight="1" x14ac:dyDescent="0.3">
      <c r="A8" s="203" t="s">
        <v>226</v>
      </c>
      <c r="B8" s="203"/>
      <c r="C8" s="203"/>
      <c r="D8" s="203"/>
      <c r="E8" s="203"/>
      <c r="F8" s="203"/>
      <c r="G8" s="81"/>
    </row>
    <row r="9" spans="1:7" x14ac:dyDescent="0.2">
      <c r="A9" s="204"/>
      <c r="B9" s="204"/>
      <c r="C9" s="204"/>
      <c r="D9" s="204"/>
      <c r="E9" s="204"/>
      <c r="F9" s="204"/>
    </row>
    <row r="10" spans="1:7" x14ac:dyDescent="0.2">
      <c r="A10" s="204"/>
      <c r="B10" s="204"/>
      <c r="C10" s="204"/>
      <c r="D10" s="204"/>
      <c r="E10" s="204"/>
      <c r="F10" s="204"/>
    </row>
    <row r="11" spans="1:7" hidden="1" x14ac:dyDescent="0.2">
      <c r="A11" s="204" t="s">
        <v>72</v>
      </c>
      <c r="B11" s="204"/>
      <c r="C11" s="204"/>
      <c r="D11" s="204"/>
      <c r="E11" s="204"/>
      <c r="F11" s="204"/>
    </row>
    <row r="12" spans="1:7" hidden="1" x14ac:dyDescent="0.2">
      <c r="A12" s="205"/>
      <c r="B12" s="205"/>
      <c r="C12" s="205"/>
      <c r="D12" s="205"/>
      <c r="E12" s="205"/>
      <c r="F12" s="205"/>
    </row>
    <row r="13" spans="1:7" ht="15.75" hidden="1" x14ac:dyDescent="0.2">
      <c r="A13" s="201" t="s">
        <v>123</v>
      </c>
      <c r="B13" s="201"/>
      <c r="C13" s="201"/>
      <c r="D13" s="201"/>
      <c r="E13" s="201"/>
      <c r="F13" s="201"/>
    </row>
    <row r="14" spans="1:7" ht="15.75" hidden="1" x14ac:dyDescent="0.2">
      <c r="A14" s="57"/>
      <c r="B14" s="57"/>
      <c r="C14" s="57"/>
      <c r="D14" s="87"/>
      <c r="E14" s="57"/>
      <c r="F14" s="60"/>
    </row>
    <row r="15" spans="1:7" ht="15.75" hidden="1" x14ac:dyDescent="0.2">
      <c r="A15" s="201" t="s">
        <v>150</v>
      </c>
      <c r="B15" s="201"/>
      <c r="C15" s="201"/>
      <c r="D15" s="201"/>
      <c r="E15" s="201"/>
      <c r="F15" s="201"/>
    </row>
    <row r="16" spans="1:7" ht="15.75" hidden="1" x14ac:dyDescent="0.2">
      <c r="A16" s="200" t="s">
        <v>1</v>
      </c>
      <c r="B16" s="200"/>
      <c r="C16" s="200"/>
      <c r="D16" s="200"/>
      <c r="E16" s="200"/>
      <c r="F16" s="200"/>
    </row>
    <row r="17" spans="1:14" ht="15.75" hidden="1" x14ac:dyDescent="0.2">
      <c r="A17" s="57"/>
      <c r="B17" s="57"/>
      <c r="C17" s="57"/>
      <c r="D17" s="87"/>
      <c r="E17" s="57"/>
      <c r="F17" s="60"/>
    </row>
    <row r="18" spans="1:14" ht="15.75" hidden="1" x14ac:dyDescent="0.2">
      <c r="A18" s="201" t="s">
        <v>124</v>
      </c>
      <c r="B18" s="201"/>
      <c r="C18" s="201"/>
      <c r="D18" s="201"/>
      <c r="E18" s="201"/>
      <c r="F18" s="201"/>
    </row>
    <row r="19" spans="1:14" ht="15.75" hidden="1" x14ac:dyDescent="0.2">
      <c r="A19" s="57"/>
      <c r="B19" s="57"/>
      <c r="C19" s="57"/>
      <c r="D19" s="87"/>
      <c r="E19" s="57"/>
      <c r="F19" s="60"/>
    </row>
    <row r="20" spans="1:14" ht="15.75" hidden="1" x14ac:dyDescent="0.2">
      <c r="A20" s="201" t="s">
        <v>162</v>
      </c>
      <c r="B20" s="201"/>
      <c r="C20" s="201"/>
      <c r="D20" s="201"/>
      <c r="E20" s="201"/>
      <c r="F20" s="201"/>
    </row>
    <row r="21" spans="1:14" x14ac:dyDescent="0.2">
      <c r="A21" s="202" t="s">
        <v>166</v>
      </c>
      <c r="B21" s="202"/>
      <c r="C21" s="202"/>
      <c r="D21" s="202"/>
      <c r="E21" s="202"/>
      <c r="F21" s="202"/>
      <c r="G21" s="28"/>
    </row>
    <row r="22" spans="1:14" ht="71.25" x14ac:dyDescent="0.2">
      <c r="A22" s="8" t="s">
        <v>2</v>
      </c>
      <c r="B22" s="88" t="s">
        <v>175</v>
      </c>
      <c r="C22" s="143" t="s">
        <v>219</v>
      </c>
      <c r="D22" s="143" t="s">
        <v>223</v>
      </c>
      <c r="E22" s="143" t="s">
        <v>221</v>
      </c>
      <c r="F22" s="143" t="s">
        <v>220</v>
      </c>
      <c r="G22" s="88" t="s">
        <v>222</v>
      </c>
      <c r="H22" s="89"/>
      <c r="I22" s="28"/>
    </row>
    <row r="23" spans="1:14" x14ac:dyDescent="0.2">
      <c r="A23" s="20" t="s">
        <v>73</v>
      </c>
      <c r="B23" s="90" t="s">
        <v>202</v>
      </c>
      <c r="C23" s="160">
        <f>[1]PL!$V$6</f>
        <v>50938902</v>
      </c>
      <c r="D23" s="161">
        <f>C23-E23</f>
        <v>20954430</v>
      </c>
      <c r="E23" s="162">
        <v>29984472</v>
      </c>
      <c r="F23" s="160">
        <v>47412699</v>
      </c>
      <c r="G23" s="163">
        <v>19192078</v>
      </c>
      <c r="H23" s="91"/>
      <c r="I23" s="101">
        <f>(D23-G23)/G23</f>
        <v>9.1827054892127891E-2</v>
      </c>
      <c r="K23" s="141">
        <f>C23/F23-100%</f>
        <v>7.4372543102851019E-2</v>
      </c>
      <c r="M23" s="142"/>
      <c r="N23" s="142"/>
    </row>
    <row r="24" spans="1:14" x14ac:dyDescent="0.2">
      <c r="A24" s="20" t="s">
        <v>74</v>
      </c>
      <c r="B24" s="90" t="s">
        <v>203</v>
      </c>
      <c r="C24" s="153">
        <f>[1]PL!$V$8</f>
        <v>-37638761</v>
      </c>
      <c r="D24" s="161">
        <f>C24-E24</f>
        <v>-18001411</v>
      </c>
      <c r="E24" s="162">
        <v>-19637350</v>
      </c>
      <c r="F24" s="153">
        <v>-33492903</v>
      </c>
      <c r="G24" s="163">
        <v>-18812399</v>
      </c>
      <c r="H24" s="91"/>
      <c r="I24" s="101">
        <f t="shared" ref="I24:I31" si="0">(D24-G24)/G24</f>
        <v>-4.3109228121304466E-2</v>
      </c>
      <c r="K24" s="141">
        <f t="shared" ref="K24:K32" si="1">C24/F24-100%</f>
        <v>0.1237831787826813</v>
      </c>
      <c r="M24" s="142"/>
      <c r="N24" s="142"/>
    </row>
    <row r="25" spans="1:14" x14ac:dyDescent="0.2">
      <c r="A25" s="20" t="s">
        <v>106</v>
      </c>
      <c r="B25" s="90"/>
      <c r="C25" s="153">
        <f>C23+C24</f>
        <v>13300141</v>
      </c>
      <c r="D25" s="153">
        <f t="shared" ref="D25:G25" si="2">D23+D24</f>
        <v>2953019</v>
      </c>
      <c r="E25" s="153">
        <f t="shared" si="2"/>
        <v>10347122</v>
      </c>
      <c r="F25" s="153">
        <f t="shared" si="2"/>
        <v>13919796</v>
      </c>
      <c r="G25" s="153">
        <f t="shared" si="2"/>
        <v>379679</v>
      </c>
      <c r="H25" s="91"/>
      <c r="I25" s="101">
        <f t="shared" si="0"/>
        <v>6.7776727182699066</v>
      </c>
      <c r="K25" s="141">
        <f t="shared" si="1"/>
        <v>-4.4516097793387166E-2</v>
      </c>
      <c r="M25" s="142"/>
      <c r="N25" s="142"/>
    </row>
    <row r="26" spans="1:14" x14ac:dyDescent="0.2">
      <c r="A26" s="20" t="s">
        <v>75</v>
      </c>
      <c r="B26" s="90" t="s">
        <v>204</v>
      </c>
      <c r="C26" s="153">
        <f>[1]PL!$V$15</f>
        <v>243216</v>
      </c>
      <c r="D26" s="161">
        <f t="shared" ref="D26:D40" si="3">C26-E26</f>
        <v>122945</v>
      </c>
      <c r="E26" s="162">
        <v>120271</v>
      </c>
      <c r="F26" s="153">
        <v>387750</v>
      </c>
      <c r="G26" s="163">
        <v>196298</v>
      </c>
      <c r="H26" s="91"/>
      <c r="I26" s="101">
        <f t="shared" si="0"/>
        <v>-0.37368185106317947</v>
      </c>
      <c r="K26" s="141">
        <f t="shared" si="1"/>
        <v>-0.37275048355899421</v>
      </c>
      <c r="M26" s="142"/>
      <c r="N26" s="142"/>
    </row>
    <row r="27" spans="1:14" x14ac:dyDescent="0.2">
      <c r="A27" s="20" t="s">
        <v>160</v>
      </c>
      <c r="B27" s="90" t="s">
        <v>205</v>
      </c>
      <c r="C27" s="153">
        <f>[1]PL!$V$20+[1]PL!$V$21+[1]PL!$V$22+[1]PL!$V$24</f>
        <v>-1961179</v>
      </c>
      <c r="D27" s="161">
        <f t="shared" si="3"/>
        <v>423152</v>
      </c>
      <c r="E27" s="162">
        <v>-2384331</v>
      </c>
      <c r="F27" s="153">
        <v>-617519</v>
      </c>
      <c r="G27" s="163">
        <v>485253</v>
      </c>
      <c r="H27" s="139"/>
      <c r="I27" s="140">
        <f t="shared" si="0"/>
        <v>-0.12797654007291043</v>
      </c>
      <c r="K27" s="141">
        <f t="shared" si="1"/>
        <v>2.175900660546477</v>
      </c>
      <c r="M27" s="142"/>
      <c r="N27" s="142"/>
    </row>
    <row r="28" spans="1:14" x14ac:dyDescent="0.2">
      <c r="A28" s="20" t="s">
        <v>76</v>
      </c>
      <c r="B28" s="90" t="s">
        <v>206</v>
      </c>
      <c r="C28" s="153">
        <f>-[1]PL!$V$13</f>
        <v>545367</v>
      </c>
      <c r="D28" s="161">
        <f t="shared" si="3"/>
        <v>273085</v>
      </c>
      <c r="E28" s="162">
        <v>272282</v>
      </c>
      <c r="F28" s="153">
        <v>528177</v>
      </c>
      <c r="G28" s="163">
        <v>267758</v>
      </c>
      <c r="H28" s="139"/>
      <c r="I28" s="140">
        <f t="shared" si="0"/>
        <v>1.9894830406561148E-2</v>
      </c>
      <c r="K28" s="141">
        <f t="shared" si="1"/>
        <v>3.2545907905872529E-2</v>
      </c>
      <c r="M28" s="142"/>
      <c r="N28" s="142"/>
    </row>
    <row r="29" spans="1:14" x14ac:dyDescent="0.2">
      <c r="A29" s="20" t="s">
        <v>77</v>
      </c>
      <c r="B29" s="90" t="s">
        <v>207</v>
      </c>
      <c r="C29" s="153">
        <f>-[1]PL!$V$12</f>
        <v>3986233</v>
      </c>
      <c r="D29" s="161">
        <f t="shared" si="3"/>
        <v>2472250</v>
      </c>
      <c r="E29" s="162">
        <v>1513983</v>
      </c>
      <c r="F29" s="153">
        <v>2315972</v>
      </c>
      <c r="G29" s="163">
        <v>1161249</v>
      </c>
      <c r="H29" s="91"/>
      <c r="I29" s="101">
        <f t="shared" si="0"/>
        <v>1.128957699855931</v>
      </c>
      <c r="K29" s="141">
        <f t="shared" si="1"/>
        <v>0.72119222512189274</v>
      </c>
      <c r="M29" s="142"/>
      <c r="N29" s="142"/>
    </row>
    <row r="30" spans="1:14" x14ac:dyDescent="0.2">
      <c r="A30" s="20" t="s">
        <v>78</v>
      </c>
      <c r="B30" s="90" t="s">
        <v>208</v>
      </c>
      <c r="C30" s="153">
        <f>-[1]PL!$V$14</f>
        <v>12616913</v>
      </c>
      <c r="D30" s="161">
        <f t="shared" si="3"/>
        <v>6270122</v>
      </c>
      <c r="E30" s="162">
        <v>6346791</v>
      </c>
      <c r="F30" s="153">
        <v>14124385</v>
      </c>
      <c r="G30" s="163">
        <v>8066988</v>
      </c>
      <c r="H30" s="91"/>
      <c r="I30" s="101">
        <f t="shared" si="0"/>
        <v>-0.22274311056369489</v>
      </c>
      <c r="K30" s="141">
        <f t="shared" si="1"/>
        <v>-0.10672832834845558</v>
      </c>
      <c r="M30" s="142"/>
      <c r="N30" s="142"/>
    </row>
    <row r="31" spans="1:14" x14ac:dyDescent="0.2">
      <c r="A31" s="20" t="s">
        <v>158</v>
      </c>
      <c r="B31" s="90" t="s">
        <v>209</v>
      </c>
      <c r="C31" s="153">
        <f>-[1]PL!$V$16</f>
        <v>-19199709</v>
      </c>
      <c r="D31" s="161">
        <f t="shared" si="3"/>
        <v>-9499604</v>
      </c>
      <c r="E31" s="162">
        <v>-9700105</v>
      </c>
      <c r="F31" s="153">
        <v>52089606</v>
      </c>
      <c r="G31" s="164">
        <v>56860992</v>
      </c>
      <c r="H31" s="91"/>
      <c r="I31" s="101">
        <f t="shared" si="0"/>
        <v>-1.1670671521172196</v>
      </c>
      <c r="K31" s="141">
        <f t="shared" si="1"/>
        <v>-1.3685900215870321</v>
      </c>
      <c r="M31" s="142"/>
      <c r="N31" s="142"/>
    </row>
    <row r="32" spans="1:14" ht="28.5" x14ac:dyDescent="0.2">
      <c r="A32" s="19" t="s">
        <v>79</v>
      </c>
      <c r="B32" s="90"/>
      <c r="C32" s="153">
        <f>[1]PL!$V$23</f>
        <v>0</v>
      </c>
      <c r="D32" s="161"/>
      <c r="E32" s="165">
        <v>0</v>
      </c>
      <c r="F32" s="153">
        <v>0</v>
      </c>
      <c r="G32" s="164"/>
      <c r="H32" s="92"/>
      <c r="I32" s="101"/>
      <c r="K32" s="141" t="e">
        <f t="shared" si="1"/>
        <v>#DIV/0!</v>
      </c>
      <c r="M32" s="142"/>
      <c r="N32" s="142"/>
    </row>
    <row r="33" spans="1:14" ht="42.75" x14ac:dyDescent="0.2">
      <c r="A33" s="19" t="s">
        <v>107</v>
      </c>
      <c r="B33" s="93"/>
      <c r="C33" s="154">
        <f t="shared" ref="C33" si="4">C25+C26+C27-C28-C29-C30-C31+C32</f>
        <v>13633374</v>
      </c>
      <c r="D33" s="154">
        <f>D25+D26+D27-D28-D29-D30-D31+D32</f>
        <v>3983263</v>
      </c>
      <c r="E33" s="154">
        <f>E25+E26+E27-E28-E29-E30-E31+E32</f>
        <v>9650111</v>
      </c>
      <c r="F33" s="154">
        <f>F25+F26+F27-F28-F29-F30-F31+F32</f>
        <v>-55368113</v>
      </c>
      <c r="G33" s="154">
        <f>G25+G26+G27-G28-G29-G30-G31+G32</f>
        <v>-65295757</v>
      </c>
      <c r="H33" s="94"/>
      <c r="I33" s="101" t="e">
        <f>(#REF!-#REF!)/#REF!</f>
        <v>#REF!</v>
      </c>
      <c r="K33" s="141" t="e">
        <f>#REF!/#REF!-100%</f>
        <v>#REF!</v>
      </c>
      <c r="M33" s="142"/>
      <c r="N33" s="142"/>
    </row>
    <row r="34" spans="1:14" x14ac:dyDescent="0.2">
      <c r="A34" s="20" t="s">
        <v>108</v>
      </c>
      <c r="B34" s="90"/>
      <c r="C34" s="153">
        <v>0</v>
      </c>
      <c r="D34" s="161"/>
      <c r="E34" s="165">
        <v>0</v>
      </c>
      <c r="F34" s="153"/>
      <c r="G34" s="153">
        <v>0</v>
      </c>
      <c r="H34" s="92"/>
      <c r="I34" s="101"/>
      <c r="K34" s="141"/>
      <c r="M34" s="142"/>
      <c r="N34" s="142"/>
    </row>
    <row r="35" spans="1:14" x14ac:dyDescent="0.2">
      <c r="A35" s="20" t="s">
        <v>109</v>
      </c>
      <c r="B35" s="90"/>
      <c r="C35" s="153">
        <f>C33+C34</f>
        <v>13633374</v>
      </c>
      <c r="D35" s="153">
        <f t="shared" ref="D35:G35" si="5">D33+D34</f>
        <v>3983263</v>
      </c>
      <c r="E35" s="153">
        <f t="shared" si="5"/>
        <v>9650111</v>
      </c>
      <c r="F35" s="153">
        <f t="shared" si="5"/>
        <v>-55368113</v>
      </c>
      <c r="G35" s="153">
        <f t="shared" si="5"/>
        <v>-65295757</v>
      </c>
      <c r="H35" s="94"/>
      <c r="I35" s="101" t="e">
        <f>(#REF!-#REF!)/#REF!</f>
        <v>#REF!</v>
      </c>
      <c r="K35" s="141" t="e">
        <f>#REF!/#REF!-100%</f>
        <v>#REF!</v>
      </c>
      <c r="M35" s="142"/>
      <c r="N35" s="142"/>
    </row>
    <row r="36" spans="1:14" x14ac:dyDescent="0.2">
      <c r="A36" s="20" t="s">
        <v>3</v>
      </c>
      <c r="B36" s="90" t="s">
        <v>210</v>
      </c>
      <c r="C36" s="153">
        <f>-[1]PL!$V$29</f>
        <v>130942</v>
      </c>
      <c r="D36" s="161">
        <f t="shared" si="3"/>
        <v>51768</v>
      </c>
      <c r="E36" s="166">
        <v>79174</v>
      </c>
      <c r="F36" s="153">
        <v>90328</v>
      </c>
      <c r="G36" s="153">
        <v>-11467</v>
      </c>
      <c r="H36" s="94"/>
      <c r="I36" s="101">
        <f>(D33-G33)/G33</f>
        <v>-1.0610033972038948</v>
      </c>
      <c r="K36" s="141">
        <f>C33/F33-100%</f>
        <v>-1.2462315087386129</v>
      </c>
      <c r="M36" s="142"/>
      <c r="N36" s="142"/>
    </row>
    <row r="37" spans="1:14" x14ac:dyDescent="0.2">
      <c r="A37" s="19" t="s">
        <v>110</v>
      </c>
      <c r="B37" s="93"/>
      <c r="C37" s="153">
        <f>C35-C36</f>
        <v>13502432</v>
      </c>
      <c r="D37" s="153">
        <f t="shared" ref="D37:G37" si="6">D35-D36</f>
        <v>3931495</v>
      </c>
      <c r="E37" s="153">
        <f t="shared" si="6"/>
        <v>9570937</v>
      </c>
      <c r="F37" s="153">
        <f t="shared" si="6"/>
        <v>-55458441</v>
      </c>
      <c r="G37" s="153">
        <f t="shared" si="6"/>
        <v>-65284290</v>
      </c>
      <c r="H37" s="94"/>
      <c r="I37" s="101" t="e">
        <f>(D34-G34)/G34</f>
        <v>#DIV/0!</v>
      </c>
      <c r="K37" s="141" t="e">
        <f>C34/F34-100%</f>
        <v>#DIV/0!</v>
      </c>
      <c r="M37" s="142"/>
      <c r="N37" s="142"/>
    </row>
    <row r="38" spans="1:14" x14ac:dyDescent="0.2">
      <c r="A38" s="19" t="s">
        <v>113</v>
      </c>
      <c r="B38" s="93"/>
      <c r="C38" s="153"/>
      <c r="D38" s="161">
        <f t="shared" si="3"/>
        <v>0</v>
      </c>
      <c r="E38" s="165"/>
      <c r="F38" s="153"/>
      <c r="G38" s="153"/>
      <c r="H38" s="92"/>
      <c r="I38" s="101"/>
      <c r="K38" s="141"/>
      <c r="M38" s="142"/>
      <c r="N38" s="142"/>
    </row>
    <row r="39" spans="1:14" x14ac:dyDescent="0.2">
      <c r="A39" s="19" t="s">
        <v>98</v>
      </c>
      <c r="B39" s="93"/>
      <c r="C39" s="153">
        <f>C37-C40</f>
        <v>13502432</v>
      </c>
      <c r="D39" s="153">
        <f t="shared" ref="D39:G39" si="7">D37-D40</f>
        <v>3931495</v>
      </c>
      <c r="E39" s="153">
        <f t="shared" si="7"/>
        <v>9570937</v>
      </c>
      <c r="F39" s="153">
        <f t="shared" si="7"/>
        <v>-38494898</v>
      </c>
      <c r="G39" s="153">
        <f t="shared" si="7"/>
        <v>-45392412</v>
      </c>
      <c r="H39" s="95"/>
      <c r="I39" s="101">
        <f>(D36-G36)/G36</f>
        <v>-5.5145199267463152</v>
      </c>
      <c r="K39" s="141">
        <f>C36/F36-100%</f>
        <v>0.44962802231866084</v>
      </c>
      <c r="M39" s="142"/>
      <c r="N39" s="142"/>
    </row>
    <row r="40" spans="1:14" x14ac:dyDescent="0.2">
      <c r="A40" s="20" t="s">
        <v>99</v>
      </c>
      <c r="B40" s="90" t="s">
        <v>211</v>
      </c>
      <c r="C40" s="153">
        <f>[1]PL!$V$40</f>
        <v>0</v>
      </c>
      <c r="D40" s="161">
        <f t="shared" si="3"/>
        <v>0</v>
      </c>
      <c r="E40" s="167">
        <v>0</v>
      </c>
      <c r="F40" s="153">
        <v>-16963543</v>
      </c>
      <c r="G40" s="153">
        <v>-19891878</v>
      </c>
      <c r="H40" s="96"/>
      <c r="I40" s="101"/>
      <c r="K40" s="141">
        <f>C37/F37-100%</f>
        <v>-1.2434693755635864</v>
      </c>
      <c r="M40" s="142"/>
      <c r="N40" s="142"/>
    </row>
    <row r="41" spans="1:14" x14ac:dyDescent="0.2">
      <c r="A41" s="20" t="s">
        <v>111</v>
      </c>
      <c r="B41" s="90"/>
      <c r="C41" s="153">
        <f>C39+C40</f>
        <v>13502432</v>
      </c>
      <c r="D41" s="153">
        <f t="shared" ref="D41:G41" si="8">D39+D40</f>
        <v>3931495</v>
      </c>
      <c r="E41" s="153">
        <f t="shared" si="8"/>
        <v>9570937</v>
      </c>
      <c r="F41" s="153">
        <f t="shared" si="8"/>
        <v>-55458441</v>
      </c>
      <c r="G41" s="153">
        <f t="shared" si="8"/>
        <v>-65284290</v>
      </c>
      <c r="H41" s="94"/>
      <c r="I41" s="101" t="e">
        <f>(D38-G38)/G38</f>
        <v>#DIV/0!</v>
      </c>
      <c r="K41" s="141" t="e">
        <f>C38/F38-100%</f>
        <v>#DIV/0!</v>
      </c>
      <c r="M41" s="142"/>
      <c r="N41" s="142"/>
    </row>
    <row r="42" spans="1:14" x14ac:dyDescent="0.2">
      <c r="A42" s="20" t="s">
        <v>112</v>
      </c>
      <c r="B42" s="90"/>
      <c r="C42" s="155"/>
      <c r="D42" s="161"/>
      <c r="E42" s="168"/>
      <c r="F42" s="155">
        <v>0</v>
      </c>
      <c r="G42" s="169"/>
      <c r="H42" s="92"/>
      <c r="I42" s="101"/>
      <c r="K42" s="141"/>
      <c r="M42" s="142"/>
      <c r="N42" s="142"/>
    </row>
    <row r="43" spans="1:14" x14ac:dyDescent="0.2">
      <c r="A43" s="20" t="s">
        <v>101</v>
      </c>
      <c r="B43" s="90"/>
      <c r="C43" s="155"/>
      <c r="D43" s="161"/>
      <c r="E43" s="168"/>
      <c r="F43" s="155"/>
      <c r="G43" s="169"/>
      <c r="H43" s="92"/>
      <c r="I43" s="101"/>
      <c r="K43" s="141"/>
      <c r="M43" s="142"/>
      <c r="N43" s="142"/>
    </row>
    <row r="44" spans="1:14" ht="28.5" x14ac:dyDescent="0.2">
      <c r="A44" s="22" t="s">
        <v>102</v>
      </c>
      <c r="B44" s="90"/>
      <c r="C44" s="155">
        <v>0</v>
      </c>
      <c r="D44" s="161"/>
      <c r="E44" s="168">
        <v>0</v>
      </c>
      <c r="F44" s="155">
        <v>0</v>
      </c>
      <c r="G44" s="169"/>
      <c r="H44" s="92"/>
      <c r="I44" s="101"/>
      <c r="K44" s="141"/>
      <c r="M44" s="142"/>
      <c r="N44" s="142"/>
    </row>
    <row r="45" spans="1:14" x14ac:dyDescent="0.2">
      <c r="A45" s="22" t="s">
        <v>103</v>
      </c>
      <c r="B45" s="90"/>
      <c r="C45" s="155">
        <v>0</v>
      </c>
      <c r="D45" s="161"/>
      <c r="E45" s="168">
        <v>0</v>
      </c>
      <c r="F45" s="155">
        <v>0</v>
      </c>
      <c r="G45" s="169"/>
      <c r="H45" s="92"/>
      <c r="I45" s="101"/>
      <c r="K45" s="141"/>
      <c r="M45" s="142"/>
      <c r="N45" s="142"/>
    </row>
    <row r="46" spans="1:14" ht="28.5" x14ac:dyDescent="0.2">
      <c r="A46" s="22" t="s">
        <v>104</v>
      </c>
      <c r="B46" s="90"/>
      <c r="C46" s="155">
        <v>0</v>
      </c>
      <c r="D46" s="161"/>
      <c r="E46" s="168">
        <v>0</v>
      </c>
      <c r="F46" s="155"/>
      <c r="G46" s="169"/>
      <c r="H46" s="92"/>
      <c r="I46" s="101"/>
      <c r="K46" s="141"/>
      <c r="M46" s="142"/>
      <c r="N46" s="142"/>
    </row>
    <row r="47" spans="1:14" x14ac:dyDescent="0.2">
      <c r="A47" s="22" t="s">
        <v>161</v>
      </c>
      <c r="B47" s="90"/>
      <c r="C47" s="155"/>
      <c r="D47" s="161"/>
      <c r="E47" s="168"/>
      <c r="F47" s="155">
        <v>0</v>
      </c>
      <c r="G47" s="155"/>
      <c r="H47" s="92"/>
      <c r="I47" s="101"/>
      <c r="K47" s="141"/>
      <c r="M47" s="142"/>
      <c r="N47" s="142"/>
    </row>
    <row r="48" spans="1:14" ht="28.5" x14ac:dyDescent="0.2">
      <c r="A48" s="22" t="s">
        <v>118</v>
      </c>
      <c r="B48" s="90"/>
      <c r="C48" s="155">
        <f>C44+C45+C46+C47</f>
        <v>0</v>
      </c>
      <c r="D48" s="161"/>
      <c r="E48" s="168">
        <v>0</v>
      </c>
      <c r="F48" s="155"/>
      <c r="G48" s="169"/>
      <c r="H48" s="92"/>
      <c r="I48" s="101"/>
      <c r="K48" s="141"/>
      <c r="M48" s="142"/>
      <c r="N48" s="142"/>
    </row>
    <row r="49" spans="1:14" x14ac:dyDescent="0.2">
      <c r="A49" s="20" t="s">
        <v>105</v>
      </c>
      <c r="B49" s="90"/>
      <c r="C49" s="155">
        <v>0</v>
      </c>
      <c r="D49" s="161"/>
      <c r="E49" s="168">
        <v>0</v>
      </c>
      <c r="F49" s="155"/>
      <c r="G49" s="169"/>
      <c r="H49" s="92"/>
      <c r="I49" s="101"/>
      <c r="K49" s="141"/>
      <c r="M49" s="142"/>
      <c r="N49" s="142"/>
    </row>
    <row r="50" spans="1:14" x14ac:dyDescent="0.2">
      <c r="A50" s="20" t="s">
        <v>114</v>
      </c>
      <c r="B50" s="90"/>
      <c r="C50" s="155"/>
      <c r="D50" s="161"/>
      <c r="E50" s="168"/>
      <c r="F50" s="155"/>
      <c r="G50" s="169"/>
      <c r="H50" s="92"/>
      <c r="I50" s="101"/>
      <c r="K50" s="141"/>
      <c r="M50" s="142"/>
      <c r="N50" s="142"/>
    </row>
    <row r="51" spans="1:14" x14ac:dyDescent="0.2">
      <c r="A51" s="20" t="s">
        <v>99</v>
      </c>
      <c r="B51" s="90"/>
      <c r="C51" s="155">
        <v>0</v>
      </c>
      <c r="D51" s="161"/>
      <c r="E51" s="168">
        <v>0</v>
      </c>
      <c r="F51" s="155"/>
      <c r="G51" s="169"/>
      <c r="H51" s="92"/>
      <c r="I51" s="101"/>
      <c r="K51" s="141"/>
      <c r="M51" s="142"/>
      <c r="N51" s="142"/>
    </row>
    <row r="52" spans="1:14" ht="28.5" x14ac:dyDescent="0.2">
      <c r="A52" s="22" t="s">
        <v>117</v>
      </c>
      <c r="B52" s="90"/>
      <c r="C52" s="156">
        <f>C41+C48</f>
        <v>13502432</v>
      </c>
      <c r="D52" s="156">
        <f t="shared" ref="D52:G52" si="9">D41+D48</f>
        <v>3931495</v>
      </c>
      <c r="E52" s="156">
        <f t="shared" si="9"/>
        <v>9570937</v>
      </c>
      <c r="F52" s="156">
        <f t="shared" si="9"/>
        <v>-55458441</v>
      </c>
      <c r="G52" s="156">
        <f t="shared" si="9"/>
        <v>-65284290</v>
      </c>
      <c r="H52" s="94"/>
      <c r="I52" s="101" t="e">
        <f>(D49-G49)/G49</f>
        <v>#DIV/0!</v>
      </c>
      <c r="K52" s="141" t="e">
        <f>C49/F49-100%</f>
        <v>#DIV/0!</v>
      </c>
      <c r="M52" s="142"/>
      <c r="N52" s="142"/>
    </row>
    <row r="53" spans="1:14" x14ac:dyDescent="0.2">
      <c r="A53" s="20" t="s">
        <v>105</v>
      </c>
      <c r="B53" s="90"/>
      <c r="C53" s="155"/>
      <c r="D53" s="161"/>
      <c r="E53" s="168"/>
      <c r="F53" s="156"/>
      <c r="G53" s="156"/>
      <c r="H53" s="92"/>
      <c r="I53" s="101"/>
      <c r="K53" s="141"/>
      <c r="M53" s="142"/>
      <c r="N53" s="142"/>
    </row>
    <row r="54" spans="1:14" x14ac:dyDescent="0.2">
      <c r="A54" s="20" t="s">
        <v>115</v>
      </c>
      <c r="B54" s="90"/>
      <c r="C54" s="156">
        <f>C39+C50</f>
        <v>13502432</v>
      </c>
      <c r="D54" s="156">
        <f t="shared" ref="D54:D55" si="10">D39+D50</f>
        <v>3931495</v>
      </c>
      <c r="E54" s="170">
        <v>9570937</v>
      </c>
      <c r="F54" s="155">
        <v>-38494898</v>
      </c>
      <c r="G54" s="155">
        <v>-45392412</v>
      </c>
      <c r="H54" s="94"/>
      <c r="I54" s="101" t="e">
        <f>(D51-G51)/G51</f>
        <v>#DIV/0!</v>
      </c>
      <c r="K54" s="141" t="e">
        <f>C51/F51-100%</f>
        <v>#DIV/0!</v>
      </c>
      <c r="M54" s="142"/>
      <c r="N54" s="142"/>
    </row>
    <row r="55" spans="1:14" x14ac:dyDescent="0.2">
      <c r="A55" s="20" t="s">
        <v>116</v>
      </c>
      <c r="B55" s="90"/>
      <c r="C55" s="156">
        <f>C40+C51</f>
        <v>0</v>
      </c>
      <c r="D55" s="156">
        <f t="shared" si="10"/>
        <v>0</v>
      </c>
      <c r="E55" s="170">
        <v>0</v>
      </c>
      <c r="F55" s="156">
        <v>-16963543</v>
      </c>
      <c r="G55" s="156">
        <v>-19891878</v>
      </c>
      <c r="H55" s="92"/>
      <c r="I55" s="101"/>
      <c r="K55" s="141">
        <f>C52/F52-100%</f>
        <v>-1.2434693755635864</v>
      </c>
      <c r="M55" s="142"/>
      <c r="N55" s="142"/>
    </row>
    <row r="56" spans="1:14" x14ac:dyDescent="0.2">
      <c r="A56" s="20"/>
      <c r="B56" s="90"/>
      <c r="C56" s="157"/>
      <c r="D56" s="171"/>
      <c r="E56" s="172"/>
      <c r="F56" s="155"/>
      <c r="G56" s="169"/>
      <c r="H56" s="92"/>
      <c r="I56" s="101"/>
      <c r="K56" s="141"/>
      <c r="M56" s="142"/>
      <c r="N56" s="142"/>
    </row>
    <row r="57" spans="1:14" x14ac:dyDescent="0.2">
      <c r="A57" s="23" t="s">
        <v>119</v>
      </c>
      <c r="B57" s="97" t="s">
        <v>212</v>
      </c>
      <c r="C57" s="173">
        <f>C39*1000/166639957</f>
        <v>81.027577317485751</v>
      </c>
      <c r="D57" s="173">
        <f t="shared" ref="D57" si="11">D39*1000/166639957</f>
        <v>23.592750927078072</v>
      </c>
      <c r="E57" s="174">
        <v>57.434826390407672</v>
      </c>
      <c r="F57" s="173">
        <v>-231.00640862503343</v>
      </c>
      <c r="G57" s="173">
        <v>-272.39812597887311</v>
      </c>
      <c r="H57" s="98"/>
      <c r="I57" s="101">
        <f>(D54-G54)/G54</f>
        <v>-1.0866112820794807</v>
      </c>
      <c r="K57" s="141">
        <f>C54/F54-100%</f>
        <v>-1.3507590018812363</v>
      </c>
      <c r="M57" s="142"/>
      <c r="N57" s="142"/>
    </row>
    <row r="58" spans="1:14" x14ac:dyDescent="0.2">
      <c r="B58" s="175"/>
      <c r="C58" s="176"/>
      <c r="D58" s="176"/>
      <c r="E58" s="177"/>
      <c r="F58" s="176"/>
      <c r="G58" s="176"/>
      <c r="H58" s="100"/>
    </row>
    <row r="59" spans="1:14" x14ac:dyDescent="0.2">
      <c r="A59" s="15" t="s">
        <v>216</v>
      </c>
      <c r="B59" s="175"/>
      <c r="D59" s="176"/>
      <c r="E59" s="177"/>
      <c r="F59" s="176" t="s">
        <v>224</v>
      </c>
      <c r="G59" s="176"/>
      <c r="H59" s="3"/>
    </row>
    <row r="60" spans="1:14" x14ac:dyDescent="0.2">
      <c r="A60" s="15"/>
      <c r="B60" s="175"/>
      <c r="D60" s="176"/>
      <c r="E60" s="177"/>
      <c r="F60" s="176"/>
      <c r="G60" s="176"/>
    </row>
    <row r="61" spans="1:14" x14ac:dyDescent="0.2">
      <c r="A61" s="15" t="str">
        <f>бб!A102</f>
        <v xml:space="preserve">Главный бухгалтер                                              </v>
      </c>
      <c r="B61" s="99"/>
      <c r="D61" s="16"/>
      <c r="F61" s="147" t="s">
        <v>225</v>
      </c>
    </row>
    <row r="62" spans="1:14" x14ac:dyDescent="0.2">
      <c r="A62" s="15"/>
      <c r="B62" s="13"/>
      <c r="C62" s="146"/>
    </row>
    <row r="63" spans="1:14" x14ac:dyDescent="0.2">
      <c r="A63" s="63" t="s">
        <v>55</v>
      </c>
      <c r="B63" s="13"/>
    </row>
    <row r="64" spans="1:14" x14ac:dyDescent="0.2">
      <c r="B64" s="13"/>
    </row>
  </sheetData>
  <mergeCells count="11">
    <mergeCell ref="A8:F8"/>
    <mergeCell ref="A10:F10"/>
    <mergeCell ref="A11:F11"/>
    <mergeCell ref="A12:F12"/>
    <mergeCell ref="A9:F9"/>
    <mergeCell ref="A16:F16"/>
    <mergeCell ref="A18:F18"/>
    <mergeCell ref="A20:F20"/>
    <mergeCell ref="A21:F21"/>
    <mergeCell ref="A13:F13"/>
    <mergeCell ref="A15:F15"/>
  </mergeCells>
  <phoneticPr fontId="2" type="noConversion"/>
  <pageMargins left="0.17" right="0.15748031496062992" top="0" bottom="0" header="0" footer="0"/>
  <pageSetup paperSize="9" scale="7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79"/>
  <sheetViews>
    <sheetView topLeftCell="A49" zoomScaleNormal="100" workbookViewId="0">
      <selection activeCell="C54" sqref="C54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19.5703125" style="193" customWidth="1"/>
    <col min="4" max="4" width="19.5703125" style="194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203" t="s">
        <v>227</v>
      </c>
      <c r="B5" s="203"/>
      <c r="C5" s="203"/>
      <c r="D5" s="203"/>
      <c r="E5" s="24"/>
    </row>
    <row r="6" spans="1:5" ht="18.75" customHeight="1" x14ac:dyDescent="0.3">
      <c r="A6" s="210"/>
      <c r="B6" s="211"/>
      <c r="C6" s="211"/>
      <c r="D6" s="211"/>
      <c r="E6" s="24"/>
    </row>
    <row r="7" spans="1:5" x14ac:dyDescent="0.2">
      <c r="A7" s="204"/>
      <c r="B7" s="204"/>
      <c r="C7" s="204"/>
      <c r="D7" s="204"/>
      <c r="E7" s="24"/>
    </row>
    <row r="8" spans="1:5" hidden="1" x14ac:dyDescent="0.2">
      <c r="A8" s="204" t="s">
        <v>70</v>
      </c>
      <c r="B8" s="204"/>
      <c r="C8" s="204"/>
      <c r="D8" s="204"/>
      <c r="E8" s="24"/>
    </row>
    <row r="9" spans="1:5" hidden="1" x14ac:dyDescent="0.2">
      <c r="A9" s="204" t="s">
        <v>71</v>
      </c>
      <c r="B9" s="204"/>
      <c r="C9" s="204"/>
      <c r="D9" s="204"/>
      <c r="E9" s="24"/>
    </row>
    <row r="10" spans="1:5" ht="16.5" hidden="1" customHeight="1" x14ac:dyDescent="0.2">
      <c r="A10" s="209" t="s">
        <v>123</v>
      </c>
      <c r="B10" s="209"/>
      <c r="C10" s="209"/>
      <c r="D10" s="209"/>
    </row>
    <row r="11" spans="1:5" ht="20.25" hidden="1" customHeight="1" x14ac:dyDescent="0.2">
      <c r="A11" s="209" t="s">
        <v>150</v>
      </c>
      <c r="B11" s="209"/>
      <c r="C11" s="209"/>
      <c r="D11" s="209"/>
    </row>
    <row r="12" spans="1:5" ht="12" hidden="1" customHeight="1" x14ac:dyDescent="0.2">
      <c r="A12" s="206" t="s">
        <v>93</v>
      </c>
      <c r="B12" s="207"/>
      <c r="C12" s="207"/>
      <c r="D12" s="207"/>
    </row>
    <row r="13" spans="1:5" ht="20.25" hidden="1" customHeight="1" x14ac:dyDescent="0.2">
      <c r="A13" s="57" t="s">
        <v>124</v>
      </c>
      <c r="B13" s="57"/>
      <c r="C13" s="179"/>
      <c r="D13" s="180"/>
    </row>
    <row r="14" spans="1:5" ht="18.75" hidden="1" customHeight="1" x14ac:dyDescent="0.2">
      <c r="A14" s="57" t="s">
        <v>125</v>
      </c>
      <c r="B14" s="57"/>
      <c r="C14" s="179"/>
      <c r="D14" s="180"/>
    </row>
    <row r="15" spans="1:5" ht="23.25" customHeight="1" x14ac:dyDescent="0.2">
      <c r="A15" s="202" t="s">
        <v>166</v>
      </c>
      <c r="B15" s="202"/>
      <c r="C15" s="202"/>
      <c r="D15" s="202"/>
    </row>
    <row r="16" spans="1:5" ht="41.25" customHeight="1" x14ac:dyDescent="0.2">
      <c r="A16" s="8" t="s">
        <v>2</v>
      </c>
      <c r="B16" s="8" t="s">
        <v>175</v>
      </c>
      <c r="C16" s="181" t="str">
        <f>ф2!C22</f>
        <v>За шесть месяцев, закончившихся  30 июня 2023 года</v>
      </c>
      <c r="D16" s="182" t="str">
        <f>ф2!F22</f>
        <v>За шесть месяцев, закончившихся  30 июня 2022 года</v>
      </c>
    </row>
    <row r="17" spans="1:4" s="5" customFormat="1" ht="21" customHeight="1" x14ac:dyDescent="0.2">
      <c r="A17" s="68" t="s">
        <v>4</v>
      </c>
      <c r="B17" s="69"/>
      <c r="C17" s="183"/>
      <c r="D17" s="184"/>
    </row>
    <row r="18" spans="1:4" ht="12" customHeight="1" x14ac:dyDescent="0.2">
      <c r="A18" s="20" t="s">
        <v>28</v>
      </c>
      <c r="B18" s="25"/>
      <c r="C18" s="185">
        <f>SUM(C20:C24)</f>
        <v>58141674</v>
      </c>
      <c r="D18" s="185">
        <f>SUM(D20:D24)</f>
        <v>56465855</v>
      </c>
    </row>
    <row r="19" spans="1:4" ht="12" customHeight="1" x14ac:dyDescent="0.2">
      <c r="A19" s="20" t="s">
        <v>7</v>
      </c>
      <c r="B19" s="25"/>
      <c r="C19" s="185"/>
      <c r="D19" s="185"/>
    </row>
    <row r="20" spans="1:4" ht="12" customHeight="1" x14ac:dyDescent="0.2">
      <c r="A20" s="20" t="s">
        <v>81</v>
      </c>
      <c r="B20" s="25"/>
      <c r="C20" s="185">
        <v>57934563</v>
      </c>
      <c r="D20" s="185">
        <v>56162151</v>
      </c>
    </row>
    <row r="21" spans="1:4" ht="12" customHeight="1" x14ac:dyDescent="0.2">
      <c r="A21" s="20" t="s">
        <v>82</v>
      </c>
      <c r="B21" s="25"/>
      <c r="C21" s="185" t="s">
        <v>159</v>
      </c>
      <c r="D21" s="185" t="s">
        <v>159</v>
      </c>
    </row>
    <row r="22" spans="1:4" ht="12" customHeight="1" x14ac:dyDescent="0.2">
      <c r="A22" s="20" t="s">
        <v>83</v>
      </c>
      <c r="B22" s="25"/>
      <c r="C22" s="185" t="s">
        <v>159</v>
      </c>
      <c r="D22" s="185" t="s">
        <v>159</v>
      </c>
    </row>
    <row r="23" spans="1:4" ht="12" customHeight="1" x14ac:dyDescent="0.2">
      <c r="A23" s="20" t="s">
        <v>8</v>
      </c>
      <c r="B23" s="25"/>
      <c r="C23" s="185" t="s">
        <v>159</v>
      </c>
      <c r="D23" s="185" t="s">
        <v>159</v>
      </c>
    </row>
    <row r="24" spans="1:4" ht="12" customHeight="1" x14ac:dyDescent="0.2">
      <c r="A24" s="20" t="s">
        <v>9</v>
      </c>
      <c r="B24" s="25"/>
      <c r="C24" s="185">
        <v>207111</v>
      </c>
      <c r="D24" s="185">
        <v>303704</v>
      </c>
    </row>
    <row r="25" spans="1:4" ht="12" customHeight="1" x14ac:dyDescent="0.2">
      <c r="A25" s="20" t="s">
        <v>29</v>
      </c>
      <c r="B25" s="25"/>
      <c r="C25" s="185">
        <f>SUM(C27:C32)</f>
        <v>49638162</v>
      </c>
      <c r="D25" s="185">
        <f>SUM(D27:D32)</f>
        <v>48019828</v>
      </c>
    </row>
    <row r="26" spans="1:4" ht="12" customHeight="1" x14ac:dyDescent="0.2">
      <c r="A26" s="20" t="s">
        <v>7</v>
      </c>
      <c r="B26" s="25"/>
      <c r="C26" s="185"/>
      <c r="D26" s="185"/>
    </row>
    <row r="27" spans="1:4" ht="12" customHeight="1" x14ac:dyDescent="0.2">
      <c r="A27" s="20" t="s">
        <v>84</v>
      </c>
      <c r="B27" s="25"/>
      <c r="C27" s="185">
        <v>23455622</v>
      </c>
      <c r="D27" s="185">
        <v>21353916</v>
      </c>
    </row>
    <row r="28" spans="1:4" ht="12" customHeight="1" x14ac:dyDescent="0.2">
      <c r="A28" s="20" t="s">
        <v>10</v>
      </c>
      <c r="B28" s="25"/>
      <c r="C28" s="185">
        <v>962687</v>
      </c>
      <c r="D28" s="185">
        <v>91465</v>
      </c>
    </row>
    <row r="29" spans="1:4" ht="12" customHeight="1" x14ac:dyDescent="0.2">
      <c r="A29" s="20" t="s">
        <v>11</v>
      </c>
      <c r="B29" s="25"/>
      <c r="C29" s="185">
        <f>5491344+666909</f>
        <v>6158253</v>
      </c>
      <c r="D29" s="185">
        <v>5074757</v>
      </c>
    </row>
    <row r="30" spans="1:4" ht="12" customHeight="1" x14ac:dyDescent="0.2">
      <c r="A30" s="20" t="s">
        <v>100</v>
      </c>
      <c r="B30" s="25"/>
      <c r="C30" s="185">
        <v>12088641</v>
      </c>
      <c r="D30" s="185">
        <v>13880733</v>
      </c>
    </row>
    <row r="31" spans="1:4" ht="12" customHeight="1" x14ac:dyDescent="0.2">
      <c r="A31" s="20" t="s">
        <v>85</v>
      </c>
      <c r="B31" s="25"/>
      <c r="C31" s="185">
        <f>104858+6316342</f>
        <v>6421200</v>
      </c>
      <c r="D31" s="185">
        <v>6059078</v>
      </c>
    </row>
    <row r="32" spans="1:4" ht="12" customHeight="1" x14ac:dyDescent="0.2">
      <c r="A32" s="20" t="s">
        <v>12</v>
      </c>
      <c r="B32" s="25"/>
      <c r="C32" s="185">
        <f>551758+1</f>
        <v>551759</v>
      </c>
      <c r="D32" s="185">
        <v>1559879</v>
      </c>
    </row>
    <row r="33" spans="1:4" ht="12" customHeight="1" x14ac:dyDescent="0.2">
      <c r="A33" s="23" t="s">
        <v>86</v>
      </c>
      <c r="B33" s="26"/>
      <c r="C33" s="186">
        <f>C18-C25</f>
        <v>8503512</v>
      </c>
      <c r="D33" s="186">
        <f>D18-D25</f>
        <v>8446027</v>
      </c>
    </row>
    <row r="34" spans="1:4" s="24" customFormat="1" ht="21" customHeight="1" x14ac:dyDescent="0.2">
      <c r="A34" s="11" t="s">
        <v>5</v>
      </c>
      <c r="B34" s="11"/>
      <c r="C34" s="187"/>
      <c r="D34" s="187"/>
    </row>
    <row r="35" spans="1:4" ht="12" customHeight="1" x14ac:dyDescent="0.2">
      <c r="A35" s="20" t="s">
        <v>30</v>
      </c>
      <c r="B35" s="25"/>
      <c r="C35" s="185">
        <f>SUM(C36:C42)</f>
        <v>3355762</v>
      </c>
      <c r="D35" s="185">
        <f>SUM(D36:D42)</f>
        <v>2302213</v>
      </c>
    </row>
    <row r="36" spans="1:4" ht="12" customHeight="1" x14ac:dyDescent="0.2">
      <c r="A36" s="20" t="s">
        <v>7</v>
      </c>
      <c r="B36" s="25"/>
      <c r="C36" s="185"/>
      <c r="D36" s="185"/>
    </row>
    <row r="37" spans="1:4" ht="12" customHeight="1" x14ac:dyDescent="0.2">
      <c r="A37" s="20" t="s">
        <v>13</v>
      </c>
      <c r="B37" s="25"/>
      <c r="C37" s="185" t="s">
        <v>159</v>
      </c>
      <c r="D37" s="185" t="s">
        <v>159</v>
      </c>
    </row>
    <row r="38" spans="1:4" ht="12" customHeight="1" x14ac:dyDescent="0.2">
      <c r="A38" s="20" t="s">
        <v>14</v>
      </c>
      <c r="B38" s="25"/>
      <c r="C38" s="185">
        <v>1280000</v>
      </c>
      <c r="D38" s="185"/>
    </row>
    <row r="39" spans="1:4" ht="12" customHeight="1" x14ac:dyDescent="0.2">
      <c r="A39" s="20" t="s">
        <v>15</v>
      </c>
      <c r="B39" s="25"/>
      <c r="C39" s="185" t="s">
        <v>159</v>
      </c>
      <c r="D39" s="185" t="s">
        <v>159</v>
      </c>
    </row>
    <row r="40" spans="1:4" ht="12" customHeight="1" x14ac:dyDescent="0.2">
      <c r="A40" s="20" t="s">
        <v>16</v>
      </c>
      <c r="B40" s="25"/>
      <c r="C40" s="185" t="s">
        <v>159</v>
      </c>
      <c r="D40" s="185" t="s">
        <v>159</v>
      </c>
    </row>
    <row r="41" spans="1:4" ht="12" customHeight="1" x14ac:dyDescent="0.2">
      <c r="A41" s="20" t="s">
        <v>87</v>
      </c>
      <c r="B41" s="25"/>
      <c r="C41" s="185"/>
      <c r="D41" s="185"/>
    </row>
    <row r="42" spans="1:4" ht="12" customHeight="1" x14ac:dyDescent="0.2">
      <c r="A42" s="20" t="s">
        <v>9</v>
      </c>
      <c r="B42" s="25"/>
      <c r="C42" s="185">
        <v>2075762</v>
      </c>
      <c r="D42" s="185">
        <v>2302213</v>
      </c>
    </row>
    <row r="43" spans="1:4" ht="12" customHeight="1" x14ac:dyDescent="0.2">
      <c r="A43" s="20" t="s">
        <v>31</v>
      </c>
      <c r="B43" s="25"/>
      <c r="C43" s="185">
        <f>SUM(C45:C50)</f>
        <v>3914876</v>
      </c>
      <c r="D43" s="185">
        <f>SUM(D45:D50)</f>
        <v>4618268</v>
      </c>
    </row>
    <row r="44" spans="1:4" ht="12" customHeight="1" x14ac:dyDescent="0.2">
      <c r="A44" s="20" t="s">
        <v>7</v>
      </c>
      <c r="B44" s="25"/>
      <c r="C44" s="185"/>
      <c r="D44" s="185"/>
    </row>
    <row r="45" spans="1:4" ht="12" customHeight="1" x14ac:dyDescent="0.2">
      <c r="A45" s="20" t="s">
        <v>18</v>
      </c>
      <c r="B45" s="25"/>
      <c r="C45" s="185">
        <v>42673</v>
      </c>
      <c r="D45" s="185">
        <v>186993</v>
      </c>
    </row>
    <row r="46" spans="1:4" ht="12" customHeight="1" x14ac:dyDescent="0.2">
      <c r="A46" s="20" t="s">
        <v>17</v>
      </c>
      <c r="B46" s="25"/>
      <c r="C46" s="185" t="s">
        <v>140</v>
      </c>
      <c r="D46" s="185" t="s">
        <v>140</v>
      </c>
    </row>
    <row r="47" spans="1:4" ht="12" customHeight="1" x14ac:dyDescent="0.2">
      <c r="A47" s="20" t="s">
        <v>19</v>
      </c>
      <c r="B47" s="25"/>
      <c r="C47" s="185">
        <v>3869671</v>
      </c>
      <c r="D47" s="185">
        <v>3255424</v>
      </c>
    </row>
    <row r="48" spans="1:4" ht="12" customHeight="1" x14ac:dyDescent="0.2">
      <c r="A48" s="20" t="s">
        <v>20</v>
      </c>
      <c r="B48" s="25"/>
      <c r="C48" s="185">
        <v>0</v>
      </c>
      <c r="D48" s="185">
        <v>0</v>
      </c>
    </row>
    <row r="49" spans="1:4" ht="12" customHeight="1" x14ac:dyDescent="0.2">
      <c r="A49" s="20" t="s">
        <v>88</v>
      </c>
      <c r="B49" s="25"/>
      <c r="C49" s="185"/>
      <c r="D49" s="185"/>
    </row>
    <row r="50" spans="1:4" ht="12" customHeight="1" x14ac:dyDescent="0.2">
      <c r="A50" s="20" t="s">
        <v>21</v>
      </c>
      <c r="B50" s="25"/>
      <c r="C50" s="185">
        <v>2532</v>
      </c>
      <c r="D50" s="185">
        <v>1175851</v>
      </c>
    </row>
    <row r="51" spans="1:4" ht="12" customHeight="1" x14ac:dyDescent="0.2">
      <c r="A51" s="23" t="s">
        <v>89</v>
      </c>
      <c r="B51" s="26"/>
      <c r="C51" s="186">
        <f>C35-C43</f>
        <v>-559114</v>
      </c>
      <c r="D51" s="186">
        <f>D35-D43</f>
        <v>-2316055</v>
      </c>
    </row>
    <row r="52" spans="1:4" ht="21" customHeight="1" x14ac:dyDescent="0.2">
      <c r="A52" s="70" t="s">
        <v>6</v>
      </c>
      <c r="B52" s="15"/>
      <c r="C52" s="188"/>
      <c r="D52" s="188"/>
    </row>
    <row r="53" spans="1:4" ht="12" customHeight="1" x14ac:dyDescent="0.2">
      <c r="A53" s="20" t="s">
        <v>28</v>
      </c>
      <c r="B53" s="25"/>
      <c r="C53" s="185">
        <f>SUM(C55:C58)</f>
        <v>13879740</v>
      </c>
      <c r="D53" s="185">
        <f>SUM(D55:D58)</f>
        <v>78206660</v>
      </c>
    </row>
    <row r="54" spans="1:4" ht="12" customHeight="1" x14ac:dyDescent="0.2">
      <c r="A54" s="20" t="s">
        <v>7</v>
      </c>
      <c r="B54" s="25"/>
      <c r="C54" s="185"/>
      <c r="D54" s="185"/>
    </row>
    <row r="55" spans="1:4" ht="12" customHeight="1" x14ac:dyDescent="0.2">
      <c r="A55" s="20" t="s">
        <v>22</v>
      </c>
      <c r="B55" s="25"/>
      <c r="C55" s="185"/>
      <c r="D55" s="185"/>
    </row>
    <row r="56" spans="1:4" ht="12" customHeight="1" x14ac:dyDescent="0.2">
      <c r="A56" s="20" t="s">
        <v>23</v>
      </c>
      <c r="B56" s="25"/>
      <c r="C56" s="185">
        <v>11129740</v>
      </c>
      <c r="D56" s="185">
        <v>78206660</v>
      </c>
    </row>
    <row r="57" spans="1:4" x14ac:dyDescent="0.2">
      <c r="A57" s="30" t="s">
        <v>152</v>
      </c>
      <c r="B57" s="25"/>
      <c r="C57" s="185"/>
      <c r="D57" s="185" t="s">
        <v>140</v>
      </c>
    </row>
    <row r="58" spans="1:4" ht="12" customHeight="1" x14ac:dyDescent="0.2">
      <c r="A58" s="20" t="s">
        <v>9</v>
      </c>
      <c r="B58" s="25"/>
      <c r="C58" s="185">
        <v>2750000</v>
      </c>
      <c r="D58" s="185" t="s">
        <v>140</v>
      </c>
    </row>
    <row r="59" spans="1:4" ht="12" customHeight="1" x14ac:dyDescent="0.2">
      <c r="A59" s="20" t="s">
        <v>32</v>
      </c>
      <c r="B59" s="25"/>
      <c r="C59" s="185">
        <f>SUM(C61:C65)</f>
        <v>18515961</v>
      </c>
      <c r="D59" s="185">
        <f>SUM(D61:D65)</f>
        <v>85109091</v>
      </c>
    </row>
    <row r="60" spans="1:4" ht="12" customHeight="1" x14ac:dyDescent="0.2">
      <c r="A60" s="20" t="s">
        <v>7</v>
      </c>
      <c r="B60" s="25"/>
      <c r="C60" s="185"/>
      <c r="D60" s="185"/>
    </row>
    <row r="61" spans="1:4" ht="12" customHeight="1" x14ac:dyDescent="0.2">
      <c r="A61" s="20" t="s">
        <v>24</v>
      </c>
      <c r="B61" s="25"/>
      <c r="C61" s="185">
        <v>17561026</v>
      </c>
      <c r="D61" s="185">
        <v>83250636</v>
      </c>
    </row>
    <row r="62" spans="1:4" ht="12" customHeight="1" x14ac:dyDescent="0.2">
      <c r="A62" s="20" t="s">
        <v>153</v>
      </c>
      <c r="B62" s="25"/>
      <c r="C62" s="185" t="s">
        <v>159</v>
      </c>
      <c r="D62" s="185" t="s">
        <v>159</v>
      </c>
    </row>
    <row r="63" spans="1:4" ht="12" customHeight="1" x14ac:dyDescent="0.2">
      <c r="A63" s="20" t="s">
        <v>25</v>
      </c>
      <c r="B63" s="25"/>
      <c r="C63" s="185"/>
      <c r="D63" s="185"/>
    </row>
    <row r="64" spans="1:4" ht="12" customHeight="1" x14ac:dyDescent="0.2">
      <c r="A64" s="20" t="s">
        <v>100</v>
      </c>
      <c r="B64" s="25"/>
      <c r="C64" s="185" t="s">
        <v>140</v>
      </c>
      <c r="D64" s="185" t="s">
        <v>140</v>
      </c>
    </row>
    <row r="65" spans="1:5" ht="12" customHeight="1" x14ac:dyDescent="0.2">
      <c r="A65" s="20" t="s">
        <v>9</v>
      </c>
      <c r="B65" s="25"/>
      <c r="C65" s="185">
        <v>954935</v>
      </c>
      <c r="D65" s="185">
        <v>1858455</v>
      </c>
    </row>
    <row r="66" spans="1:5" ht="12" customHeight="1" x14ac:dyDescent="0.2">
      <c r="A66" s="23" t="s">
        <v>90</v>
      </c>
      <c r="B66" s="26"/>
      <c r="C66" s="186">
        <f>C53-C59</f>
        <v>-4636221</v>
      </c>
      <c r="D66" s="186">
        <f>D53-D59</f>
        <v>-6902431</v>
      </c>
    </row>
    <row r="67" spans="1:5" ht="12" customHeight="1" x14ac:dyDescent="0.2">
      <c r="A67" s="21" t="s">
        <v>26</v>
      </c>
      <c r="B67" s="27"/>
      <c r="C67" s="189">
        <f>C33+C51+C66</f>
        <v>3308177</v>
      </c>
      <c r="D67" s="189">
        <f>D33+D51+D66</f>
        <v>-772459</v>
      </c>
    </row>
    <row r="68" spans="1:5" ht="12" customHeight="1" x14ac:dyDescent="0.2">
      <c r="A68" s="23" t="s">
        <v>27</v>
      </c>
      <c r="B68" s="26"/>
      <c r="C68" s="186"/>
      <c r="D68" s="186"/>
    </row>
    <row r="69" spans="1:5" ht="12" customHeight="1" x14ac:dyDescent="0.2">
      <c r="A69" s="20" t="s">
        <v>165</v>
      </c>
      <c r="B69" s="25"/>
      <c r="C69" s="185">
        <v>-138559</v>
      </c>
      <c r="D69" s="185">
        <v>-343597</v>
      </c>
    </row>
    <row r="70" spans="1:5" ht="12" customHeight="1" x14ac:dyDescent="0.2">
      <c r="A70" s="20" t="s">
        <v>201</v>
      </c>
      <c r="B70" s="25"/>
      <c r="C70" s="185">
        <v>-492</v>
      </c>
      <c r="D70" s="185"/>
    </row>
    <row r="71" spans="1:5" ht="12" customHeight="1" x14ac:dyDescent="0.2">
      <c r="A71" s="20" t="s">
        <v>91</v>
      </c>
      <c r="B71" s="25"/>
      <c r="C71" s="185">
        <v>1851902</v>
      </c>
      <c r="D71" s="185">
        <v>3445894</v>
      </c>
    </row>
    <row r="72" spans="1:5" ht="12" customHeight="1" x14ac:dyDescent="0.2">
      <c r="A72" s="23" t="s">
        <v>92</v>
      </c>
      <c r="B72" s="26"/>
      <c r="C72" s="186">
        <f>C71+C67+C69+C70</f>
        <v>5021028</v>
      </c>
      <c r="D72" s="186">
        <f>D71+D67+D69+D70</f>
        <v>2329838</v>
      </c>
      <c r="E72" s="178">
        <f>бб!C51-C72</f>
        <v>0</v>
      </c>
    </row>
    <row r="73" spans="1:5" ht="12" customHeight="1" x14ac:dyDescent="0.2">
      <c r="A73" s="28"/>
      <c r="B73" s="29"/>
      <c r="C73" s="190"/>
      <c r="D73" s="191"/>
    </row>
    <row r="74" spans="1:5" ht="12" customHeight="1" x14ac:dyDescent="0.2">
      <c r="B74" s="13"/>
      <c r="C74" s="192"/>
      <c r="D74" s="188"/>
    </row>
    <row r="75" spans="1:5" ht="12" customHeight="1" x14ac:dyDescent="0.2">
      <c r="A75" s="15" t="str">
        <f>бб!A99</f>
        <v>Генеральный директор</v>
      </c>
      <c r="B75" s="13"/>
      <c r="C75" s="212" t="str">
        <f>бб!D99</f>
        <v>О.А. Щемель</v>
      </c>
      <c r="D75" s="213"/>
    </row>
    <row r="76" spans="1:5" ht="12" customHeight="1" x14ac:dyDescent="0.2"/>
    <row r="78" spans="1:5" x14ac:dyDescent="0.2">
      <c r="A78" s="15" t="str">
        <f>бб!A102</f>
        <v xml:space="preserve">Главный бухгалтер                                              </v>
      </c>
      <c r="B78" s="13"/>
      <c r="C78" s="208" t="s">
        <v>156</v>
      </c>
      <c r="D78" s="208"/>
    </row>
    <row r="79" spans="1:5" x14ac:dyDescent="0.2">
      <c r="A79" s="152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R60"/>
  <sheetViews>
    <sheetView topLeftCell="A19" workbookViewId="0">
      <selection activeCell="J58" sqref="J58"/>
    </sheetView>
  </sheetViews>
  <sheetFormatPr defaultRowHeight="12.75" x14ac:dyDescent="0.2"/>
  <cols>
    <col min="1" max="1" width="34.5703125" style="31" customWidth="1"/>
    <col min="2" max="2" width="6.42578125" style="31" bestFit="1" customWidth="1"/>
    <col min="3" max="3" width="11.42578125" style="31" customWidth="1"/>
    <col min="4" max="4" width="10.28515625" style="31" bestFit="1" customWidth="1"/>
    <col min="5" max="5" width="14.85546875" style="31" customWidth="1"/>
    <col min="6" max="6" width="11.28515625" style="31" customWidth="1"/>
    <col min="7" max="7" width="10.85546875" style="31" customWidth="1"/>
    <col min="8" max="8" width="14.5703125" style="31" customWidth="1"/>
    <col min="9" max="9" width="11.140625" style="31" bestFit="1" customWidth="1"/>
    <col min="10" max="10" width="9.7109375" style="31" customWidth="1"/>
    <col min="11" max="11" width="10.42578125" style="31" hidden="1" customWidth="1"/>
    <col min="12" max="12" width="9.28515625" style="31" hidden="1" customWidth="1"/>
    <col min="13" max="13" width="14.28515625" style="31" hidden="1" customWidth="1"/>
    <col min="14" max="14" width="11" style="31" hidden="1" customWidth="1"/>
    <col min="15" max="15" width="15.5703125" style="31" hidden="1" customWidth="1"/>
    <col min="16" max="16" width="17" style="31" hidden="1" customWidth="1"/>
    <col min="17" max="17" width="13.28515625" style="31" customWidth="1"/>
    <col min="18" max="18" width="13.42578125" style="31" customWidth="1"/>
    <col min="19" max="16384" width="9.140625" style="31"/>
  </cols>
  <sheetData>
    <row r="8" spans="1:11" ht="15" customHeight="1" x14ac:dyDescent="0.2"/>
    <row r="9" spans="1:11" s="33" customFormat="1" ht="35.25" customHeight="1" x14ac:dyDescent="0.3">
      <c r="A9" s="203" t="s">
        <v>229</v>
      </c>
      <c r="B9" s="203"/>
      <c r="C9" s="203"/>
      <c r="D9" s="203"/>
      <c r="E9" s="203"/>
      <c r="F9" s="203"/>
      <c r="G9" s="203"/>
      <c r="H9" s="203"/>
      <c r="I9" s="203"/>
      <c r="J9" s="32"/>
    </row>
    <row r="10" spans="1:11" s="33" customFormat="1" ht="19.5" x14ac:dyDescent="0.3">
      <c r="A10" s="205"/>
      <c r="B10" s="205"/>
      <c r="C10" s="205"/>
      <c r="D10" s="205"/>
      <c r="E10" s="205"/>
      <c r="F10" s="205"/>
      <c r="G10" s="205"/>
      <c r="H10" s="205"/>
      <c r="I10" s="205"/>
      <c r="J10" s="32"/>
    </row>
    <row r="11" spans="1:11" s="33" customFormat="1" ht="19.5" x14ac:dyDescent="0.3">
      <c r="A11" s="204"/>
      <c r="B11" s="204"/>
      <c r="C11" s="204"/>
      <c r="D11" s="204"/>
      <c r="E11" s="204"/>
      <c r="F11" s="204"/>
      <c r="G11" s="204"/>
      <c r="H11" s="204"/>
      <c r="I11" s="204"/>
      <c r="J11" s="32"/>
    </row>
    <row r="12" spans="1:11" s="33" customFormat="1" ht="20.25" hidden="1" x14ac:dyDescent="0.35">
      <c r="A12" s="204" t="s">
        <v>69</v>
      </c>
      <c r="B12" s="204"/>
      <c r="C12" s="204"/>
      <c r="D12" s="204"/>
      <c r="E12" s="204"/>
      <c r="F12" s="204"/>
      <c r="G12" s="204"/>
      <c r="H12" s="204"/>
      <c r="I12" s="204"/>
      <c r="J12" s="34"/>
    </row>
    <row r="13" spans="1:11" s="36" customFormat="1" ht="15.75" hidden="1" x14ac:dyDescent="0.3">
      <c r="A13" s="5" t="s">
        <v>126</v>
      </c>
      <c r="B13" s="15"/>
      <c r="C13" s="15"/>
      <c r="D13" s="15"/>
      <c r="E13" s="15"/>
      <c r="F13" s="15"/>
      <c r="G13" s="15"/>
      <c r="H13" s="15"/>
      <c r="I13" s="15"/>
      <c r="J13" s="1"/>
      <c r="K13" s="40"/>
    </row>
    <row r="14" spans="1:11" s="36" customFormat="1" ht="15.75" hidden="1" x14ac:dyDescent="0.3">
      <c r="A14" s="5" t="s">
        <v>151</v>
      </c>
      <c r="B14" s="5"/>
      <c r="C14" s="5"/>
      <c r="D14" s="5"/>
      <c r="E14" s="5"/>
      <c r="F14" s="5"/>
      <c r="G14" s="5"/>
      <c r="H14" s="5"/>
      <c r="I14" s="5"/>
      <c r="J14" s="1"/>
      <c r="K14" s="40"/>
    </row>
    <row r="15" spans="1:11" s="36" customFormat="1" ht="15.75" hidden="1" x14ac:dyDescent="0.3">
      <c r="A15" s="220" t="s">
        <v>1</v>
      </c>
      <c r="B15" s="220"/>
      <c r="C15" s="220"/>
      <c r="D15" s="220"/>
      <c r="E15" s="220"/>
      <c r="F15" s="220"/>
      <c r="G15" s="220"/>
      <c r="H15" s="220"/>
      <c r="I15" s="220"/>
      <c r="J15" s="1"/>
      <c r="K15" s="40"/>
    </row>
    <row r="16" spans="1:11" s="36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40"/>
    </row>
    <row r="17" spans="1:11" s="36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40"/>
    </row>
    <row r="18" spans="1:11" s="35" customFormat="1" ht="13.5" hidden="1" x14ac:dyDescent="0.25">
      <c r="A18" s="63"/>
      <c r="B18" s="63"/>
      <c r="C18" s="64"/>
      <c r="D18" s="64"/>
      <c r="E18" s="59"/>
      <c r="F18" s="59"/>
      <c r="G18" s="59"/>
      <c r="H18" s="59"/>
      <c r="I18" s="59"/>
      <c r="J18" s="41"/>
      <c r="K18" s="41"/>
    </row>
    <row r="19" spans="1:11" s="35" customFormat="1" ht="14.25" x14ac:dyDescent="0.25">
      <c r="A19" s="202" t="s">
        <v>166</v>
      </c>
      <c r="B19" s="202"/>
      <c r="C19" s="202"/>
      <c r="D19" s="202"/>
      <c r="E19" s="202"/>
      <c r="F19" s="202"/>
      <c r="G19" s="120"/>
      <c r="H19" s="120"/>
      <c r="I19" s="120"/>
      <c r="J19" s="2"/>
    </row>
    <row r="20" spans="1:11" ht="12.75" customHeight="1" x14ac:dyDescent="0.2">
      <c r="A20" s="218"/>
      <c r="B20" s="219" t="s">
        <v>175</v>
      </c>
      <c r="C20" s="217" t="s">
        <v>57</v>
      </c>
      <c r="D20" s="217"/>
      <c r="E20" s="218"/>
      <c r="F20" s="218"/>
      <c r="G20" s="218"/>
      <c r="H20" s="218" t="s">
        <v>33</v>
      </c>
      <c r="I20" s="218" t="s">
        <v>54</v>
      </c>
    </row>
    <row r="21" spans="1:11" ht="38.25" x14ac:dyDescent="0.2">
      <c r="A21" s="218"/>
      <c r="B21" s="218"/>
      <c r="C21" s="43" t="s">
        <v>50</v>
      </c>
      <c r="D21" s="43" t="s">
        <v>95</v>
      </c>
      <c r="E21" s="43" t="s">
        <v>53</v>
      </c>
      <c r="F21" s="42" t="s">
        <v>58</v>
      </c>
      <c r="G21" s="42" t="s">
        <v>59</v>
      </c>
      <c r="H21" s="218"/>
      <c r="I21" s="218"/>
    </row>
    <row r="22" spans="1:11" x14ac:dyDescent="0.2">
      <c r="A22" s="44">
        <v>1</v>
      </c>
      <c r="B22" s="44">
        <v>2</v>
      </c>
      <c r="C22" s="44">
        <v>3</v>
      </c>
      <c r="D22" s="44">
        <v>4</v>
      </c>
      <c r="E22" s="44">
        <v>5</v>
      </c>
      <c r="F22" s="44">
        <v>6</v>
      </c>
      <c r="G22" s="44">
        <v>7</v>
      </c>
      <c r="H22" s="44">
        <v>8</v>
      </c>
      <c r="I22" s="44">
        <v>9</v>
      </c>
    </row>
    <row r="23" spans="1:11" x14ac:dyDescent="0.2">
      <c r="A23" s="45" t="s">
        <v>214</v>
      </c>
      <c r="B23" s="46"/>
      <c r="C23" s="86">
        <f>C25</f>
        <v>16663996</v>
      </c>
      <c r="D23" s="86">
        <f>D25</f>
        <v>1188176</v>
      </c>
      <c r="E23" s="47">
        <f>E25</f>
        <v>45949076</v>
      </c>
      <c r="F23" s="71">
        <f>F25</f>
        <v>-19078496</v>
      </c>
      <c r="G23" s="47">
        <f>SUM(C23:F23)</f>
        <v>44722752</v>
      </c>
      <c r="H23" s="86">
        <f>H25</f>
        <v>0</v>
      </c>
      <c r="I23" s="47">
        <f>G23</f>
        <v>44722752</v>
      </c>
    </row>
    <row r="24" spans="1:11" x14ac:dyDescent="0.2">
      <c r="A24" s="48" t="s">
        <v>96</v>
      </c>
      <c r="B24" s="46"/>
      <c r="C24" s="47">
        <v>0</v>
      </c>
      <c r="D24" s="47">
        <v>0</v>
      </c>
      <c r="E24" s="47">
        <v>0</v>
      </c>
      <c r="F24" s="71">
        <v>0</v>
      </c>
      <c r="G24" s="47">
        <f>SUM(C24:F24)</f>
        <v>0</v>
      </c>
      <c r="H24" s="49">
        <v>0</v>
      </c>
      <c r="I24" s="47">
        <f>G24</f>
        <v>0</v>
      </c>
    </row>
    <row r="25" spans="1:11" x14ac:dyDescent="0.2">
      <c r="A25" s="45" t="s">
        <v>60</v>
      </c>
      <c r="B25" s="46"/>
      <c r="C25" s="47">
        <f>бб!D60</f>
        <v>16663996</v>
      </c>
      <c r="D25" s="47">
        <f>бб!D61</f>
        <v>1188176</v>
      </c>
      <c r="E25" s="47">
        <f>бб!D64</f>
        <v>45949076</v>
      </c>
      <c r="F25" s="71">
        <f>бб!D65</f>
        <v>-19078496</v>
      </c>
      <c r="G25" s="47">
        <f>SUM(C25:F25)</f>
        <v>44722752</v>
      </c>
      <c r="H25" s="47">
        <f>бб!D66</f>
        <v>0</v>
      </c>
      <c r="I25" s="47">
        <f>G25+H25</f>
        <v>44722752</v>
      </c>
    </row>
    <row r="26" spans="1:11" x14ac:dyDescent="0.2">
      <c r="A26" s="48" t="s">
        <v>61</v>
      </c>
      <c r="B26" s="46"/>
      <c r="C26" s="47">
        <v>0</v>
      </c>
      <c r="D26" s="47">
        <v>0</v>
      </c>
      <c r="E26" s="71">
        <f>бб!C64-бб!D64</f>
        <v>-2700767</v>
      </c>
      <c r="F26" s="71">
        <f>-E26</f>
        <v>2700767</v>
      </c>
      <c r="G26" s="47">
        <f>SUM(C26:F26)</f>
        <v>0</v>
      </c>
      <c r="H26" s="49">
        <v>0</v>
      </c>
      <c r="I26" s="47">
        <f>G26</f>
        <v>0</v>
      </c>
    </row>
    <row r="27" spans="1:11" x14ac:dyDescent="0.2">
      <c r="A27" s="48" t="s">
        <v>157</v>
      </c>
      <c r="B27" s="46"/>
      <c r="C27" s="47">
        <v>0</v>
      </c>
      <c r="D27" s="47"/>
      <c r="E27" s="71">
        <v>0</v>
      </c>
      <c r="F27" s="71"/>
      <c r="G27" s="71">
        <f>SUM(C27:F27)</f>
        <v>0</v>
      </c>
      <c r="H27" s="49">
        <v>0</v>
      </c>
      <c r="I27" s="71">
        <f>G27</f>
        <v>0</v>
      </c>
    </row>
    <row r="28" spans="1:11" ht="25.5" x14ac:dyDescent="0.2">
      <c r="A28" s="48" t="s">
        <v>62</v>
      </c>
      <c r="B28" s="46"/>
      <c r="C28" s="47">
        <v>0</v>
      </c>
      <c r="D28" s="47">
        <v>0</v>
      </c>
      <c r="E28" s="47">
        <v>0</v>
      </c>
      <c r="F28" s="49">
        <v>0</v>
      </c>
      <c r="G28" s="49">
        <v>0</v>
      </c>
      <c r="H28" s="49">
        <v>0</v>
      </c>
      <c r="I28" s="71">
        <v>0</v>
      </c>
    </row>
    <row r="29" spans="1:11" ht="38.25" x14ac:dyDescent="0.2">
      <c r="A29" s="48" t="s">
        <v>63</v>
      </c>
      <c r="B29" s="46"/>
      <c r="C29" s="47">
        <v>0</v>
      </c>
      <c r="D29" s="47">
        <v>0</v>
      </c>
      <c r="E29" s="71">
        <f>бб!C64-бб!D64</f>
        <v>-2700767</v>
      </c>
      <c r="F29" s="71">
        <f>F26+F27+F28</f>
        <v>2700767</v>
      </c>
      <c r="G29" s="71">
        <f>G26+G27+G28</f>
        <v>0</v>
      </c>
      <c r="H29" s="71">
        <f>H26+H27+H28</f>
        <v>0</v>
      </c>
      <c r="I29" s="71">
        <f>G29</f>
        <v>0</v>
      </c>
    </row>
    <row r="30" spans="1:11" x14ac:dyDescent="0.2">
      <c r="A30" s="48" t="s">
        <v>33</v>
      </c>
      <c r="B30" s="46"/>
      <c r="C30" s="47">
        <v>0</v>
      </c>
      <c r="D30" s="47">
        <v>0</v>
      </c>
      <c r="E30" s="47">
        <v>0</v>
      </c>
      <c r="F30" s="47"/>
      <c r="G30" s="124">
        <f>F30</f>
        <v>0</v>
      </c>
      <c r="H30" s="47"/>
      <c r="I30" s="49">
        <f>G30+H30</f>
        <v>0</v>
      </c>
    </row>
    <row r="31" spans="1:11" x14ac:dyDescent="0.2">
      <c r="A31" s="48" t="s">
        <v>64</v>
      </c>
      <c r="B31" s="46"/>
      <c r="C31" s="47">
        <v>0</v>
      </c>
      <c r="D31" s="47">
        <v>0</v>
      </c>
      <c r="E31" s="71"/>
      <c r="F31" s="71">
        <f>ф2!C37</f>
        <v>13502432</v>
      </c>
      <c r="G31" s="71">
        <f>SUM(C31:F31)</f>
        <v>13502432</v>
      </c>
      <c r="H31" s="71"/>
      <c r="I31" s="71">
        <f>G31+H31</f>
        <v>13502432</v>
      </c>
    </row>
    <row r="32" spans="1:11" ht="25.5" x14ac:dyDescent="0.2">
      <c r="A32" s="48" t="s">
        <v>65</v>
      </c>
      <c r="B32" s="46"/>
      <c r="C32" s="47">
        <v>0</v>
      </c>
      <c r="D32" s="47">
        <v>0</v>
      </c>
      <c r="E32" s="71">
        <f>E29+E31</f>
        <v>-2700767</v>
      </c>
      <c r="F32" s="71">
        <f>F29+F31</f>
        <v>16203199</v>
      </c>
      <c r="G32" s="71">
        <f>G29+G31</f>
        <v>13502432</v>
      </c>
      <c r="H32" s="71">
        <f>H29+H31</f>
        <v>0</v>
      </c>
      <c r="I32" s="71">
        <f>I29+I31</f>
        <v>13502432</v>
      </c>
    </row>
    <row r="33" spans="1:18" x14ac:dyDescent="0.2">
      <c r="A33" s="48" t="s">
        <v>66</v>
      </c>
      <c r="B33" s="46"/>
      <c r="C33" s="47">
        <v>0</v>
      </c>
      <c r="D33" s="47">
        <v>0</v>
      </c>
      <c r="E33" s="47">
        <v>0</v>
      </c>
      <c r="F33" s="71"/>
      <c r="G33" s="71">
        <f>SUM(C33:F33)</f>
        <v>0</v>
      </c>
      <c r="H33" s="49">
        <v>0</v>
      </c>
      <c r="I33" s="71">
        <f>G33+H33</f>
        <v>0</v>
      </c>
    </row>
    <row r="34" spans="1:18" x14ac:dyDescent="0.2">
      <c r="A34" s="48" t="s">
        <v>67</v>
      </c>
      <c r="B34" s="46"/>
      <c r="C34" s="47">
        <v>0</v>
      </c>
      <c r="D34" s="47">
        <v>0</v>
      </c>
      <c r="E34" s="47">
        <v>0</v>
      </c>
      <c r="F34" s="50">
        <v>0</v>
      </c>
      <c r="G34" s="49">
        <f>SUM(C34:F34)</f>
        <v>0</v>
      </c>
      <c r="H34" s="50">
        <v>0</v>
      </c>
      <c r="I34" s="49">
        <f>G34+H34</f>
        <v>0</v>
      </c>
    </row>
    <row r="35" spans="1:18" ht="25.5" x14ac:dyDescent="0.2">
      <c r="A35" s="48" t="s">
        <v>68</v>
      </c>
      <c r="B35" s="46"/>
      <c r="C35" s="47">
        <v>0</v>
      </c>
      <c r="D35" s="47">
        <v>0</v>
      </c>
      <c r="E35" s="47">
        <v>0</v>
      </c>
      <c r="F35" s="50">
        <v>0</v>
      </c>
      <c r="G35" s="49">
        <f>SUM(C35:F35)</f>
        <v>0</v>
      </c>
      <c r="H35" s="49">
        <v>0</v>
      </c>
      <c r="I35" s="49">
        <f>G35+H35</f>
        <v>0</v>
      </c>
    </row>
    <row r="36" spans="1:18" ht="25.5" x14ac:dyDescent="0.2">
      <c r="A36" s="48" t="s">
        <v>228</v>
      </c>
      <c r="B36" s="46"/>
      <c r="C36" s="47">
        <f t="shared" ref="C36:G36" si="0">C25+C32+C33+C34-C35</f>
        <v>16663996</v>
      </c>
      <c r="D36" s="47">
        <f t="shared" si="0"/>
        <v>1188176</v>
      </c>
      <c r="E36" s="47">
        <f t="shared" si="0"/>
        <v>43248309</v>
      </c>
      <c r="F36" s="47">
        <f>F25+F32+F33+F34-F35</f>
        <v>-2875297</v>
      </c>
      <c r="G36" s="71">
        <f t="shared" si="0"/>
        <v>58225184</v>
      </c>
      <c r="H36" s="47">
        <f>H25+H32+H33+H34-H35+H30</f>
        <v>0</v>
      </c>
      <c r="I36" s="47">
        <f>I25+I32+I33+I34-I35+I30</f>
        <v>58225184</v>
      </c>
      <c r="J36" s="39">
        <f>бб!C64-E36</f>
        <v>0</v>
      </c>
      <c r="Q36" s="39">
        <f>бб!C67-ф4!I36</f>
        <v>0</v>
      </c>
      <c r="R36" s="39">
        <f>бб!C66-H36</f>
        <v>0</v>
      </c>
    </row>
    <row r="37" spans="1:18" x14ac:dyDescent="0.2">
      <c r="A37" s="51"/>
      <c r="B37" s="215"/>
      <c r="C37" s="215"/>
      <c r="D37" s="215"/>
      <c r="E37" s="215"/>
      <c r="F37" s="215"/>
      <c r="G37" s="215"/>
      <c r="H37" s="215"/>
      <c r="I37" s="216"/>
      <c r="K37" s="37">
        <f>бб!C84-ф4!C36</f>
        <v>-14475297</v>
      </c>
      <c r="L37" s="37">
        <f>бб!C85-ф4!D36</f>
        <v>-1116093</v>
      </c>
      <c r="M37" s="66">
        <f>бб!C88-ф4!E36</f>
        <v>-41143089</v>
      </c>
      <c r="N37" s="37">
        <f>бб!C89-ф4!F36</f>
        <v>5721240</v>
      </c>
      <c r="O37" s="37">
        <f>бб!C90-ф4!H36</f>
        <v>1946703</v>
      </c>
      <c r="P37" s="37">
        <f>бб!C91-ф4!I36</f>
        <v>5228806</v>
      </c>
      <c r="Q37" s="38"/>
    </row>
    <row r="38" spans="1:18" x14ac:dyDescent="0.2">
      <c r="A38" s="48" t="s">
        <v>230</v>
      </c>
      <c r="B38" s="46"/>
      <c r="C38" s="86">
        <v>16663996</v>
      </c>
      <c r="D38" s="86">
        <v>1188176</v>
      </c>
      <c r="E38" s="86">
        <v>50375040</v>
      </c>
      <c r="F38" s="86">
        <v>-29278000</v>
      </c>
      <c r="G38" s="71">
        <v>38949212</v>
      </c>
      <c r="H38" s="86">
        <v>52642708</v>
      </c>
      <c r="I38" s="86">
        <v>91591920</v>
      </c>
    </row>
    <row r="39" spans="1:18" x14ac:dyDescent="0.2">
      <c r="A39" s="48" t="s">
        <v>96</v>
      </c>
      <c r="B39" s="46"/>
      <c r="C39" s="86">
        <v>0</v>
      </c>
      <c r="D39" s="86">
        <v>0</v>
      </c>
      <c r="E39" s="71">
        <v>0</v>
      </c>
      <c r="F39" s="71">
        <v>0</v>
      </c>
      <c r="G39" s="71">
        <v>0</v>
      </c>
      <c r="H39" s="159">
        <v>0</v>
      </c>
      <c r="I39" s="86">
        <v>0</v>
      </c>
    </row>
    <row r="40" spans="1:18" ht="25.5" x14ac:dyDescent="0.2">
      <c r="A40" s="48" t="s">
        <v>60</v>
      </c>
      <c r="B40" s="46"/>
      <c r="C40" s="86">
        <v>16663996</v>
      </c>
      <c r="D40" s="86">
        <v>1188176</v>
      </c>
      <c r="E40" s="86">
        <v>50375040</v>
      </c>
      <c r="F40" s="86">
        <v>-29278000</v>
      </c>
      <c r="G40" s="86">
        <v>38949212</v>
      </c>
      <c r="H40" s="86">
        <v>52642708</v>
      </c>
      <c r="I40" s="86">
        <v>91591920</v>
      </c>
    </row>
    <row r="41" spans="1:18" x14ac:dyDescent="0.2">
      <c r="A41" s="48" t="s">
        <v>61</v>
      </c>
      <c r="B41" s="46"/>
      <c r="C41" s="86">
        <v>0</v>
      </c>
      <c r="D41" s="86">
        <v>0</v>
      </c>
      <c r="E41" s="71">
        <v>-2786479</v>
      </c>
      <c r="F41" s="71">
        <v>2786479</v>
      </c>
      <c r="G41" s="71">
        <v>0</v>
      </c>
      <c r="H41" s="159">
        <v>0</v>
      </c>
      <c r="I41" s="86">
        <v>0</v>
      </c>
    </row>
    <row r="42" spans="1:18" ht="12.75" hidden="1" customHeight="1" x14ac:dyDescent="0.2">
      <c r="A42" s="47" t="s">
        <v>157</v>
      </c>
      <c r="B42" s="47"/>
      <c r="C42" s="86">
        <v>0</v>
      </c>
      <c r="D42" s="86"/>
      <c r="E42" s="86">
        <v>0</v>
      </c>
      <c r="F42" s="86"/>
      <c r="G42" s="71">
        <v>0</v>
      </c>
      <c r="H42" s="159">
        <v>0</v>
      </c>
      <c r="I42" s="86">
        <v>0</v>
      </c>
    </row>
    <row r="43" spans="1:18" ht="25.5" x14ac:dyDescent="0.2">
      <c r="A43" s="48" t="s">
        <v>62</v>
      </c>
      <c r="B43" s="46"/>
      <c r="C43" s="86">
        <v>0</v>
      </c>
      <c r="D43" s="86">
        <v>0</v>
      </c>
      <c r="E43" s="86">
        <v>0</v>
      </c>
      <c r="F43" s="159">
        <v>0</v>
      </c>
      <c r="G43" s="71">
        <v>0</v>
      </c>
      <c r="H43" s="159">
        <v>0</v>
      </c>
      <c r="I43" s="86">
        <v>0</v>
      </c>
    </row>
    <row r="44" spans="1:18" ht="38.25" x14ac:dyDescent="0.2">
      <c r="A44" s="48" t="s">
        <v>63</v>
      </c>
      <c r="B44" s="46"/>
      <c r="C44" s="86">
        <v>0</v>
      </c>
      <c r="D44" s="86">
        <v>0</v>
      </c>
      <c r="E44" s="71">
        <v>-2786479</v>
      </c>
      <c r="F44" s="71">
        <v>2786479</v>
      </c>
      <c r="G44" s="71">
        <v>0</v>
      </c>
      <c r="H44" s="86">
        <v>0</v>
      </c>
      <c r="I44" s="71">
        <v>0</v>
      </c>
    </row>
    <row r="45" spans="1:18" x14ac:dyDescent="0.2">
      <c r="A45" s="48" t="s">
        <v>33</v>
      </c>
      <c r="B45" s="148"/>
      <c r="C45" s="86">
        <v>0</v>
      </c>
      <c r="D45" s="86">
        <v>0</v>
      </c>
      <c r="E45" s="86">
        <v>0</v>
      </c>
      <c r="F45" s="71"/>
      <c r="G45" s="71">
        <v>0</v>
      </c>
      <c r="H45" s="71"/>
      <c r="I45" s="71">
        <v>0</v>
      </c>
    </row>
    <row r="46" spans="1:18" x14ac:dyDescent="0.2">
      <c r="A46" s="48" t="s">
        <v>64</v>
      </c>
      <c r="B46" s="46"/>
      <c r="C46" s="86">
        <v>0</v>
      </c>
      <c r="D46" s="86">
        <v>0</v>
      </c>
      <c r="E46" s="71"/>
      <c r="F46" s="71">
        <v>-38494898</v>
      </c>
      <c r="G46" s="71">
        <v>-38494898</v>
      </c>
      <c r="H46" s="71">
        <v>-16963543</v>
      </c>
      <c r="I46" s="71">
        <v>-55458441</v>
      </c>
    </row>
    <row r="47" spans="1:18" ht="25.5" x14ac:dyDescent="0.2">
      <c r="A47" s="48" t="s">
        <v>65</v>
      </c>
      <c r="B47" s="46"/>
      <c r="C47" s="86">
        <v>0</v>
      </c>
      <c r="D47" s="71">
        <v>0</v>
      </c>
      <c r="E47" s="71">
        <v>-2786479</v>
      </c>
      <c r="F47" s="71">
        <v>-35708419</v>
      </c>
      <c r="G47" s="71">
        <v>-38494898</v>
      </c>
      <c r="H47" s="71">
        <v>-16963543</v>
      </c>
      <c r="I47" s="86">
        <v>-55458441</v>
      </c>
    </row>
    <row r="48" spans="1:18" x14ac:dyDescent="0.2">
      <c r="A48" s="48" t="s">
        <v>66</v>
      </c>
      <c r="B48" s="46"/>
      <c r="C48" s="86">
        <v>0</v>
      </c>
      <c r="D48" s="86">
        <v>0</v>
      </c>
      <c r="E48" s="86">
        <v>0</v>
      </c>
      <c r="F48" s="71"/>
      <c r="G48" s="71">
        <v>0</v>
      </c>
      <c r="H48" s="159">
        <v>0</v>
      </c>
      <c r="I48" s="86">
        <v>0</v>
      </c>
    </row>
    <row r="49" spans="1:9" x14ac:dyDescent="0.2">
      <c r="A49" s="48" t="s">
        <v>67</v>
      </c>
      <c r="B49" s="46"/>
      <c r="C49" s="86">
        <v>0</v>
      </c>
      <c r="D49" s="86">
        <v>0</v>
      </c>
      <c r="E49" s="86">
        <v>0</v>
      </c>
      <c r="F49" s="86">
        <v>0</v>
      </c>
      <c r="G49" s="71">
        <v>0</v>
      </c>
      <c r="H49" s="86">
        <v>0</v>
      </c>
      <c r="I49" s="86">
        <v>0</v>
      </c>
    </row>
    <row r="50" spans="1:9" ht="25.5" x14ac:dyDescent="0.2">
      <c r="A50" s="48" t="s">
        <v>68</v>
      </c>
      <c r="B50" s="46"/>
      <c r="C50" s="86">
        <v>0</v>
      </c>
      <c r="D50" s="86">
        <v>0</v>
      </c>
      <c r="E50" s="86">
        <v>0</v>
      </c>
      <c r="F50" s="86">
        <v>0</v>
      </c>
      <c r="G50" s="71">
        <v>0</v>
      </c>
      <c r="H50" s="159">
        <v>0</v>
      </c>
      <c r="I50" s="86">
        <v>0</v>
      </c>
    </row>
    <row r="51" spans="1:9" ht="25.5" x14ac:dyDescent="0.2">
      <c r="A51" s="48" t="s">
        <v>231</v>
      </c>
      <c r="B51" s="46"/>
      <c r="C51" s="86">
        <v>16663996</v>
      </c>
      <c r="D51" s="86">
        <v>1188176</v>
      </c>
      <c r="E51" s="86">
        <v>47588561</v>
      </c>
      <c r="F51" s="86">
        <v>-64986419</v>
      </c>
      <c r="G51" s="71">
        <v>454314</v>
      </c>
      <c r="H51" s="86">
        <v>35679165</v>
      </c>
      <c r="I51" s="86">
        <v>36133479</v>
      </c>
    </row>
    <row r="52" spans="1:9" x14ac:dyDescent="0.2">
      <c r="A52" s="55"/>
      <c r="B52" s="59"/>
      <c r="C52" s="59"/>
      <c r="D52" s="59"/>
      <c r="E52" s="59"/>
      <c r="F52" s="59"/>
      <c r="G52" s="59"/>
      <c r="H52" s="59"/>
      <c r="I52" s="59"/>
    </row>
    <row r="53" spans="1:9" ht="14.25" x14ac:dyDescent="0.2">
      <c r="A53" s="55" t="str">
        <f>бб!A99</f>
        <v>Генеральный директор</v>
      </c>
      <c r="B53" s="54"/>
      <c r="C53" s="54"/>
      <c r="D53" s="59"/>
      <c r="E53" s="80" t="str">
        <f>бб!D99</f>
        <v>О.А. Щемель</v>
      </c>
      <c r="F53" s="59"/>
      <c r="G53" s="59"/>
      <c r="H53" s="56"/>
      <c r="I53" s="59"/>
    </row>
    <row r="54" spans="1:9" x14ac:dyDescent="0.2">
      <c r="A54" s="55"/>
      <c r="B54" s="54"/>
      <c r="C54" s="54"/>
      <c r="D54" s="56"/>
      <c r="E54" s="214"/>
      <c r="F54" s="214"/>
      <c r="G54" s="59"/>
      <c r="H54" s="59"/>
      <c r="I54" s="59"/>
    </row>
    <row r="55" spans="1:9" x14ac:dyDescent="0.2">
      <c r="A55" s="55"/>
      <c r="B55" s="54"/>
      <c r="C55" s="54"/>
      <c r="D55" s="56"/>
      <c r="E55" s="59"/>
      <c r="F55" s="59"/>
      <c r="G55" s="59"/>
      <c r="H55" s="59"/>
      <c r="I55" s="59"/>
    </row>
    <row r="56" spans="1:9" ht="14.25" x14ac:dyDescent="0.2">
      <c r="A56" s="55" t="str">
        <f>бб!A102</f>
        <v xml:space="preserve">Главный бухгалтер                                              </v>
      </c>
      <c r="B56" s="54"/>
      <c r="C56" s="54"/>
      <c r="D56" s="59"/>
      <c r="E56" s="81" t="s">
        <v>156</v>
      </c>
      <c r="F56" s="55"/>
      <c r="G56" s="59"/>
      <c r="H56" s="56"/>
      <c r="I56" s="59"/>
    </row>
    <row r="57" spans="1:9" x14ac:dyDescent="0.2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" customHeight="1" x14ac:dyDescent="0.2">
      <c r="A58" s="52" t="s">
        <v>55</v>
      </c>
      <c r="B58" s="59"/>
      <c r="C58" s="59"/>
      <c r="D58" s="59"/>
      <c r="E58" s="59"/>
      <c r="F58" s="59"/>
      <c r="G58" s="59"/>
      <c r="H58" s="59"/>
      <c r="I58" s="59"/>
    </row>
    <row r="59" spans="1:9" x14ac:dyDescent="0.2">
      <c r="A59" s="59"/>
      <c r="B59" s="59"/>
      <c r="C59" s="59"/>
      <c r="D59" s="59"/>
      <c r="E59" s="59"/>
      <c r="F59" s="59"/>
      <c r="G59" s="59"/>
      <c r="H59" s="59"/>
      <c r="I59" s="59"/>
    </row>
    <row r="60" spans="1:9" x14ac:dyDescent="0.2">
      <c r="A60" s="59"/>
      <c r="B60" s="59"/>
      <c r="C60" s="59"/>
      <c r="D60" s="59"/>
      <c r="E60" s="59"/>
      <c r="F60" s="59"/>
      <c r="G60" s="59"/>
      <c r="H60" s="59"/>
      <c r="I60" s="59"/>
    </row>
  </sheetData>
  <mergeCells count="13">
    <mergeCell ref="A19:F19"/>
    <mergeCell ref="A9:I9"/>
    <mergeCell ref="A12:I12"/>
    <mergeCell ref="A15:I15"/>
    <mergeCell ref="A10:I10"/>
    <mergeCell ref="A11:I11"/>
    <mergeCell ref="E54:F54"/>
    <mergeCell ref="B37:I37"/>
    <mergeCell ref="C20:G20"/>
    <mergeCell ref="A20:A21"/>
    <mergeCell ref="B20:B21"/>
    <mergeCell ref="H20:H21"/>
    <mergeCell ref="I20:I2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Гембух Елена Александровна</cp:lastModifiedBy>
  <cp:lastPrinted>2023-08-09T04:07:04Z</cp:lastPrinted>
  <dcterms:created xsi:type="dcterms:W3CDTF">2007-05-04T07:43:23Z</dcterms:created>
  <dcterms:modified xsi:type="dcterms:W3CDTF">2023-08-09T12:02:29Z</dcterms:modified>
</cp:coreProperties>
</file>