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80" windowWidth="13290" windowHeight="12255" activeTab="1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  <externalReference r:id="rId7"/>
  </externalReferences>
  <definedNames>
    <definedName name="_xlnm.Print_Area" localSheetId="0">бб!$A$1:$D$104</definedName>
    <definedName name="_xlnm.Print_Area" localSheetId="1">ф2!$A$1:$G$65</definedName>
    <definedName name="_xlnm.Print_Area" localSheetId="2">'ф3 прямой'!$A$1:$D$77</definedName>
    <definedName name="_xlnm.Print_Area" localSheetId="3">ф4!$A$1:$I$59</definedName>
  </definedNames>
  <calcPr calcId="145621"/>
</workbook>
</file>

<file path=xl/calcChain.xml><?xml version="1.0" encoding="utf-8"?>
<calcChain xmlns="http://schemas.openxmlformats.org/spreadsheetml/2006/main">
  <c r="D91" i="4" l="1"/>
  <c r="C91" i="4" l="1"/>
  <c r="D89" i="4"/>
  <c r="C89" i="4"/>
  <c r="D88" i="4"/>
  <c r="C88" i="4"/>
  <c r="D87" i="4"/>
  <c r="C87" i="4"/>
  <c r="D85" i="4"/>
  <c r="D90" i="4" s="1"/>
  <c r="C85" i="4"/>
  <c r="C90" i="4" s="1"/>
  <c r="D84" i="4"/>
  <c r="C84" i="4"/>
  <c r="D83" i="4"/>
  <c r="C83" i="4"/>
  <c r="C68" i="4"/>
  <c r="D67" i="4"/>
  <c r="F25" i="3" s="1"/>
  <c r="C67" i="4"/>
  <c r="D66" i="4"/>
  <c r="E25" i="3" s="1"/>
  <c r="C66" i="4"/>
  <c r="E29" i="3" s="1"/>
  <c r="C63" i="4"/>
  <c r="C62" i="4"/>
  <c r="E26" i="3" l="1"/>
  <c r="D69" i="4"/>
  <c r="C92" i="4"/>
  <c r="C69" i="4"/>
  <c r="D92" i="4"/>
  <c r="D30" i="4" l="1"/>
  <c r="C30" i="4"/>
  <c r="D38" i="4"/>
  <c r="C38" i="4"/>
  <c r="D37" i="4"/>
  <c r="C37" i="4"/>
  <c r="D31" i="4"/>
  <c r="C31" i="4"/>
  <c r="D28" i="4"/>
  <c r="C28" i="4"/>
  <c r="D29" i="4"/>
  <c r="D33" i="4"/>
  <c r="C33" i="4"/>
  <c r="D32" i="4"/>
  <c r="C32" i="4"/>
  <c r="C39" i="4" l="1"/>
  <c r="D39" i="4"/>
  <c r="D48" i="4"/>
  <c r="C48" i="4"/>
  <c r="D47" i="4"/>
  <c r="C47" i="4"/>
  <c r="D45" i="4"/>
  <c r="C45" i="4"/>
  <c r="D46" i="4"/>
  <c r="C46" i="4"/>
  <c r="C44" i="4" s="1"/>
  <c r="D42" i="4"/>
  <c r="C42" i="4"/>
  <c r="D44" i="4"/>
  <c r="D43" i="4"/>
  <c r="C43" i="4"/>
  <c r="D53" i="4"/>
  <c r="C70" i="11" s="1"/>
  <c r="C53" i="4"/>
  <c r="C27" i="11"/>
  <c r="C54" i="4" l="1"/>
  <c r="C56" i="4" s="1"/>
  <c r="D54" i="4"/>
  <c r="D56" i="4" s="1"/>
  <c r="I54" i="10"/>
  <c r="D32" i="10"/>
  <c r="D34" i="10"/>
  <c r="D38" i="10"/>
  <c r="D42" i="10"/>
  <c r="D43" i="10"/>
  <c r="D44" i="10"/>
  <c r="D45" i="10"/>
  <c r="D46" i="10"/>
  <c r="D47" i="10"/>
  <c r="D48" i="10"/>
  <c r="D49" i="10"/>
  <c r="D50" i="10"/>
  <c r="D51" i="10"/>
  <c r="D53" i="10"/>
  <c r="D54" i="10"/>
  <c r="D55" i="10"/>
  <c r="D56" i="10"/>
  <c r="E57" i="10"/>
  <c r="F27" i="3" l="1"/>
  <c r="D74" i="4" l="1"/>
  <c r="D79" i="4"/>
  <c r="D78" i="4"/>
  <c r="D77" i="4"/>
  <c r="D76" i="4"/>
  <c r="D75" i="4"/>
  <c r="D72" i="4"/>
  <c r="D73" i="4"/>
  <c r="C40" i="10"/>
  <c r="C36" i="10"/>
  <c r="D36" i="10" s="1"/>
  <c r="I36" i="10" s="1"/>
  <c r="C31" i="10"/>
  <c r="D31" i="10" s="1"/>
  <c r="I31" i="10" s="1"/>
  <c r="C30" i="10"/>
  <c r="D30" i="10" s="1"/>
  <c r="I30" i="10" s="1"/>
  <c r="C29" i="10"/>
  <c r="D29" i="10" s="1"/>
  <c r="I29" i="10" s="1"/>
  <c r="C28" i="10"/>
  <c r="D28" i="10" s="1"/>
  <c r="I28" i="10" s="1"/>
  <c r="C27" i="10"/>
  <c r="D27" i="10" s="1"/>
  <c r="I27" i="10" s="1"/>
  <c r="C26" i="10"/>
  <c r="D26" i="10" s="1"/>
  <c r="I26" i="10" s="1"/>
  <c r="C24" i="10"/>
  <c r="D24" i="10" s="1"/>
  <c r="I24" i="10" s="1"/>
  <c r="C23" i="10"/>
  <c r="C79" i="4"/>
  <c r="C78" i="4"/>
  <c r="C77" i="4"/>
  <c r="C76" i="4"/>
  <c r="C75" i="4"/>
  <c r="C74" i="4"/>
  <c r="C72" i="4"/>
  <c r="C73" i="4"/>
  <c r="C80" i="4" l="1"/>
  <c r="C93" i="4" s="1"/>
  <c r="C95" i="4" s="1"/>
  <c r="D80" i="4"/>
  <c r="D93" i="4" s="1"/>
  <c r="D95" i="4" s="1"/>
  <c r="F30" i="3"/>
  <c r="G30" i="3" s="1"/>
  <c r="D40" i="10"/>
  <c r="D23" i="10"/>
  <c r="I23" i="10" s="1"/>
  <c r="E25" i="10"/>
  <c r="E33" i="10" s="1"/>
  <c r="E35" i="10" s="1"/>
  <c r="E37" i="10" s="1"/>
  <c r="E39" i="10" s="1"/>
  <c r="E41" i="10" s="1"/>
  <c r="F98" i="4" l="1"/>
  <c r="E98" i="4"/>
  <c r="C31" i="11"/>
  <c r="C29" i="11"/>
  <c r="D16" i="11" l="1"/>
  <c r="C16" i="11"/>
  <c r="C18" i="11" l="1"/>
  <c r="C43" i="11"/>
  <c r="C59" i="11"/>
  <c r="C25" i="11"/>
  <c r="H29" i="3"/>
  <c r="H32" i="3" s="1"/>
  <c r="H36" i="3" s="1"/>
  <c r="O37" i="3" s="1"/>
  <c r="G27" i="3"/>
  <c r="C25" i="10"/>
  <c r="D25" i="10" s="1"/>
  <c r="I25" i="10" s="1"/>
  <c r="C48" i="10"/>
  <c r="C35" i="11"/>
  <c r="C53" i="11"/>
  <c r="A10" i="3"/>
  <c r="E48" i="10"/>
  <c r="E50" i="10" s="1"/>
  <c r="E52" i="10" s="1"/>
  <c r="E43" i="10"/>
  <c r="F26" i="3"/>
  <c r="F29" i="3" s="1"/>
  <c r="G33" i="3"/>
  <c r="I33" i="3"/>
  <c r="F23" i="3"/>
  <c r="A11" i="3"/>
  <c r="G24" i="3"/>
  <c r="I24" i="3" s="1"/>
  <c r="C25" i="3"/>
  <c r="G34" i="3"/>
  <c r="I34" i="3"/>
  <c r="G35" i="3"/>
  <c r="I35" i="3" s="1"/>
  <c r="C36" i="3"/>
  <c r="D36" i="3"/>
  <c r="L37" i="3" s="1"/>
  <c r="A53" i="3"/>
  <c r="A56" i="3"/>
  <c r="A74" i="11"/>
  <c r="C73" i="11"/>
  <c r="A77" i="11"/>
  <c r="A10" i="10"/>
  <c r="A7" i="11" s="1"/>
  <c r="A59" i="10"/>
  <c r="A61" i="10"/>
  <c r="I27" i="3" l="1"/>
  <c r="C51" i="11"/>
  <c r="C33" i="11"/>
  <c r="C66" i="11"/>
  <c r="C33" i="10"/>
  <c r="D33" i="10" s="1"/>
  <c r="I33" i="10" s="1"/>
  <c r="G26" i="3"/>
  <c r="G29" i="3" s="1"/>
  <c r="K37" i="3"/>
  <c r="C67" i="11" l="1"/>
  <c r="E32" i="3"/>
  <c r="E36" i="3" s="1"/>
  <c r="M37" i="3" s="1"/>
  <c r="I29" i="3"/>
  <c r="E23" i="3"/>
  <c r="G23" i="3" s="1"/>
  <c r="I23" i="3" s="1"/>
  <c r="G25" i="3"/>
  <c r="I25" i="3" s="1"/>
  <c r="I26" i="3"/>
  <c r="C35" i="10"/>
  <c r="D35" i="10" s="1"/>
  <c r="I35" i="10" s="1"/>
  <c r="C71" i="11" l="1"/>
  <c r="E71" i="11" s="1"/>
  <c r="C37" i="10"/>
  <c r="D37" i="10" s="1"/>
  <c r="I37" i="10" s="1"/>
  <c r="C39" i="10" l="1"/>
  <c r="F31" i="3" l="1"/>
  <c r="C57" i="10"/>
  <c r="D39" i="10"/>
  <c r="C41" i="10"/>
  <c r="D41" i="10" s="1"/>
  <c r="I41" i="10" s="1"/>
  <c r="D57" i="10" l="1"/>
  <c r="I57" i="10" s="1"/>
  <c r="I39" i="10"/>
  <c r="G31" i="3"/>
  <c r="F32" i="3"/>
  <c r="F36" i="3" l="1"/>
  <c r="N37" i="3" s="1"/>
  <c r="I31" i="3"/>
  <c r="I32" i="3" s="1"/>
  <c r="G32" i="3"/>
  <c r="G36" i="3" s="1"/>
  <c r="I36" i="3" l="1"/>
  <c r="P37" i="3" s="1"/>
  <c r="C52" i="10" l="1"/>
  <c r="D52" i="10" s="1"/>
  <c r="I52" i="10" s="1"/>
</calcChain>
</file>

<file path=xl/sharedStrings.xml><?xml version="1.0" encoding="utf-8"?>
<sst xmlns="http://schemas.openxmlformats.org/spreadsheetml/2006/main" count="399" uniqueCount="228">
  <si>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</si>
  <si>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</si>
  <si>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</si>
  <si>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</si>
  <si>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</si>
  <si>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</si>
  <si>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</si>
  <si>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</si>
  <si>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</si>
  <si>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</si>
  <si>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</si>
  <si>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</si>
  <si>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</si>
  <si>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</si>
  <si>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</si>
  <si>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</si>
  <si>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</si>
  <si>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</si>
  <si>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</si>
  <si>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</si>
  <si>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</si>
  <si>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</si>
  <si>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</si>
  <si>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</si>
  <si>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</si>
  <si>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</si>
  <si>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</si>
  <si>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</si>
  <si>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</si>
  <si>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</si>
  <si>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</si>
  <si>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</si>
  <si>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</si>
  <si>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</si>
  <si>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</si>
  <si>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</si>
  <si>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</si>
  <si>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</si>
  <si>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</si>
  <si>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</si>
  <si>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</si>
  <si>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</si>
  <si>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</si>
  <si>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</si>
  <si>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</si>
  <si>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</si>
  <si>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</si>
  <si>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</si>
  <si>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</si>
  <si>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</si>
  <si>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</si>
  <si>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</si>
  <si>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</si>
  <si>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</si>
  <si>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</si>
  <si>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</si>
  <si>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</si>
  <si>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</si>
  <si>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</si>
  <si>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</si>
  <si>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</si>
  <si>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</si>
  <si>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</si>
  <si>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</si>
  <si>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</si>
  <si>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</si>
  <si>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</si>
  <si>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</si>
  <si>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</si>
  <si>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</si>
  <si>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</si>
  <si>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</si>
  <si>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</si>
  <si>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</si>
  <si>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</si>
  <si>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</si>
  <si>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</si>
  <si>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</si>
  <si>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</si>
  <si>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</si>
  <si>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</si>
  <si>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</si>
  <si>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</si>
  <si>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</si>
  <si>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</si>
  <si>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</si>
  <si>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</si>
  <si>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</si>
  <si>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</si>
  <si>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</si>
  <si>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</si>
  <si>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</si>
  <si>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</si>
  <si>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</si>
  <si>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</si>
  <si>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</si>
  <si>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</si>
  <si>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</si>
  <si>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</si>
  <si>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</si>
  <si>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</si>
  <si>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</si>
  <si>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</si>
  <si>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</si>
  <si>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</si>
  <si>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</si>
  <si>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</si>
  <si>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</si>
  <si>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</si>
  <si>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</si>
  <si>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</si>
  <si>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</si>
  <si>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</si>
  <si>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</si>
  <si>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</si>
  <si>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</si>
  <si>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</si>
  <si>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</si>
  <si>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</si>
  <si>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</si>
  <si>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</si>
  <si>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</si>
  <si>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</si>
  <si>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</si>
  <si>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</si>
  <si>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</si>
  <si>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</si>
  <si>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</si>
  <si>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</si>
  <si>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</si>
  <si>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</si>
  <si>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</si>
  <si>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</si>
  <si>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</si>
  <si>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</si>
  <si>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</si>
  <si>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</si>
  <si>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</si>
  <si>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</si>
  <si>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</si>
  <si>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</si>
  <si>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</si>
  <si>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</si>
  <si>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</si>
  <si>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</si>
  <si>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</si>
  <si>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</si>
  <si>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</si>
  <si>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</si>
  <si>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</si>
  <si>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</si>
  <si>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</si>
  <si>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</si>
  <si>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</si>
  <si>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</si>
  <si>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</si>
  <si>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</si>
  <si>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</si>
  <si>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</si>
  <si>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</si>
  <si>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</si>
  <si>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</si>
  <si>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О.В.Перфилов</t>
  </si>
  <si>
    <t>Прочие расходы (курсовая разница)</t>
  </si>
  <si>
    <t xml:space="preserve"> -   </t>
  </si>
  <si>
    <t>Генеральный директор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</si>
  <si>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</si>
  <si>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</si>
  <si>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</si>
  <si>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</si>
  <si>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</si>
  <si>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 xml:space="preserve"> -  </t>
  </si>
  <si>
    <t xml:space="preserve"> -</t>
  </si>
  <si>
    <t xml:space="preserve">                 -</t>
  </si>
  <si>
    <t>Влияние изменений курса валюты на остатки</t>
  </si>
  <si>
    <t xml:space="preserve"> За 1 квартал 2021г.</t>
  </si>
  <si>
    <t>30 июня 2021г.</t>
  </si>
  <si>
    <t>31 декабря 2020г.</t>
  </si>
  <si>
    <t>в тыс.тенге</t>
  </si>
  <si>
    <t>КОНСОЛИДИРОВАННЫЙ ОТЧЕТ О ФИНАНСОВОМ ПОЛОЖЕНИИ</t>
  </si>
  <si>
    <t xml:space="preserve"> неаудированный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</si>
  <si>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</si>
  <si>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</si>
  <si>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</si>
  <si>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</si>
  <si>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</si>
  <si>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</si>
  <si>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</si>
  <si>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</si>
  <si>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КОНСОЛИДИРОВАННЫЙ ОТЧЕТ О ПРИБЫЛЯХ И УБЫТКАХ</t>
  </si>
  <si>
    <t>КОНСОЛИДИРОВАННЫЙ ОТЧЕТ ОБ ИЗМЕНЕНИЯХ КАПИТАЛА</t>
  </si>
  <si>
    <t>Сальдо на 1 января 2021 г.</t>
  </si>
  <si>
    <t>Сальдо на 30 июня  2021 г. (стр.060-стр.070+стр.080-стр.090)</t>
  </si>
  <si>
    <t>Сальдо на 1 января  2020 г.</t>
  </si>
  <si>
    <t>Сальдо на 30 июня  2020 г. (стр.160-стр.170+стр.180-стр.190)</t>
  </si>
  <si>
    <t>КОНСОЛИДИРОВАННЫЙ ОТЧЕТ О ДВИЖЕНИИ ДЕНЕЖНЫХ СРЕДСТВ</t>
  </si>
  <si>
    <t>неаудированный</t>
  </si>
  <si>
    <t xml:space="preserve"> 6 месяцев 2021г.</t>
  </si>
  <si>
    <t xml:space="preserve"> 6 месяцев 2020г.</t>
  </si>
  <si>
    <t>Примечание</t>
  </si>
  <si>
    <t>6</t>
  </si>
  <si>
    <t>7</t>
  </si>
  <si>
    <t>8</t>
  </si>
  <si>
    <t>9</t>
  </si>
  <si>
    <t>Инвестиции в ассоциированные организации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</si>
  <si>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</si>
  <si>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</si>
  <si>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</si>
  <si>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</si>
  <si>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</si>
  <si>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</si>
  <si>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</si>
  <si>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</si>
  <si>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</si>
  <si>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</si>
  <si>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</si>
  <si>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</si>
  <si>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</si>
  <si>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</si>
  <si>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</si>
  <si>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</si>
  <si>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</si>
  <si>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</si>
  <si>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</si>
  <si>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</si>
  <si>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за 6 месяцев, закончившиеся  30 июня 2021 г.</t>
  </si>
  <si>
    <t>в  том числе              3 месяца  2021г.</t>
  </si>
  <si>
    <t>в  том числе     3 месяца 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</si>
</sst>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_);_(* \(#,##0.0\);_(* \-_);_(@_)"/>
    <numFmt numFmtId="171" formatCode="_(* #,##0.00_);_(* \(#,##0.00\);_(* \-_);_(@_)"/>
    <numFmt numFmtId="172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164" fontId="6" fillId="0" borderId="2" xfId="0" applyNumberFormat="1" applyFont="1" applyBorder="1" applyAlignment="1">
      <alignment horizontal="right" vertical="center"/>
    </xf>
    <xf numFmtId="164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164" fontId="6" fillId="0" borderId="2" xfId="0" applyNumberFormat="1" applyFont="1" applyBorder="1" applyAlignment="1">
      <alignment horizontal="right" vertical="center" shrinkToFit="1"/>
    </xf>
    <xf numFmtId="164" fontId="6" fillId="0" borderId="4" xfId="0" applyNumberFormat="1" applyFont="1" applyBorder="1" applyAlignment="1">
      <alignment horizontal="right" vertical="center" shrinkToFit="1"/>
    </xf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164" fontId="6" fillId="0" borderId="1" xfId="0" applyNumberFormat="1" applyFont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164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167" fontId="14" fillId="0" borderId="5" xfId="0" applyNumberFormat="1" applyFont="1" applyBorder="1" applyAlignment="1">
      <alignment horizontal="right" vertical="center" shrinkToFit="1"/>
    </xf>
    <xf numFmtId="169" fontId="6" fillId="0" borderId="2" xfId="0" applyNumberFormat="1" applyFont="1" applyBorder="1" applyAlignment="1">
      <alignment horizontal="right" vertical="center" shrinkToFit="1"/>
    </xf>
    <xf numFmtId="169" fontId="6" fillId="0" borderId="4" xfId="0" applyNumberFormat="1" applyFont="1" applyBorder="1" applyAlignment="1">
      <alignment horizontal="right" vertical="center" shrinkToFit="1"/>
    </xf>
    <xf numFmtId="166" fontId="6" fillId="0" borderId="0" xfId="0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right" vertical="center" shrinkToFit="1"/>
    </xf>
    <xf numFmtId="169" fontId="6" fillId="0" borderId="0" xfId="0" applyNumberFormat="1" applyFont="1"/>
    <xf numFmtId="164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70" fontId="6" fillId="0" borderId="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shrinkToFit="1"/>
    </xf>
    <xf numFmtId="3" fontId="6" fillId="0" borderId="2" xfId="3" applyNumberFormat="1" applyFont="1" applyBorder="1" applyAlignment="1">
      <alignment horizontal="right" vertical="center" shrinkToFit="1"/>
    </xf>
    <xf numFmtId="3" fontId="6" fillId="0" borderId="4" xfId="0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2" xfId="3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169" fontId="14" fillId="0" borderId="5" xfId="0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9" fontId="6" fillId="0" borderId="2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horizontal="right" vertical="center" shrinkToFit="1"/>
    </xf>
    <xf numFmtId="169" fontId="6" fillId="0" borderId="2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9" fontId="6" fillId="0" borderId="2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vertical="center" shrinkToFit="1"/>
    </xf>
    <xf numFmtId="169" fontId="6" fillId="0" borderId="2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9" fontId="6" fillId="0" borderId="2" xfId="0" applyNumberFormat="1" applyFont="1" applyBorder="1" applyAlignment="1" applyProtection="1">
      <alignment horizontal="left" vertical="center"/>
    </xf>
    <xf numFmtId="164" fontId="6" fillId="0" borderId="7" xfId="0" applyNumberFormat="1" applyFont="1" applyBorder="1" applyAlignment="1" applyProtection="1">
      <alignment horizontal="left" vertical="center"/>
    </xf>
    <xf numFmtId="166" fontId="6" fillId="0" borderId="2" xfId="3" applyNumberFormat="1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171" fontId="6" fillId="0" borderId="4" xfId="0" applyNumberFormat="1" applyFont="1" applyBorder="1" applyAlignment="1" applyProtection="1">
      <alignment vertical="center" shrinkToFit="1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169" fontId="6" fillId="0" borderId="2" xfId="0" applyNumberFormat="1" applyFont="1" applyFill="1" applyBorder="1" applyAlignment="1" applyProtection="1">
      <alignment horizontal="right" vertical="center" shrinkToFit="1"/>
    </xf>
    <xf numFmtId="169" fontId="6" fillId="0" borderId="2" xfId="0" applyNumberFormat="1" applyFont="1" applyFill="1" applyBorder="1" applyAlignment="1">
      <alignment horizontal="right" vertical="center" shrinkToFit="1"/>
    </xf>
    <xf numFmtId="169" fontId="6" fillId="0" borderId="4" xfId="0" applyNumberFormat="1" applyFont="1" applyFill="1" applyBorder="1" applyAlignment="1">
      <alignment horizontal="right" vertical="center" shrinkToFit="1"/>
    </xf>
    <xf numFmtId="170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 shrinkToFit="1"/>
    </xf>
    <xf numFmtId="9" fontId="6" fillId="0" borderId="0" xfId="2" applyFont="1" applyBorder="1"/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72" fontId="19" fillId="0" borderId="0" xfId="2" applyNumberFormat="1" applyFont="1" applyBorder="1"/>
    <xf numFmtId="0" fontId="19" fillId="0" borderId="0" xfId="0" applyFont="1" applyBorder="1"/>
    <xf numFmtId="172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1114425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19050</xdr:rowOff>
    </xdr:from>
    <xdr:to>
      <xdr:col>7</xdr:col>
      <xdr:colOff>9525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"/>
          <a:ext cx="908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985157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171450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1/2%20&#1082;&#1074;&#1072;&#1088;&#1090;&#1072;&#1083;%202021&#1075;/2021%20CAEPCO%20%20&#1050;&#1086;&#1085;&#1089;&#1086;&#1083;&#1080;&#1076;&#1072;&#1094;&#1080;&#1080;%20&#1060;&#1054;%20&#1055;&#1069;%202&#1082;&#1074;21%20&#1089;%20&#1080;&#1079;&#1084;&#1077;&#1085;&#1077;&#1085;&#1080;&#1103;&#1084;&#1080;%20&#1087;&#1086;%20&#1055;&#1058;&#1057;%20&#1086;&#1090;%2006082021%20&#1080;&#1079;&#1084;&#1077;&#1085;&#1077;&#1085;%20&#1055;&#1069;&#1054;%201008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0/4%20&#1082;&#1074;&#1072;&#1088;&#1090;&#1072;&#1083;%20-%20&#1072;&#1091;&#1076;&#1080;&#1090;/2020%20CAEPCO%20%20&#1050;&#1086;&#1085;&#1089;&#1086;&#1083;&#1080;&#1076;&#1072;&#1094;&#1080;&#1080;%20&#1060;&#1054;%20&#1055;&#1069;%2031122020%20%20&#1086;&#1090;%2006.08.2021%20%20%20&#1089;%20&#1087;&#1086;&#1089;&#1083;.&#1082;&#1086;&#1088;&#1088;&#1077;&#1082;&#1090;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AppData/Local/Microsoft/Windows/Temporary%20Internet%20Files/Content.Outlook/2ER5516X/2020%20CAEPCO%20%20&#1050;&#1086;&#1085;&#1089;&#1086;&#1083;&#1080;&#1076;&#1072;&#1094;&#1080;&#1080;%20&#1060;&#1054;%20&#1055;&#1069;%2031122020%20%20&#1086;&#1090;%2006.08.2021%20%20%20&#1089;%20&#1087;&#1086;&#1089;&#1083;.&#1082;&#1086;&#1088;&#1088;&#1077;&#1082;&#1090;..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35ОС в залоге"/>
      <sheetName val="перечень ОС в залоге ПЭ"/>
    </sheetNames>
    <sheetDataSet>
      <sheetData sheetId="0" refreshError="1"/>
      <sheetData sheetId="1" refreshError="1">
        <row r="8">
          <cell r="D8">
            <v>51850838.170000002</v>
          </cell>
        </row>
        <row r="42">
          <cell r="F42">
            <v>-192769</v>
          </cell>
        </row>
        <row r="43">
          <cell r="D43">
            <v>588473</v>
          </cell>
          <cell r="F43">
            <v>-9640731</v>
          </cell>
        </row>
        <row r="44">
          <cell r="D44">
            <v>18504594</v>
          </cell>
          <cell r="F44">
            <v>28381678</v>
          </cell>
        </row>
        <row r="49">
          <cell r="D49">
            <v>13303908.17</v>
          </cell>
        </row>
        <row r="57">
          <cell r="F57">
            <v>938978</v>
          </cell>
        </row>
        <row r="72">
          <cell r="D72">
            <v>1847293</v>
          </cell>
        </row>
      </sheetData>
      <sheetData sheetId="2" refreshError="1">
        <row r="6">
          <cell r="Y6">
            <v>42409899</v>
          </cell>
        </row>
        <row r="8">
          <cell r="Y8">
            <v>-25544255</v>
          </cell>
        </row>
        <row r="12">
          <cell r="Y12">
            <v>-2026601</v>
          </cell>
        </row>
        <row r="13">
          <cell r="Y13">
            <v>-462613</v>
          </cell>
        </row>
        <row r="14">
          <cell r="Y14">
            <v>-9056231</v>
          </cell>
        </row>
        <row r="15">
          <cell r="Y15">
            <v>2242405</v>
          </cell>
        </row>
        <row r="16">
          <cell r="Y16">
            <v>-2919810</v>
          </cell>
        </row>
        <row r="20">
          <cell r="Y20">
            <v>-365449</v>
          </cell>
        </row>
        <row r="21">
          <cell r="Y21">
            <v>-644876</v>
          </cell>
        </row>
        <row r="29">
          <cell r="Y29">
            <v>-430889</v>
          </cell>
        </row>
        <row r="35">
          <cell r="Y35">
            <v>2746570.05</v>
          </cell>
        </row>
      </sheetData>
      <sheetData sheetId="3" refreshError="1">
        <row r="7">
          <cell r="Y7">
            <v>197304747</v>
          </cell>
        </row>
        <row r="9">
          <cell r="Y9">
            <v>662493</v>
          </cell>
        </row>
        <row r="10">
          <cell r="Y10">
            <v>0</v>
          </cell>
        </row>
        <row r="11">
          <cell r="Y11">
            <v>41066</v>
          </cell>
        </row>
        <row r="12">
          <cell r="Y12">
            <v>370629</v>
          </cell>
        </row>
        <row r="13">
          <cell r="Y13">
            <v>1216641</v>
          </cell>
        </row>
        <row r="21">
          <cell r="Y21">
            <v>2621954</v>
          </cell>
        </row>
        <row r="22">
          <cell r="Y22">
            <v>8933162</v>
          </cell>
        </row>
        <row r="23">
          <cell r="Y23">
            <v>2207436</v>
          </cell>
        </row>
        <row r="24">
          <cell r="Y24">
            <v>231889</v>
          </cell>
        </row>
        <row r="25">
          <cell r="Y25">
            <v>3794498</v>
          </cell>
        </row>
        <row r="26">
          <cell r="Y26">
            <v>0</v>
          </cell>
        </row>
        <row r="28">
          <cell r="Y28">
            <v>6796654</v>
          </cell>
        </row>
        <row r="29">
          <cell r="Y29">
            <v>2696026</v>
          </cell>
        </row>
        <row r="36">
          <cell r="Y36">
            <v>20000000</v>
          </cell>
        </row>
        <row r="37">
          <cell r="Y37">
            <v>1188176</v>
          </cell>
        </row>
        <row r="38">
          <cell r="Y38">
            <v>19095988</v>
          </cell>
        </row>
        <row r="45">
          <cell r="Y45">
            <v>-3336004</v>
          </cell>
        </row>
        <row r="54">
          <cell r="Y54">
            <v>1629615</v>
          </cell>
        </row>
        <row r="55">
          <cell r="Y55">
            <v>83810193</v>
          </cell>
        </row>
        <row r="56">
          <cell r="Y56">
            <v>3396900</v>
          </cell>
        </row>
        <row r="57">
          <cell r="Y57">
            <v>13422343</v>
          </cell>
        </row>
        <row r="58">
          <cell r="Y58">
            <v>19852425</v>
          </cell>
        </row>
        <row r="59">
          <cell r="Y59">
            <v>1716605</v>
          </cell>
        </row>
        <row r="60">
          <cell r="Y60">
            <v>67256</v>
          </cell>
        </row>
        <row r="63">
          <cell r="Y63">
            <v>5017375</v>
          </cell>
        </row>
        <row r="68">
          <cell r="Y68">
            <v>52541</v>
          </cell>
        </row>
        <row r="69">
          <cell r="Y69">
            <v>56514151</v>
          </cell>
        </row>
        <row r="70">
          <cell r="Y70">
            <v>828830</v>
          </cell>
          <cell r="AW70">
            <v>828830</v>
          </cell>
        </row>
        <row r="73">
          <cell r="Y73">
            <v>17039142</v>
          </cell>
        </row>
        <row r="74">
          <cell r="Y74">
            <v>1033359</v>
          </cell>
        </row>
        <row r="75">
          <cell r="Y75">
            <v>1061915</v>
          </cell>
          <cell r="AW75">
            <v>1061915</v>
          </cell>
        </row>
        <row r="76">
          <cell r="Y76">
            <v>8848</v>
          </cell>
        </row>
        <row r="79">
          <cell r="Y79">
            <v>2071341</v>
          </cell>
          <cell r="AW79">
            <v>1976311</v>
          </cell>
        </row>
        <row r="80">
          <cell r="Y80">
            <v>12766</v>
          </cell>
          <cell r="AW80">
            <v>7294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9">
          <cell r="X19">
            <v>618622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8">
          <cell r="X28">
            <v>954389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BS"/>
      <sheetName val="PL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0ФинАр"/>
      <sheetName val="21ТКЗ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 refreshError="1"/>
      <sheetData sheetId="1" refreshError="1">
        <row r="11">
          <cell r="D11">
            <v>40601</v>
          </cell>
        </row>
        <row r="16">
          <cell r="D16">
            <v>47999737.555001929</v>
          </cell>
        </row>
        <row r="68">
          <cell r="D68">
            <v>49450</v>
          </cell>
        </row>
      </sheetData>
      <sheetData sheetId="2" refreshError="1">
        <row r="7">
          <cell r="Y7">
            <v>130309651</v>
          </cell>
        </row>
        <row r="8">
          <cell r="Y8">
            <v>1405202</v>
          </cell>
        </row>
        <row r="9">
          <cell r="Y9">
            <v>404300</v>
          </cell>
        </row>
        <row r="10">
          <cell r="Y10">
            <v>0</v>
          </cell>
        </row>
        <row r="12">
          <cell r="Y12">
            <v>773648</v>
          </cell>
        </row>
        <row r="13">
          <cell r="Y13">
            <v>1244550</v>
          </cell>
        </row>
        <row r="21">
          <cell r="Y21">
            <v>2747905</v>
          </cell>
        </row>
        <row r="22">
          <cell r="Y22">
            <v>8204032</v>
          </cell>
        </row>
        <row r="23">
          <cell r="Y23">
            <v>112130</v>
          </cell>
        </row>
        <row r="24">
          <cell r="Y24">
            <v>262137</v>
          </cell>
        </row>
        <row r="25">
          <cell r="Y25">
            <v>831959</v>
          </cell>
        </row>
        <row r="26">
          <cell r="Y26">
            <v>6463387</v>
          </cell>
        </row>
        <row r="28">
          <cell r="Y28">
            <v>11011</v>
          </cell>
        </row>
        <row r="29">
          <cell r="Y29">
            <v>365901</v>
          </cell>
        </row>
        <row r="38">
          <cell r="Y38">
            <v>19732400</v>
          </cell>
        </row>
        <row r="54">
          <cell r="Y54">
            <v>1598798</v>
          </cell>
        </row>
        <row r="55">
          <cell r="Y55">
            <v>52145766</v>
          </cell>
        </row>
        <row r="56">
          <cell r="Y56">
            <v>3491727</v>
          </cell>
        </row>
        <row r="58">
          <cell r="Y58">
            <v>18716468</v>
          </cell>
        </row>
        <row r="59">
          <cell r="Y59">
            <v>1716605</v>
          </cell>
        </row>
        <row r="60">
          <cell r="Y60">
            <v>64716</v>
          </cell>
        </row>
        <row r="63">
          <cell r="Y63">
            <v>26240</v>
          </cell>
        </row>
        <row r="69">
          <cell r="Y69">
            <v>44368718</v>
          </cell>
        </row>
        <row r="73">
          <cell r="Y73">
            <v>16522062</v>
          </cell>
        </row>
        <row r="74">
          <cell r="Y74">
            <v>1288044</v>
          </cell>
        </row>
        <row r="76">
          <cell r="Y76">
            <v>8793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9">
          <cell r="X19">
            <v>672202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8">
          <cell r="X28">
            <v>948958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BS"/>
      <sheetName val="PL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0ФинАр"/>
      <sheetName val="21ТКЗ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 refreshError="1"/>
      <sheetData sheetId="1" refreshError="1">
        <row r="72">
          <cell r="D72">
            <v>232687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5"/>
  <sheetViews>
    <sheetView workbookViewId="0">
      <selection activeCell="A9" sqref="A9:D9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25" customWidth="1"/>
    <col min="5" max="5" width="14.5703125" style="93" bestFit="1" customWidth="1"/>
    <col min="6" max="6" width="37.5703125" style="156" customWidth="1"/>
    <col min="7" max="7" width="9.140625" style="157"/>
    <col min="8" max="8" width="14.5703125" style="157" bestFit="1" customWidth="1"/>
    <col min="9" max="9" width="19.140625" style="157" customWidth="1"/>
    <col min="10" max="11" width="9.140625" style="93"/>
    <col min="12" max="16384" width="9.140625" style="4"/>
  </cols>
  <sheetData>
    <row r="1" spans="1:11" x14ac:dyDescent="0.2">
      <c r="D1" s="5"/>
    </row>
    <row r="2" spans="1:11" x14ac:dyDescent="0.2">
      <c r="D2" s="5"/>
    </row>
    <row r="3" spans="1:11" x14ac:dyDescent="0.2">
      <c r="D3" s="5"/>
    </row>
    <row r="4" spans="1:11" x14ac:dyDescent="0.2">
      <c r="D4" s="5"/>
    </row>
    <row r="5" spans="1:11" x14ac:dyDescent="0.2">
      <c r="D5" s="5"/>
    </row>
    <row r="6" spans="1:11" x14ac:dyDescent="0.2">
      <c r="D6" s="5"/>
    </row>
    <row r="7" spans="1:11" s="6" customFormat="1" ht="22.5" customHeight="1" x14ac:dyDescent="0.2">
      <c r="A7" s="178" t="s">
        <v>179</v>
      </c>
      <c r="B7" s="178"/>
      <c r="C7" s="178"/>
      <c r="D7" s="178"/>
      <c r="E7" s="94"/>
      <c r="F7" s="158"/>
      <c r="G7" s="159"/>
      <c r="H7" s="159"/>
      <c r="I7" s="159"/>
      <c r="J7" s="94"/>
      <c r="K7" s="94"/>
    </row>
    <row r="8" spans="1:11" s="6" customFormat="1" ht="12" customHeight="1" x14ac:dyDescent="0.2">
      <c r="A8" s="179" t="s">
        <v>180</v>
      </c>
      <c r="B8" s="179"/>
      <c r="C8" s="179"/>
      <c r="D8" s="179"/>
      <c r="E8" s="94"/>
      <c r="F8" s="158"/>
      <c r="G8" s="159"/>
      <c r="H8" s="159"/>
      <c r="I8" s="159"/>
      <c r="J8" s="94"/>
      <c r="K8" s="94"/>
    </row>
    <row r="9" spans="1:11" s="6" customFormat="1" ht="21.75" customHeight="1" x14ac:dyDescent="0.2">
      <c r="A9" s="179" t="s">
        <v>225</v>
      </c>
      <c r="B9" s="179"/>
      <c r="C9" s="179"/>
      <c r="D9" s="179"/>
      <c r="E9" s="94"/>
      <c r="F9" s="158"/>
      <c r="G9" s="159"/>
      <c r="H9" s="159"/>
      <c r="I9" s="159"/>
      <c r="J9" s="94"/>
      <c r="K9" s="94"/>
    </row>
    <row r="10" spans="1:11" s="6" customFormat="1" ht="12" hidden="1" customHeight="1" x14ac:dyDescent="0.2">
      <c r="A10" s="179" t="s">
        <v>34</v>
      </c>
      <c r="B10" s="179"/>
      <c r="C10" s="179"/>
      <c r="D10" s="179"/>
      <c r="E10" s="94"/>
      <c r="F10" s="158"/>
      <c r="G10" s="159"/>
      <c r="H10" s="159"/>
      <c r="I10" s="159"/>
      <c r="J10" s="94"/>
      <c r="K10" s="94"/>
    </row>
    <row r="11" spans="1:11" s="6" customFormat="1" ht="12" hidden="1" customHeight="1" x14ac:dyDescent="0.2">
      <c r="A11" s="3"/>
      <c r="B11" s="3"/>
      <c r="C11" s="3"/>
      <c r="D11" s="7"/>
      <c r="E11" s="94"/>
      <c r="F11" s="158"/>
      <c r="G11" s="159"/>
      <c r="H11" s="159"/>
      <c r="I11" s="159"/>
      <c r="J11" s="94"/>
      <c r="K11" s="94"/>
    </row>
    <row r="12" spans="1:11" s="6" customFormat="1" ht="12.95" hidden="1" customHeight="1" x14ac:dyDescent="0.2">
      <c r="A12" s="181" t="s">
        <v>124</v>
      </c>
      <c r="B12" s="181"/>
      <c r="C12" s="181"/>
      <c r="D12" s="181"/>
      <c r="E12" s="94"/>
      <c r="F12" s="158"/>
      <c r="G12" s="159"/>
      <c r="H12" s="159"/>
      <c r="I12" s="159"/>
      <c r="J12" s="94"/>
      <c r="K12" s="94"/>
    </row>
    <row r="13" spans="1:11" s="6" customFormat="1" ht="12.95" hidden="1" customHeight="1" x14ac:dyDescent="0.2">
      <c r="A13" s="69"/>
      <c r="B13" s="69"/>
      <c r="C13" s="69"/>
      <c r="D13" s="70"/>
      <c r="E13" s="94"/>
      <c r="F13" s="158"/>
      <c r="G13" s="159"/>
      <c r="H13" s="159"/>
      <c r="I13" s="159"/>
      <c r="J13" s="94"/>
      <c r="K13" s="94"/>
    </row>
    <row r="14" spans="1:11" s="6" customFormat="1" ht="16.5" hidden="1" customHeight="1" x14ac:dyDescent="0.2">
      <c r="A14" s="181" t="s">
        <v>152</v>
      </c>
      <c r="B14" s="181"/>
      <c r="C14" s="181"/>
      <c r="D14" s="181"/>
      <c r="E14" s="94"/>
      <c r="F14" s="158"/>
      <c r="G14" s="159"/>
      <c r="H14" s="159"/>
      <c r="I14" s="159"/>
      <c r="J14" s="94"/>
      <c r="K14" s="94"/>
    </row>
    <row r="15" spans="1:11" s="6" customFormat="1" ht="12.95" hidden="1" customHeight="1" x14ac:dyDescent="0.2">
      <c r="A15" s="182" t="s">
        <v>83</v>
      </c>
      <c r="B15" s="182"/>
      <c r="C15" s="182"/>
      <c r="D15" s="182"/>
      <c r="E15" s="94"/>
      <c r="F15" s="158"/>
      <c r="G15" s="159"/>
      <c r="H15" s="159"/>
      <c r="I15" s="159"/>
      <c r="J15" s="94"/>
      <c r="K15" s="94"/>
    </row>
    <row r="16" spans="1:11" s="6" customFormat="1" ht="12.95" hidden="1" customHeight="1" x14ac:dyDescent="0.2">
      <c r="A16" s="69"/>
      <c r="B16" s="69"/>
      <c r="C16" s="69"/>
      <c r="D16" s="70"/>
      <c r="E16" s="94"/>
      <c r="F16" s="158"/>
      <c r="G16" s="159"/>
      <c r="H16" s="159"/>
      <c r="I16" s="159"/>
      <c r="J16" s="94"/>
      <c r="K16" s="94"/>
    </row>
    <row r="17" spans="1:11" s="6" customFormat="1" ht="12.95" hidden="1" customHeight="1" x14ac:dyDescent="0.2">
      <c r="A17" s="181" t="s">
        <v>125</v>
      </c>
      <c r="B17" s="181"/>
      <c r="C17" s="181"/>
      <c r="D17" s="181"/>
      <c r="E17" s="94"/>
      <c r="F17" s="158"/>
      <c r="G17" s="159"/>
      <c r="H17" s="159"/>
      <c r="I17" s="159"/>
      <c r="J17" s="94"/>
      <c r="K17" s="94"/>
    </row>
    <row r="18" spans="1:11" s="6" customFormat="1" ht="7.5" hidden="1" customHeight="1" x14ac:dyDescent="0.2">
      <c r="A18" s="69"/>
      <c r="B18" s="69"/>
      <c r="C18" s="69"/>
      <c r="D18" s="70"/>
      <c r="E18" s="94"/>
      <c r="F18" s="158"/>
      <c r="G18" s="159"/>
      <c r="H18" s="159"/>
      <c r="I18" s="159"/>
      <c r="J18" s="94"/>
      <c r="K18" s="94"/>
    </row>
    <row r="19" spans="1:11" s="6" customFormat="1" ht="18.75" hidden="1" customHeight="1" x14ac:dyDescent="0.2">
      <c r="A19" s="181" t="s">
        <v>126</v>
      </c>
      <c r="B19" s="181"/>
      <c r="C19" s="181"/>
      <c r="D19" s="181"/>
      <c r="E19" s="94"/>
      <c r="F19" s="158"/>
      <c r="G19" s="159"/>
      <c r="H19" s="159"/>
      <c r="I19" s="159"/>
      <c r="J19" s="94"/>
      <c r="K19" s="94"/>
    </row>
    <row r="20" spans="1:11" s="6" customFormat="1" ht="15.75" hidden="1" customHeight="1" x14ac:dyDescent="0.2">
      <c r="D20" s="8"/>
      <c r="E20" s="94"/>
      <c r="F20" s="158"/>
      <c r="G20" s="159"/>
      <c r="H20" s="159"/>
      <c r="I20" s="159"/>
      <c r="J20" s="94"/>
      <c r="K20" s="94"/>
    </row>
    <row r="21" spans="1:11" s="6" customFormat="1" ht="15.75" customHeight="1" x14ac:dyDescent="0.2">
      <c r="D21" s="8"/>
      <c r="E21" s="94"/>
      <c r="F21" s="158"/>
      <c r="G21" s="159"/>
      <c r="H21" s="159"/>
      <c r="I21" s="159"/>
      <c r="J21" s="94"/>
      <c r="K21" s="94"/>
    </row>
    <row r="22" spans="1:11" s="6" customFormat="1" ht="21.75" customHeight="1" x14ac:dyDescent="0.2">
      <c r="A22" s="180" t="s">
        <v>178</v>
      </c>
      <c r="B22" s="180"/>
      <c r="C22" s="180"/>
      <c r="D22" s="180"/>
      <c r="E22" s="94"/>
      <c r="F22" s="158"/>
      <c r="G22" s="159"/>
      <c r="H22" s="159"/>
      <c r="I22" s="159"/>
      <c r="J22" s="94"/>
      <c r="K22" s="94"/>
    </row>
    <row r="23" spans="1:11" s="12" customFormat="1" ht="34.5" customHeight="1" x14ac:dyDescent="0.2">
      <c r="A23" s="9"/>
      <c r="B23" s="151" t="s">
        <v>199</v>
      </c>
      <c r="C23" s="152" t="s">
        <v>176</v>
      </c>
      <c r="D23" s="153" t="s">
        <v>177</v>
      </c>
      <c r="E23" s="95"/>
      <c r="F23" s="160"/>
      <c r="G23" s="161"/>
      <c r="H23" s="161"/>
      <c r="I23" s="161"/>
      <c r="J23" s="95"/>
      <c r="K23" s="95"/>
    </row>
    <row r="24" spans="1:11" s="6" customFormat="1" ht="11.25" hidden="1" customHeight="1" x14ac:dyDescent="0.2">
      <c r="A24" s="78">
        <v>1</v>
      </c>
      <c r="B24" s="78">
        <v>2</v>
      </c>
      <c r="C24" s="78">
        <v>3</v>
      </c>
      <c r="D24" s="79">
        <v>4</v>
      </c>
      <c r="E24" s="94"/>
      <c r="F24" s="158"/>
      <c r="G24" s="159"/>
      <c r="H24" s="159"/>
      <c r="I24" s="159"/>
      <c r="J24" s="94"/>
      <c r="K24" s="94"/>
    </row>
    <row r="25" spans="1:11" s="6" customFormat="1" ht="20.25" customHeight="1" x14ac:dyDescent="0.2">
      <c r="A25" s="177" t="s">
        <v>35</v>
      </c>
      <c r="B25" s="154"/>
      <c r="C25" s="154"/>
      <c r="D25" s="155"/>
      <c r="E25" s="94"/>
      <c r="F25" s="158"/>
      <c r="G25" s="159"/>
      <c r="H25" s="159"/>
      <c r="I25" s="159"/>
      <c r="J25" s="94"/>
      <c r="K25" s="94"/>
    </row>
    <row r="26" spans="1:11" s="6" customFormat="1" ht="14.1" customHeight="1" x14ac:dyDescent="0.2">
      <c r="A26" s="13" t="s">
        <v>181</v>
      </c>
      <c r="B26" s="13" t="s">
        <v>0</v>
      </c>
      <c r="C26" s="50"/>
      <c r="D26" s="73"/>
      <c r="E26" s="94"/>
      <c r="F26" s="22"/>
      <c r="G26" s="22"/>
      <c r="H26" s="22"/>
      <c r="I26" s="22"/>
      <c r="J26" s="94"/>
      <c r="K26" s="94"/>
    </row>
    <row r="27" spans="1:11" s="6" customFormat="1" ht="14.1" customHeight="1" x14ac:dyDescent="0.2">
      <c r="A27" s="13"/>
      <c r="B27" s="13"/>
      <c r="C27" s="50"/>
      <c r="D27" s="73"/>
      <c r="E27" s="94"/>
      <c r="F27" s="22"/>
      <c r="G27" s="22"/>
      <c r="H27" s="22"/>
      <c r="I27" s="22"/>
      <c r="J27" s="94"/>
      <c r="K27" s="94"/>
    </row>
    <row r="28" spans="1:11" s="6" customFormat="1" ht="14.1" customHeight="1" x14ac:dyDescent="0.2">
      <c r="A28" s="13" t="s">
        <v>38</v>
      </c>
      <c r="B28" s="15" t="s">
        <v>200</v>
      </c>
      <c r="C28" s="73">
        <f>[1]BS!$Y$7</f>
        <v>197304747</v>
      </c>
      <c r="D28" s="73">
        <f>[2]BS!$Y$7</f>
        <v>130309651</v>
      </c>
      <c r="E28" s="94"/>
      <c r="F28" s="22"/>
      <c r="G28" s="22"/>
      <c r="H28" s="22"/>
      <c r="I28" s="22"/>
      <c r="J28" s="94"/>
      <c r="K28" s="94"/>
    </row>
    <row r="29" spans="1:11" s="6" customFormat="1" ht="14.1" customHeight="1" x14ac:dyDescent="0.2">
      <c r="A29" s="13" t="s">
        <v>204</v>
      </c>
      <c r="B29" s="15"/>
      <c r="C29" s="73">
        <v>0</v>
      </c>
      <c r="D29" s="73">
        <f>'[2]BS на печать'!$D$16</f>
        <v>47999737.555001929</v>
      </c>
      <c r="E29" s="94"/>
      <c r="F29" s="22"/>
      <c r="G29" s="22"/>
      <c r="H29" s="22"/>
      <c r="I29" s="22"/>
      <c r="J29" s="94"/>
      <c r="K29" s="94"/>
    </row>
    <row r="30" spans="1:11" s="6" customFormat="1" ht="14.1" customHeight="1" x14ac:dyDescent="0.2">
      <c r="A30" s="13" t="s">
        <v>141</v>
      </c>
      <c r="B30" s="15" t="s">
        <v>201</v>
      </c>
      <c r="C30" s="73">
        <f>'[1]BS на печать'!$D$8</f>
        <v>51850838.170000002</v>
      </c>
      <c r="D30" s="73">
        <f>[2]BS!$Y$8</f>
        <v>1405202</v>
      </c>
      <c r="E30" s="94"/>
      <c r="F30" s="22"/>
      <c r="G30" s="22"/>
      <c r="H30" s="22"/>
      <c r="I30" s="22"/>
      <c r="J30" s="94"/>
      <c r="K30" s="94"/>
    </row>
    <row r="31" spans="1:11" s="6" customFormat="1" ht="14.1" customHeight="1" x14ac:dyDescent="0.2">
      <c r="A31" s="13" t="s">
        <v>39</v>
      </c>
      <c r="B31" s="15" t="s">
        <v>202</v>
      </c>
      <c r="C31" s="73">
        <f>[1]BS!$Y$9</f>
        <v>662493</v>
      </c>
      <c r="D31" s="73">
        <f>[2]BS!$Y$9</f>
        <v>404300</v>
      </c>
      <c r="E31" s="94"/>
      <c r="F31" s="22"/>
      <c r="G31" s="22"/>
      <c r="H31" s="22"/>
      <c r="I31" s="22"/>
      <c r="J31" s="94"/>
      <c r="K31" s="94"/>
    </row>
    <row r="32" spans="1:11" s="6" customFormat="1" ht="14.1" customHeight="1" x14ac:dyDescent="0.2">
      <c r="A32" s="13" t="s">
        <v>41</v>
      </c>
      <c r="B32" s="15" t="s">
        <v>203</v>
      </c>
      <c r="C32" s="73">
        <f>[1]BS!$Y$12</f>
        <v>370629</v>
      </c>
      <c r="D32" s="73">
        <f>[2]BS!$Y$12</f>
        <v>773648</v>
      </c>
      <c r="E32" s="94"/>
      <c r="F32" s="22"/>
      <c r="G32" s="22"/>
      <c r="H32" s="22"/>
      <c r="I32" s="22"/>
      <c r="J32" s="94"/>
      <c r="K32" s="94"/>
    </row>
    <row r="33" spans="1:11" s="6" customFormat="1" ht="15" customHeight="1" x14ac:dyDescent="0.2">
      <c r="A33" s="13" t="s">
        <v>216</v>
      </c>
      <c r="B33" s="15" t="s">
        <v>206</v>
      </c>
      <c r="C33" s="73">
        <f>[1]BS!$Y$11</f>
        <v>41066</v>
      </c>
      <c r="D33" s="73">
        <f>'[2]BS на печать'!$D$11</f>
        <v>40601</v>
      </c>
      <c r="E33" s="94"/>
      <c r="F33" s="22"/>
      <c r="G33" s="22"/>
      <c r="H33" s="22"/>
      <c r="I33" s="22"/>
      <c r="J33" s="94"/>
      <c r="K33" s="94"/>
    </row>
    <row r="34" spans="1:11" s="6" customFormat="1" ht="19.5" hidden="1" customHeight="1" x14ac:dyDescent="0.2">
      <c r="A34" s="13" t="s">
        <v>37</v>
      </c>
      <c r="B34" s="15"/>
      <c r="C34" s="73">
        <v>0</v>
      </c>
      <c r="D34" s="73">
        <v>0</v>
      </c>
      <c r="E34" s="94"/>
      <c r="F34" s="22"/>
      <c r="G34" s="22"/>
      <c r="H34" s="22"/>
      <c r="I34" s="22"/>
      <c r="J34" s="94"/>
      <c r="K34" s="94"/>
    </row>
    <row r="35" spans="1:11" s="6" customFormat="1" ht="14.1" hidden="1" customHeight="1" x14ac:dyDescent="0.2">
      <c r="A35" s="13" t="s">
        <v>56</v>
      </c>
      <c r="B35" s="15"/>
      <c r="C35" s="73"/>
      <c r="D35" s="73"/>
      <c r="E35" s="94"/>
      <c r="F35" s="22"/>
      <c r="G35" s="22"/>
      <c r="H35" s="22"/>
      <c r="I35" s="22"/>
      <c r="J35" s="94"/>
      <c r="K35" s="94"/>
    </row>
    <row r="36" spans="1:11" s="6" customFormat="1" ht="14.1" hidden="1" customHeight="1" x14ac:dyDescent="0.2">
      <c r="E36" s="94"/>
      <c r="J36" s="94"/>
      <c r="K36" s="94"/>
    </row>
    <row r="37" spans="1:11" s="6" customFormat="1" ht="14.1" customHeight="1" x14ac:dyDescent="0.2">
      <c r="A37" s="13" t="s">
        <v>40</v>
      </c>
      <c r="B37" s="15"/>
      <c r="C37" s="73">
        <f>[1]BS!$Y$10</f>
        <v>0</v>
      </c>
      <c r="D37" s="73">
        <f>[2]BS!$Y$10</f>
        <v>0</v>
      </c>
      <c r="E37" s="94"/>
      <c r="F37" s="22"/>
      <c r="G37" s="22"/>
      <c r="H37" s="22"/>
      <c r="I37" s="22"/>
      <c r="J37" s="94"/>
      <c r="K37" s="94"/>
    </row>
    <row r="38" spans="1:11" s="6" customFormat="1" ht="14.1" customHeight="1" x14ac:dyDescent="0.2">
      <c r="A38" s="13" t="s">
        <v>41</v>
      </c>
      <c r="B38" s="15" t="s">
        <v>206</v>
      </c>
      <c r="C38" s="73">
        <f>[1]BS!$Y$13</f>
        <v>1216641</v>
      </c>
      <c r="D38" s="73">
        <f>[2]BS!$Y$13</f>
        <v>1244550</v>
      </c>
      <c r="E38" s="94"/>
      <c r="F38" s="22"/>
      <c r="G38" s="22"/>
      <c r="H38" s="22"/>
      <c r="I38" s="22"/>
      <c r="J38" s="94"/>
      <c r="K38" s="94"/>
    </row>
    <row r="39" spans="1:11" s="6" customFormat="1" ht="14.1" customHeight="1" x14ac:dyDescent="0.2">
      <c r="A39" s="13" t="s">
        <v>42</v>
      </c>
      <c r="B39" s="16"/>
      <c r="C39" s="50">
        <f>SUM(C28:C38)</f>
        <v>251446414.17000002</v>
      </c>
      <c r="D39" s="50">
        <f>SUM(D28:D38)</f>
        <v>182177689.55500191</v>
      </c>
      <c r="E39" s="94"/>
      <c r="F39" s="158"/>
      <c r="G39" s="159"/>
      <c r="H39" s="159"/>
      <c r="I39" s="159"/>
      <c r="J39" s="94"/>
      <c r="K39" s="94"/>
    </row>
    <row r="40" spans="1:11" s="6" customFormat="1" ht="14.1" customHeight="1" x14ac:dyDescent="0.2">
      <c r="A40" s="13" t="s">
        <v>182</v>
      </c>
      <c r="B40" s="13" t="s">
        <v>0</v>
      </c>
      <c r="C40" s="118"/>
      <c r="D40" s="14"/>
      <c r="E40" s="94"/>
      <c r="F40" s="158"/>
      <c r="G40" s="159"/>
      <c r="H40" s="159"/>
      <c r="I40" s="159"/>
      <c r="J40" s="94"/>
      <c r="K40" s="94"/>
    </row>
    <row r="41" spans="1:11" s="6" customFormat="1" ht="14.1" customHeight="1" x14ac:dyDescent="0.2">
      <c r="A41" s="13"/>
      <c r="B41" s="13"/>
      <c r="C41" s="118"/>
      <c r="D41" s="14"/>
      <c r="E41" s="94"/>
      <c r="F41" s="158"/>
      <c r="G41" s="159"/>
      <c r="H41" s="159"/>
      <c r="I41" s="159"/>
      <c r="J41" s="94"/>
      <c r="K41" s="94"/>
    </row>
    <row r="42" spans="1:11" s="6" customFormat="1" ht="14.1" customHeight="1" x14ac:dyDescent="0.2">
      <c r="A42" s="13" t="s">
        <v>142</v>
      </c>
      <c r="B42" s="15" t="s">
        <v>207</v>
      </c>
      <c r="C42" s="73">
        <f>[1]BS!$Y$21</f>
        <v>2621954</v>
      </c>
      <c r="D42" s="73">
        <f>[2]BS!$Y$21</f>
        <v>2747905</v>
      </c>
      <c r="E42" s="94"/>
      <c r="F42" s="158"/>
      <c r="G42" s="159"/>
      <c r="H42" s="159"/>
      <c r="I42" s="159"/>
      <c r="J42" s="94"/>
      <c r="K42" s="94"/>
    </row>
    <row r="43" spans="1:11" s="6" customFormat="1" ht="14.1" customHeight="1" x14ac:dyDescent="0.2">
      <c r="A43" s="13" t="s">
        <v>133</v>
      </c>
      <c r="B43" s="15" t="s">
        <v>208</v>
      </c>
      <c r="C43" s="73">
        <f>[1]BS!$Y$22</f>
        <v>8933162</v>
      </c>
      <c r="D43" s="73">
        <f>[2]BS!$Y$22</f>
        <v>8204032</v>
      </c>
      <c r="E43" s="94"/>
      <c r="F43" s="158"/>
      <c r="G43" s="159"/>
      <c r="H43" s="162"/>
      <c r="I43" s="159"/>
      <c r="J43" s="94"/>
      <c r="K43" s="94"/>
    </row>
    <row r="44" spans="1:11" s="6" customFormat="1" ht="14.1" customHeight="1" x14ac:dyDescent="0.2">
      <c r="A44" s="13" t="s">
        <v>135</v>
      </c>
      <c r="B44" s="15" t="s">
        <v>206</v>
      </c>
      <c r="C44" s="73">
        <f>[1]BS!$Y$25+[1]BS!$Y$26-C46</f>
        <v>3176308</v>
      </c>
      <c r="D44" s="73">
        <f>[2]BS!$Y$25+[2]BS!$Y$26-D46</f>
        <v>6623144</v>
      </c>
      <c r="E44" s="94"/>
      <c r="F44" s="158"/>
      <c r="G44" s="159"/>
      <c r="H44" s="159"/>
      <c r="I44" s="159"/>
      <c r="J44" s="94"/>
      <c r="K44" s="94"/>
    </row>
    <row r="45" spans="1:11" s="6" customFormat="1" ht="14.1" customHeight="1" x14ac:dyDescent="0.2">
      <c r="A45" s="13" t="s">
        <v>137</v>
      </c>
      <c r="B45" s="15" t="s">
        <v>206</v>
      </c>
      <c r="C45" s="73">
        <f>[1]BS!$Y$24</f>
        <v>231889</v>
      </c>
      <c r="D45" s="73">
        <f>[2]BS!$Y$24</f>
        <v>262137</v>
      </c>
      <c r="E45" s="94"/>
      <c r="F45" s="158"/>
      <c r="G45" s="159"/>
      <c r="H45" s="159"/>
      <c r="I45" s="159"/>
      <c r="J45" s="94"/>
      <c r="K45" s="94"/>
    </row>
    <row r="46" spans="1:11" s="6" customFormat="1" ht="14.1" customHeight="1" x14ac:dyDescent="0.2">
      <c r="A46" s="26" t="s">
        <v>136</v>
      </c>
      <c r="B46" s="15" t="s">
        <v>206</v>
      </c>
      <c r="C46" s="73">
        <f>'[1]12'!$X$19-432</f>
        <v>618190</v>
      </c>
      <c r="D46" s="73">
        <f>'[2]12'!$X$19</f>
        <v>672202</v>
      </c>
      <c r="E46" s="94"/>
      <c r="F46" s="158"/>
      <c r="G46" s="159"/>
      <c r="H46" s="159"/>
      <c r="I46" s="159"/>
      <c r="J46" s="94"/>
      <c r="K46" s="94"/>
    </row>
    <row r="47" spans="1:11" s="6" customFormat="1" ht="14.1" customHeight="1" x14ac:dyDescent="0.2">
      <c r="A47" s="13" t="s">
        <v>134</v>
      </c>
      <c r="B47" s="15" t="s">
        <v>205</v>
      </c>
      <c r="C47" s="73">
        <f>[1]BS!$Y$23</f>
        <v>2207436</v>
      </c>
      <c r="D47" s="73">
        <f>[2]BS!$Y$23</f>
        <v>112130</v>
      </c>
      <c r="E47" s="94"/>
      <c r="F47" s="158"/>
      <c r="G47" s="159"/>
      <c r="H47" s="159"/>
      <c r="I47" s="159"/>
      <c r="J47" s="94"/>
      <c r="K47" s="94"/>
    </row>
    <row r="48" spans="1:11" s="6" customFormat="1" ht="14.1" customHeight="1" x14ac:dyDescent="0.2">
      <c r="A48" s="13" t="s">
        <v>100</v>
      </c>
      <c r="B48" s="15" t="s">
        <v>206</v>
      </c>
      <c r="C48" s="73">
        <f>[1]BS!$Y$28</f>
        <v>6796654</v>
      </c>
      <c r="D48" s="73">
        <f>[2]BS!$Y$28</f>
        <v>11011</v>
      </c>
      <c r="E48" s="94"/>
      <c r="F48" s="158"/>
      <c r="G48" s="159"/>
      <c r="H48" s="159"/>
      <c r="I48" s="159"/>
      <c r="J48" s="94"/>
      <c r="K48" s="94"/>
    </row>
    <row r="49" spans="1:11" s="6" customFormat="1" ht="14.1" customHeight="1" x14ac:dyDescent="0.2">
      <c r="A49" s="13" t="s">
        <v>159</v>
      </c>
      <c r="B49" s="15"/>
      <c r="C49" s="115" t="s">
        <v>144</v>
      </c>
      <c r="D49" s="115" t="s">
        <v>144</v>
      </c>
      <c r="E49" s="94"/>
      <c r="F49" s="158"/>
      <c r="G49" s="159"/>
      <c r="H49" s="159"/>
      <c r="I49" s="159"/>
      <c r="J49" s="94"/>
      <c r="K49" s="94"/>
    </row>
    <row r="50" spans="1:11" s="6" customFormat="1" ht="14.1" hidden="1" customHeight="1" x14ac:dyDescent="0.2">
      <c r="E50" s="94"/>
      <c r="F50" s="158"/>
      <c r="G50" s="159"/>
      <c r="H50" s="159"/>
      <c r="I50" s="159"/>
      <c r="J50" s="94"/>
      <c r="K50" s="94"/>
    </row>
    <row r="51" spans="1:11" s="6" customFormat="1" ht="14.1" hidden="1" customHeight="1" x14ac:dyDescent="0.2">
      <c r="E51" s="94"/>
      <c r="F51" s="158"/>
      <c r="G51" s="159"/>
      <c r="H51" s="159"/>
      <c r="I51" s="159"/>
      <c r="J51" s="94"/>
      <c r="K51" s="94"/>
    </row>
    <row r="52" spans="1:11" s="6" customFormat="1" ht="14.1" hidden="1" customHeight="1" x14ac:dyDescent="0.2">
      <c r="E52" s="94"/>
      <c r="F52" s="158"/>
      <c r="G52" s="159"/>
      <c r="H52" s="159"/>
      <c r="I52" s="159"/>
      <c r="J52" s="94"/>
      <c r="K52" s="94"/>
    </row>
    <row r="53" spans="1:11" s="6" customFormat="1" ht="14.1" customHeight="1" x14ac:dyDescent="0.2">
      <c r="A53" s="13" t="s">
        <v>143</v>
      </c>
      <c r="B53" s="15" t="s">
        <v>209</v>
      </c>
      <c r="C53" s="73">
        <f>[1]BS!$Y$29</f>
        <v>2696026</v>
      </c>
      <c r="D53" s="73">
        <f>[2]BS!$Y$29</f>
        <v>365901</v>
      </c>
      <c r="E53" s="94"/>
      <c r="F53" s="158"/>
      <c r="G53" s="159"/>
      <c r="H53" s="159"/>
      <c r="I53" s="159"/>
      <c r="J53" s="94"/>
      <c r="K53" s="94"/>
    </row>
    <row r="54" spans="1:11" s="6" customFormat="1" ht="14.1" customHeight="1" x14ac:dyDescent="0.2">
      <c r="A54" s="13" t="s">
        <v>36</v>
      </c>
      <c r="B54" s="15"/>
      <c r="C54" s="50">
        <f>SUM(C42:C53)</f>
        <v>27281619</v>
      </c>
      <c r="D54" s="50">
        <f>SUM(D42:D53)</f>
        <v>18998462</v>
      </c>
      <c r="E54" s="94"/>
      <c r="F54" s="174"/>
      <c r="G54" s="159"/>
      <c r="H54" s="159"/>
      <c r="I54" s="159"/>
      <c r="J54" s="94"/>
      <c r="K54" s="94"/>
    </row>
    <row r="55" spans="1:11" s="6" customFormat="1" ht="14.1" customHeight="1" x14ac:dyDescent="0.2">
      <c r="A55" s="13"/>
      <c r="B55" s="15"/>
      <c r="C55" s="50"/>
      <c r="D55" s="50"/>
      <c r="E55" s="94"/>
      <c r="F55" s="174"/>
      <c r="G55" s="159"/>
      <c r="H55" s="159"/>
      <c r="I55" s="159"/>
      <c r="J55" s="94"/>
      <c r="K55" s="94"/>
    </row>
    <row r="56" spans="1:11" s="6" customFormat="1" ht="20.25" customHeight="1" x14ac:dyDescent="0.2">
      <c r="A56" s="17" t="s">
        <v>183</v>
      </c>
      <c r="B56" s="18" t="s">
        <v>0</v>
      </c>
      <c r="C56" s="74">
        <f>C39+C54</f>
        <v>278728033.17000002</v>
      </c>
      <c r="D56" s="74">
        <f>D39+D54</f>
        <v>201176151.55500191</v>
      </c>
      <c r="E56" s="94"/>
      <c r="F56" s="158"/>
      <c r="G56" s="159"/>
      <c r="H56" s="159"/>
      <c r="I56" s="159"/>
      <c r="J56" s="94"/>
      <c r="K56" s="94"/>
    </row>
    <row r="57" spans="1:11" s="6" customFormat="1" ht="27.75" hidden="1" customHeight="1" x14ac:dyDescent="0.2">
      <c r="A57" s="18" t="s">
        <v>43</v>
      </c>
      <c r="B57" s="9"/>
      <c r="C57" s="10"/>
      <c r="D57" s="11"/>
      <c r="E57" s="94"/>
      <c r="F57" s="158"/>
      <c r="G57" s="159"/>
      <c r="H57" s="159"/>
      <c r="I57" s="159"/>
      <c r="J57" s="94"/>
      <c r="K57" s="94"/>
    </row>
    <row r="58" spans="1:11" s="6" customFormat="1" ht="13.5" hidden="1" customHeight="1" x14ac:dyDescent="0.2">
      <c r="A58" s="9"/>
      <c r="B58" s="78"/>
      <c r="C58" s="78"/>
      <c r="D58" s="79"/>
      <c r="E58" s="94"/>
      <c r="F58" s="158"/>
      <c r="G58" s="159"/>
      <c r="H58" s="159"/>
      <c r="I58" s="159"/>
      <c r="J58" s="94"/>
      <c r="K58" s="94"/>
    </row>
    <row r="59" spans="1:11" s="6" customFormat="1" ht="14.1" customHeight="1" x14ac:dyDescent="0.2">
      <c r="A59" s="13"/>
      <c r="B59" s="16" t="s">
        <v>0</v>
      </c>
      <c r="C59" s="29"/>
      <c r="D59" s="117"/>
      <c r="E59" s="94"/>
      <c r="F59" s="22"/>
      <c r="G59" s="166"/>
      <c r="H59" s="166"/>
      <c r="I59" s="167"/>
      <c r="J59" s="94"/>
      <c r="K59" s="94"/>
    </row>
    <row r="60" spans="1:11" s="6" customFormat="1" ht="14.1" customHeight="1" x14ac:dyDescent="0.2">
      <c r="A60" s="13" t="s">
        <v>184</v>
      </c>
      <c r="B60" s="16" t="s">
        <v>0</v>
      </c>
      <c r="C60" s="29"/>
      <c r="D60" s="117"/>
      <c r="E60" s="94"/>
      <c r="F60" s="22"/>
      <c r="G60" s="20"/>
      <c r="H60" s="20"/>
      <c r="I60" s="168"/>
      <c r="J60" s="94"/>
      <c r="K60" s="94"/>
    </row>
    <row r="61" spans="1:11" s="6" customFormat="1" ht="14.1" customHeight="1" x14ac:dyDescent="0.2">
      <c r="A61" s="13" t="s">
        <v>224</v>
      </c>
      <c r="B61" s="16"/>
      <c r="C61" s="29"/>
      <c r="D61" s="117"/>
      <c r="E61" s="94"/>
      <c r="F61" s="22"/>
      <c r="G61" s="176"/>
      <c r="H61" s="176"/>
      <c r="I61" s="168"/>
      <c r="J61" s="94"/>
      <c r="K61" s="94"/>
    </row>
    <row r="62" spans="1:11" s="6" customFormat="1" ht="14.1" customHeight="1" x14ac:dyDescent="0.2">
      <c r="A62" s="13" t="s">
        <v>145</v>
      </c>
      <c r="B62" s="15" t="s">
        <v>210</v>
      </c>
      <c r="C62" s="50">
        <f>[1]BS!$Y$36+[1]BS!$Y$45</f>
        <v>16663996</v>
      </c>
      <c r="D62" s="73">
        <v>16663996</v>
      </c>
      <c r="E62" s="94"/>
      <c r="F62" s="22"/>
      <c r="G62" s="166"/>
      <c r="H62" s="169"/>
      <c r="I62" s="169"/>
      <c r="J62" s="94"/>
      <c r="K62" s="94"/>
    </row>
    <row r="63" spans="1:11" s="6" customFormat="1" ht="14.1" customHeight="1" x14ac:dyDescent="0.2">
      <c r="A63" s="13" t="s">
        <v>97</v>
      </c>
      <c r="B63" s="15" t="s">
        <v>211</v>
      </c>
      <c r="C63" s="50">
        <f>[1]BS!$Y$37</f>
        <v>1188176</v>
      </c>
      <c r="D63" s="73">
        <v>1188176</v>
      </c>
      <c r="E63" s="94"/>
      <c r="F63" s="22"/>
      <c r="G63" s="166"/>
      <c r="H63" s="169"/>
      <c r="I63" s="169"/>
      <c r="J63" s="94"/>
      <c r="K63" s="94"/>
    </row>
    <row r="64" spans="1:11" s="6" customFormat="1" ht="14.1" customHeight="1" x14ac:dyDescent="0.2">
      <c r="A64" s="13" t="s">
        <v>51</v>
      </c>
      <c r="B64" s="15"/>
      <c r="C64" s="29">
        <v>0</v>
      </c>
      <c r="D64" s="117">
        <v>0</v>
      </c>
      <c r="E64" s="94"/>
      <c r="F64" s="22"/>
      <c r="G64" s="166"/>
      <c r="H64" s="169"/>
      <c r="I64" s="169"/>
      <c r="J64" s="94"/>
      <c r="K64" s="94"/>
    </row>
    <row r="65" spans="1:11" s="6" customFormat="1" ht="14.1" customHeight="1" x14ac:dyDescent="0.2">
      <c r="A65" s="13" t="s">
        <v>52</v>
      </c>
      <c r="B65" s="15"/>
      <c r="C65" s="29">
        <v>0</v>
      </c>
      <c r="D65" s="117">
        <v>0</v>
      </c>
      <c r="E65" s="94"/>
      <c r="F65" s="22"/>
      <c r="G65" s="166"/>
      <c r="H65" s="169"/>
      <c r="I65" s="169"/>
      <c r="J65" s="94"/>
      <c r="K65" s="94"/>
    </row>
    <row r="66" spans="1:11" s="6" customFormat="1" ht="14.1" customHeight="1" x14ac:dyDescent="0.2">
      <c r="A66" s="13" t="s">
        <v>146</v>
      </c>
      <c r="B66" s="15"/>
      <c r="C66" s="50">
        <f>[1]BS!$Y$38</f>
        <v>19095988</v>
      </c>
      <c r="D66" s="73">
        <f>[2]BS!$Y$38</f>
        <v>19732400</v>
      </c>
      <c r="E66" s="94"/>
      <c r="F66" s="22"/>
      <c r="G66" s="166"/>
      <c r="H66" s="169"/>
      <c r="I66" s="169"/>
      <c r="J66" s="94"/>
      <c r="K66" s="94"/>
    </row>
    <row r="67" spans="1:11" s="6" customFormat="1" ht="14.1" customHeight="1" x14ac:dyDescent="0.2">
      <c r="A67" s="13" t="s">
        <v>58</v>
      </c>
      <c r="B67" s="15"/>
      <c r="C67" s="50">
        <f>'[1]BS на печать'!$D$43+'[1]BS на печать'!$D$44</f>
        <v>19093067</v>
      </c>
      <c r="D67" s="73">
        <f>'[1]BS на печать'!$F$42+'[1]BS на печать'!$F$43+'[1]BS на печать'!$F$44</f>
        <v>18548178</v>
      </c>
      <c r="E67" s="94"/>
      <c r="F67" s="22"/>
      <c r="G67" s="166"/>
      <c r="H67" s="169"/>
      <c r="I67" s="169"/>
      <c r="J67" s="94"/>
      <c r="K67" s="94"/>
    </row>
    <row r="68" spans="1:11" s="6" customFormat="1" ht="14.1" customHeight="1" x14ac:dyDescent="0.2">
      <c r="A68" s="13" t="s">
        <v>33</v>
      </c>
      <c r="B68" s="15"/>
      <c r="C68" s="50">
        <f>'[1]BS на печать'!$D$49</f>
        <v>13303908.17</v>
      </c>
      <c r="D68" s="73">
        <v>0</v>
      </c>
      <c r="E68" s="94"/>
      <c r="F68" s="22"/>
      <c r="G68" s="166"/>
      <c r="H68" s="169"/>
      <c r="I68" s="169"/>
      <c r="J68" s="94"/>
      <c r="K68" s="94"/>
    </row>
    <row r="69" spans="1:11" s="6" customFormat="1" ht="14.1" customHeight="1" x14ac:dyDescent="0.2">
      <c r="A69" s="13" t="s">
        <v>54</v>
      </c>
      <c r="B69" s="15"/>
      <c r="C69" s="50">
        <f>SUM(C62:C68)</f>
        <v>69345135.170000002</v>
      </c>
      <c r="D69" s="50">
        <f>SUM(D62:D68)</f>
        <v>56132750</v>
      </c>
      <c r="E69" s="94"/>
      <c r="F69" s="22"/>
      <c r="G69" s="166"/>
      <c r="H69" s="169"/>
      <c r="I69" s="169"/>
      <c r="J69" s="94"/>
      <c r="K69" s="94"/>
    </row>
    <row r="70" spans="1:11" s="6" customFormat="1" ht="14.1" customHeight="1" x14ac:dyDescent="0.2">
      <c r="A70" s="13" t="s">
        <v>185</v>
      </c>
      <c r="B70" s="15"/>
      <c r="C70" s="29"/>
      <c r="D70" s="117"/>
      <c r="E70" s="94"/>
      <c r="F70" s="22"/>
      <c r="G70" s="166"/>
      <c r="H70" s="163"/>
      <c r="I70" s="163"/>
      <c r="J70" s="94"/>
      <c r="K70" s="94"/>
    </row>
    <row r="71" spans="1:11" s="6" customFormat="1" ht="14.1" customHeight="1" x14ac:dyDescent="0.2">
      <c r="A71" s="13"/>
      <c r="B71" s="15"/>
      <c r="C71" s="29"/>
      <c r="D71" s="117"/>
      <c r="E71" s="94"/>
      <c r="F71" s="22"/>
      <c r="G71" s="166"/>
      <c r="H71" s="163"/>
      <c r="I71" s="163"/>
      <c r="J71" s="94"/>
      <c r="K71" s="94"/>
    </row>
    <row r="72" spans="1:11" s="6" customFormat="1" ht="14.1" customHeight="1" x14ac:dyDescent="0.2">
      <c r="A72" s="13" t="s">
        <v>212</v>
      </c>
      <c r="B72" s="15" t="s">
        <v>213</v>
      </c>
      <c r="C72" s="73">
        <f>+[1]BS!$Y$55</f>
        <v>83810193</v>
      </c>
      <c r="D72" s="73">
        <f>[2]BS!$Y$55</f>
        <v>52145766</v>
      </c>
      <c r="E72" s="94"/>
      <c r="J72" s="94"/>
      <c r="K72" s="94"/>
    </row>
    <row r="73" spans="1:11" s="6" customFormat="1" ht="14.1" customHeight="1" x14ac:dyDescent="0.2">
      <c r="A73" s="13" t="s">
        <v>147</v>
      </c>
      <c r="B73" s="15" t="s">
        <v>214</v>
      </c>
      <c r="C73" s="73">
        <f>[1]BS!$Y$54</f>
        <v>1629615</v>
      </c>
      <c r="D73" s="73">
        <f>[2]BS!$Y$54</f>
        <v>1598798</v>
      </c>
      <c r="E73" s="94"/>
      <c r="F73" s="22"/>
      <c r="G73" s="166"/>
      <c r="H73" s="169"/>
      <c r="I73" s="169"/>
      <c r="J73" s="94"/>
      <c r="K73" s="94"/>
    </row>
    <row r="74" spans="1:11" s="6" customFormat="1" ht="14.1" customHeight="1" x14ac:dyDescent="0.2">
      <c r="A74" s="13" t="s">
        <v>47</v>
      </c>
      <c r="B74" s="15" t="s">
        <v>219</v>
      </c>
      <c r="C74" s="50">
        <f>[1]BS!$Y$63</f>
        <v>5017375</v>
      </c>
      <c r="D74" s="73">
        <f>[2]BS!$Y$63</f>
        <v>26240</v>
      </c>
      <c r="E74" s="94"/>
      <c r="F74" s="22"/>
      <c r="G74" s="166"/>
      <c r="H74" s="169"/>
      <c r="I74" s="169"/>
      <c r="J74" s="94"/>
      <c r="K74" s="94"/>
    </row>
    <row r="75" spans="1:11" s="6" customFormat="1" ht="14.1" customHeight="1" x14ac:dyDescent="0.2">
      <c r="A75" s="13" t="s">
        <v>148</v>
      </c>
      <c r="B75" s="15" t="s">
        <v>221</v>
      </c>
      <c r="C75" s="50">
        <f>[1]BS!$Y$60</f>
        <v>67256</v>
      </c>
      <c r="D75" s="73">
        <f>[2]BS!$Y$60</f>
        <v>64716</v>
      </c>
      <c r="E75" s="94"/>
      <c r="F75" s="22"/>
      <c r="G75" s="166"/>
      <c r="H75" s="81"/>
      <c r="I75" s="169"/>
      <c r="J75" s="94"/>
      <c r="K75" s="94"/>
    </row>
    <row r="76" spans="1:11" s="6" customFormat="1" ht="14.1" customHeight="1" x14ac:dyDescent="0.2">
      <c r="A76" s="13" t="s">
        <v>48</v>
      </c>
      <c r="B76" s="15"/>
      <c r="C76" s="50">
        <f>[1]BS!$Y$58</f>
        <v>19852425</v>
      </c>
      <c r="D76" s="73">
        <f>[2]BS!$Y$58</f>
        <v>18716468</v>
      </c>
      <c r="E76" s="94"/>
      <c r="F76" s="22"/>
      <c r="G76" s="166"/>
      <c r="H76" s="81"/>
      <c r="I76" s="169"/>
      <c r="J76" s="94"/>
      <c r="K76" s="94"/>
    </row>
    <row r="77" spans="1:11" s="6" customFormat="1" ht="14.1" customHeight="1" x14ac:dyDescent="0.2">
      <c r="A77" s="13" t="s">
        <v>149</v>
      </c>
      <c r="B77" s="15" t="s">
        <v>217</v>
      </c>
      <c r="C77" s="50">
        <f>[1]BS!$Y$59</f>
        <v>1716605</v>
      </c>
      <c r="D77" s="73">
        <f>[2]BS!$Y$59</f>
        <v>1716605</v>
      </c>
      <c r="E77" s="94"/>
      <c r="F77" s="22"/>
      <c r="G77" s="166"/>
      <c r="H77" s="81"/>
      <c r="I77" s="169"/>
      <c r="J77" s="94"/>
      <c r="K77" s="94"/>
    </row>
    <row r="78" spans="1:11" s="6" customFormat="1" ht="14.1" customHeight="1" x14ac:dyDescent="0.2">
      <c r="A78" s="13" t="s">
        <v>158</v>
      </c>
      <c r="B78" s="15" t="s">
        <v>215</v>
      </c>
      <c r="C78" s="50">
        <f>[1]BS!$Y$56</f>
        <v>3396900</v>
      </c>
      <c r="D78" s="73">
        <f>[2]BS!$Y$56</f>
        <v>3491727</v>
      </c>
      <c r="E78" s="94"/>
      <c r="F78" s="22"/>
      <c r="G78" s="166"/>
      <c r="H78" s="81"/>
      <c r="I78" s="169"/>
      <c r="J78" s="94"/>
      <c r="K78" s="94"/>
    </row>
    <row r="79" spans="1:11" s="6" customFormat="1" ht="14.1" customHeight="1" x14ac:dyDescent="0.2">
      <c r="A79" s="13" t="s">
        <v>170</v>
      </c>
      <c r="B79" s="15" t="s">
        <v>218</v>
      </c>
      <c r="C79" s="50">
        <f>[1]BS!$Y$57</f>
        <v>13422343</v>
      </c>
      <c r="D79" s="73">
        <f>'[1]BS на печать'!$F$57</f>
        <v>938978</v>
      </c>
      <c r="E79" s="94"/>
      <c r="F79" s="22"/>
      <c r="G79" s="166"/>
      <c r="H79" s="81"/>
      <c r="I79" s="169"/>
      <c r="J79" s="94"/>
      <c r="K79" s="94"/>
    </row>
    <row r="80" spans="1:11" s="6" customFormat="1" ht="14.1" customHeight="1" x14ac:dyDescent="0.2">
      <c r="A80" s="13" t="s">
        <v>49</v>
      </c>
      <c r="B80" s="16"/>
      <c r="C80" s="50">
        <f>SUM(C72:C79)</f>
        <v>128912712</v>
      </c>
      <c r="D80" s="50">
        <f>SUM(D72:D79)</f>
        <v>78699298</v>
      </c>
      <c r="E80" s="94"/>
      <c r="F80" s="22"/>
      <c r="G80" s="166"/>
      <c r="H80" s="81"/>
      <c r="I80" s="169"/>
      <c r="J80" s="94"/>
      <c r="K80" s="94"/>
    </row>
    <row r="81" spans="1:11" s="6" customFormat="1" ht="14.1" customHeight="1" x14ac:dyDescent="0.2">
      <c r="A81" s="13" t="s">
        <v>186</v>
      </c>
      <c r="B81" s="16"/>
      <c r="C81" s="16"/>
      <c r="D81" s="116"/>
      <c r="E81" s="94"/>
      <c r="F81" s="22"/>
      <c r="G81" s="20"/>
      <c r="H81" s="170"/>
      <c r="I81" s="171"/>
      <c r="J81" s="94"/>
      <c r="K81" s="94"/>
    </row>
    <row r="82" spans="1:11" s="6" customFormat="1" ht="14.1" customHeight="1" x14ac:dyDescent="0.2">
      <c r="A82" s="13"/>
      <c r="E82" s="94"/>
      <c r="F82" s="22"/>
      <c r="G82" s="20"/>
      <c r="H82" s="170"/>
      <c r="I82" s="171"/>
      <c r="J82" s="94"/>
      <c r="K82" s="94"/>
    </row>
    <row r="83" spans="1:11" s="6" customFormat="1" ht="14.1" customHeight="1" x14ac:dyDescent="0.2">
      <c r="A83" s="13" t="s">
        <v>150</v>
      </c>
      <c r="B83" s="15" t="s">
        <v>214</v>
      </c>
      <c r="C83" s="73">
        <f>[1]BS!$Y$68</f>
        <v>52541</v>
      </c>
      <c r="D83" s="73">
        <f>'[2]BS на печать'!$D$68</f>
        <v>49450</v>
      </c>
      <c r="E83" s="94"/>
      <c r="F83" s="22"/>
      <c r="G83" s="20"/>
      <c r="H83" s="170"/>
      <c r="I83" s="171"/>
      <c r="J83" s="94"/>
      <c r="K83" s="94"/>
    </row>
    <row r="84" spans="1:11" s="6" customFormat="1" ht="14.1" customHeight="1" x14ac:dyDescent="0.2">
      <c r="A84" s="13" t="s">
        <v>151</v>
      </c>
      <c r="B84" s="15" t="s">
        <v>213</v>
      </c>
      <c r="C84" s="73">
        <f>[1]BS!$Y$69</f>
        <v>56514151</v>
      </c>
      <c r="D84" s="73">
        <f>[2]BS!$Y$69</f>
        <v>44368718</v>
      </c>
      <c r="E84" s="94"/>
      <c r="F84" s="22"/>
      <c r="G84" s="166"/>
      <c r="H84" s="81"/>
      <c r="I84" s="169"/>
      <c r="J84" s="94"/>
      <c r="K84" s="94"/>
    </row>
    <row r="85" spans="1:11" s="6" customFormat="1" ht="14.1" customHeight="1" x14ac:dyDescent="0.2">
      <c r="A85" s="13" t="s">
        <v>140</v>
      </c>
      <c r="B85" s="15" t="s">
        <v>221</v>
      </c>
      <c r="C85" s="73">
        <f>'[1]23(1)'!$X$28</f>
        <v>954389</v>
      </c>
      <c r="D85" s="73">
        <f>'[2]23(1)'!$X$28</f>
        <v>948958</v>
      </c>
      <c r="E85" s="94"/>
      <c r="F85" s="22"/>
      <c r="G85" s="166"/>
      <c r="H85" s="81"/>
      <c r="I85" s="169"/>
      <c r="J85" s="94"/>
      <c r="K85" s="94"/>
    </row>
    <row r="86" spans="1:11" s="6" customFormat="1" ht="14.1" customHeight="1" x14ac:dyDescent="0.2">
      <c r="A86" s="13" t="s">
        <v>222</v>
      </c>
      <c r="B86" s="15" t="s">
        <v>223</v>
      </c>
      <c r="C86" s="73">
        <v>828830</v>
      </c>
      <c r="D86" s="73">
        <v>828830</v>
      </c>
      <c r="E86" s="94"/>
      <c r="F86" s="22"/>
      <c r="G86" s="166"/>
      <c r="H86" s="170"/>
      <c r="I86" s="171"/>
      <c r="J86" s="94"/>
      <c r="K86" s="94"/>
    </row>
    <row r="87" spans="1:11" s="6" customFormat="1" ht="14.1" customHeight="1" x14ac:dyDescent="0.2">
      <c r="A87" s="13" t="s">
        <v>138</v>
      </c>
      <c r="B87" s="15" t="s">
        <v>220</v>
      </c>
      <c r="C87" s="73">
        <f>[1]BS!$Y$73</f>
        <v>17039142</v>
      </c>
      <c r="D87" s="73">
        <f>[2]BS!$Y$73</f>
        <v>16522062</v>
      </c>
      <c r="E87" s="94"/>
      <c r="F87" s="22"/>
      <c r="G87" s="166"/>
      <c r="H87" s="170"/>
      <c r="I87" s="171"/>
      <c r="J87" s="94"/>
      <c r="K87" s="94"/>
    </row>
    <row r="88" spans="1:11" s="6" customFormat="1" ht="14.1" customHeight="1" x14ac:dyDescent="0.2">
      <c r="A88" s="13" t="s">
        <v>44</v>
      </c>
      <c r="B88" s="15" t="s">
        <v>221</v>
      </c>
      <c r="C88" s="73">
        <f>[1]BS!$Y$76</f>
        <v>8848</v>
      </c>
      <c r="D88" s="73">
        <f>[2]BS!$Y$76</f>
        <v>8793</v>
      </c>
      <c r="E88" s="96"/>
      <c r="F88" s="22"/>
      <c r="G88" s="166"/>
      <c r="H88" s="81"/>
      <c r="I88" s="169"/>
      <c r="J88" s="94"/>
      <c r="K88" s="94"/>
    </row>
    <row r="89" spans="1:11" s="6" customFormat="1" ht="14.1" customHeight="1" x14ac:dyDescent="0.2">
      <c r="A89" s="13" t="s">
        <v>139</v>
      </c>
      <c r="B89" s="15" t="s">
        <v>221</v>
      </c>
      <c r="C89" s="73">
        <f>[1]BS!$Y$74</f>
        <v>1033359</v>
      </c>
      <c r="D89" s="73">
        <f>[2]BS!$Y$74</f>
        <v>1288044</v>
      </c>
      <c r="E89" s="96"/>
      <c r="F89" s="22"/>
      <c r="G89" s="166"/>
      <c r="H89" s="81"/>
      <c r="I89" s="169"/>
      <c r="J89" s="94"/>
      <c r="K89" s="94"/>
    </row>
    <row r="90" spans="1:11" s="6" customFormat="1" ht="14.1" customHeight="1" x14ac:dyDescent="0.2">
      <c r="A90" s="13" t="s">
        <v>45</v>
      </c>
      <c r="B90" s="15" t="s">
        <v>221</v>
      </c>
      <c r="C90" s="73">
        <f>[1]BS!$Y$75+[1]BS!$Y$79+[1]BS!$Y$80+[1]BS!$Y$70-C85-C86</f>
        <v>2191633</v>
      </c>
      <c r="D90" s="73">
        <f>[1]BS!$AW$79+[1]BS!$AW$80+[1]BS!$AW$70+[1]BS!$AW$75-D85-D86</f>
        <v>2096562</v>
      </c>
      <c r="E90" s="94"/>
      <c r="F90" s="22"/>
      <c r="G90" s="166"/>
      <c r="H90" s="81"/>
      <c r="I90" s="169"/>
      <c r="J90" s="94"/>
      <c r="K90" s="94"/>
    </row>
    <row r="91" spans="1:11" s="6" customFormat="1" ht="14.1" customHeight="1" x14ac:dyDescent="0.2">
      <c r="A91" s="13" t="s">
        <v>169</v>
      </c>
      <c r="B91" s="15" t="s">
        <v>218</v>
      </c>
      <c r="C91" s="73">
        <f>'[1]BS на печать'!$D$72</f>
        <v>1847293</v>
      </c>
      <c r="D91" s="73">
        <f>'[3]BS на печать'!$D$72</f>
        <v>232687</v>
      </c>
      <c r="E91" s="94"/>
      <c r="F91" s="22"/>
      <c r="G91" s="166"/>
      <c r="H91" s="81"/>
      <c r="I91" s="169"/>
      <c r="J91" s="94"/>
      <c r="K91" s="94"/>
    </row>
    <row r="92" spans="1:11" s="6" customFormat="1" ht="13.5" customHeight="1" x14ac:dyDescent="0.2">
      <c r="A92" s="13" t="s">
        <v>46</v>
      </c>
      <c r="B92" s="15"/>
      <c r="C92" s="73">
        <f>SUM(C83:C91)</f>
        <v>80470186</v>
      </c>
      <c r="D92" s="73">
        <f>SUM(D83:D91)</f>
        <v>66344104</v>
      </c>
      <c r="E92" s="94"/>
      <c r="F92" s="22"/>
      <c r="G92" s="20"/>
      <c r="H92" s="81"/>
      <c r="I92" s="169"/>
      <c r="J92" s="94"/>
      <c r="K92" s="94"/>
    </row>
    <row r="93" spans="1:11" s="6" customFormat="1" ht="20.25" customHeight="1" x14ac:dyDescent="0.2">
      <c r="A93" s="13" t="s">
        <v>187</v>
      </c>
      <c r="B93" s="15"/>
      <c r="C93" s="50">
        <f>C80+C92</f>
        <v>209382898</v>
      </c>
      <c r="D93" s="50">
        <f>D80+D92</f>
        <v>145043402</v>
      </c>
      <c r="E93" s="94"/>
      <c r="F93" s="22"/>
      <c r="G93" s="176"/>
      <c r="H93" s="81"/>
      <c r="I93" s="169"/>
      <c r="J93" s="94"/>
      <c r="K93" s="94"/>
    </row>
    <row r="94" spans="1:11" s="6" customFormat="1" ht="15.75" customHeight="1" x14ac:dyDescent="0.2">
      <c r="A94" s="13"/>
      <c r="B94" s="15"/>
      <c r="C94" s="50"/>
      <c r="D94" s="50"/>
      <c r="E94" s="98"/>
      <c r="F94" s="22"/>
      <c r="G94" s="20"/>
      <c r="H94" s="81"/>
      <c r="I94" s="169"/>
      <c r="J94" s="94"/>
      <c r="K94" s="94"/>
    </row>
    <row r="95" spans="1:11" s="6" customFormat="1" ht="23.25" customHeight="1" x14ac:dyDescent="0.2">
      <c r="A95" s="17" t="s">
        <v>188</v>
      </c>
      <c r="B95" s="18" t="s">
        <v>0</v>
      </c>
      <c r="C95" s="74">
        <f>C69+C93</f>
        <v>278728033.17000002</v>
      </c>
      <c r="D95" s="74">
        <f>D69+D93</f>
        <v>201176152</v>
      </c>
      <c r="E95" s="96"/>
      <c r="F95" s="22"/>
      <c r="G95" s="22"/>
      <c r="H95" s="164"/>
      <c r="I95" s="164"/>
      <c r="J95" s="94"/>
      <c r="K95" s="94"/>
    </row>
    <row r="96" spans="1:11" s="6" customFormat="1" ht="15" customHeight="1" x14ac:dyDescent="0.2">
      <c r="C96" s="105"/>
      <c r="D96" s="106"/>
      <c r="E96" s="94"/>
      <c r="F96" s="22"/>
      <c r="G96" s="22"/>
      <c r="H96" s="165"/>
      <c r="I96" s="106"/>
      <c r="J96" s="94"/>
      <c r="K96" s="94"/>
    </row>
    <row r="97" spans="1:11" s="6" customFormat="1" ht="19.5" customHeight="1" x14ac:dyDescent="0.2">
      <c r="B97" s="20"/>
      <c r="C97" s="75"/>
      <c r="D97" s="75"/>
      <c r="E97" s="94"/>
      <c r="F97" s="19"/>
      <c r="G97" s="20"/>
      <c r="H97" s="75"/>
      <c r="I97" s="21"/>
      <c r="J97" s="94"/>
      <c r="K97" s="94"/>
    </row>
    <row r="98" spans="1:11" s="6" customFormat="1" ht="18.75" customHeight="1" x14ac:dyDescent="0.2">
      <c r="E98" s="96">
        <f>C56-C95</f>
        <v>0</v>
      </c>
      <c r="F98" s="175">
        <f>D56-D95</f>
        <v>-0.44499808549880981</v>
      </c>
      <c r="G98" s="20"/>
      <c r="H98" s="89"/>
      <c r="I98" s="23"/>
      <c r="J98" s="94"/>
      <c r="K98" s="94"/>
    </row>
    <row r="99" spans="1:11" s="6" customFormat="1" ht="18.75" customHeight="1" x14ac:dyDescent="0.2">
      <c r="A99" s="22" t="s">
        <v>0</v>
      </c>
      <c r="B99" s="20"/>
      <c r="C99" s="20"/>
      <c r="D99" s="23"/>
      <c r="E99" s="94"/>
      <c r="F99" s="22"/>
      <c r="G99" s="20"/>
      <c r="H99" s="20"/>
      <c r="I99" s="23"/>
      <c r="J99" s="94"/>
      <c r="K99" s="94"/>
    </row>
    <row r="100" spans="1:11" s="6" customFormat="1" ht="12" customHeight="1" x14ac:dyDescent="0.2">
      <c r="A100" s="22" t="s">
        <v>165</v>
      </c>
      <c r="B100" s="20"/>
      <c r="C100" s="92"/>
      <c r="D100" s="23" t="s">
        <v>162</v>
      </c>
      <c r="E100" s="94"/>
      <c r="F100" s="22"/>
      <c r="G100" s="20"/>
      <c r="H100" s="92"/>
      <c r="I100" s="92"/>
      <c r="J100" s="94"/>
      <c r="K100" s="94"/>
    </row>
    <row r="101" spans="1:11" s="6" customFormat="1" ht="12" customHeight="1" x14ac:dyDescent="0.2">
      <c r="A101" s="22"/>
      <c r="B101" s="20"/>
      <c r="C101" s="92"/>
      <c r="D101" s="92"/>
      <c r="E101" s="94"/>
      <c r="F101" s="22"/>
      <c r="G101" s="20"/>
      <c r="H101" s="92"/>
      <c r="I101" s="23"/>
      <c r="J101" s="94"/>
      <c r="K101" s="94"/>
    </row>
    <row r="102" spans="1:11" s="6" customFormat="1" ht="12" customHeight="1" x14ac:dyDescent="0.2">
      <c r="A102" s="22"/>
      <c r="B102" s="20"/>
      <c r="C102" s="20"/>
      <c r="D102" s="23"/>
      <c r="E102" s="94"/>
      <c r="F102" s="22"/>
      <c r="G102" s="20"/>
      <c r="H102" s="20"/>
      <c r="I102" s="24"/>
      <c r="J102" s="94"/>
      <c r="K102" s="94"/>
    </row>
    <row r="103" spans="1:11" s="6" customFormat="1" ht="12" customHeight="1" x14ac:dyDescent="0.2">
      <c r="A103" s="22" t="s">
        <v>153</v>
      </c>
      <c r="B103" s="20"/>
      <c r="C103" s="20"/>
      <c r="D103" s="24" t="s">
        <v>160</v>
      </c>
      <c r="E103" s="94"/>
      <c r="F103" s="22"/>
      <c r="G103" s="20"/>
      <c r="H103" s="20"/>
      <c r="I103" s="23"/>
      <c r="J103" s="94"/>
      <c r="K103" s="94"/>
    </row>
    <row r="104" spans="1:11" s="6" customFormat="1" ht="12" customHeight="1" x14ac:dyDescent="0.2">
      <c r="B104" s="3"/>
      <c r="C104" s="3"/>
      <c r="D104" s="8"/>
      <c r="E104" s="94"/>
      <c r="F104" s="22"/>
      <c r="G104" s="20"/>
      <c r="H104" s="20"/>
      <c r="I104" s="23"/>
      <c r="J104" s="94"/>
      <c r="K104" s="94"/>
    </row>
    <row r="105" spans="1:11" s="6" customFormat="1" ht="12" customHeight="1" x14ac:dyDescent="0.2">
      <c r="A105" s="6" t="s">
        <v>55</v>
      </c>
      <c r="B105" s="3"/>
      <c r="C105" s="3"/>
      <c r="D105" s="8"/>
      <c r="E105" s="94"/>
      <c r="F105" s="22"/>
      <c r="G105" s="20"/>
      <c r="H105" s="20"/>
      <c r="I105" s="23"/>
      <c r="J105" s="94"/>
      <c r="K105" s="94"/>
    </row>
    <row r="106" spans="1:11" s="6" customFormat="1" ht="12" customHeight="1" x14ac:dyDescent="0.2">
      <c r="B106" s="64"/>
      <c r="C106" s="97"/>
      <c r="D106" s="65"/>
      <c r="E106" s="94"/>
      <c r="F106" s="158"/>
      <c r="G106" s="159"/>
      <c r="H106" s="159"/>
      <c r="I106" s="159"/>
      <c r="J106" s="94"/>
      <c r="K106" s="94"/>
    </row>
    <row r="107" spans="1:11" s="6" customFormat="1" ht="12" customHeight="1" x14ac:dyDescent="0.2">
      <c r="A107" s="64"/>
      <c r="B107" s="64"/>
      <c r="C107" s="64"/>
      <c r="D107" s="65"/>
      <c r="E107" s="94"/>
      <c r="F107" s="158"/>
      <c r="G107" s="159"/>
      <c r="H107" s="159"/>
      <c r="I107" s="159"/>
      <c r="J107" s="94"/>
      <c r="K107" s="94"/>
    </row>
    <row r="108" spans="1:11" s="6" customFormat="1" ht="12" customHeight="1" x14ac:dyDescent="0.2">
      <c r="A108" s="64"/>
      <c r="B108" s="64"/>
      <c r="C108" s="64"/>
      <c r="D108" s="65"/>
      <c r="E108" s="94"/>
      <c r="F108" s="158"/>
      <c r="G108" s="159"/>
      <c r="H108" s="159"/>
      <c r="I108" s="159"/>
      <c r="J108" s="94"/>
      <c r="K108" s="94"/>
    </row>
    <row r="109" spans="1:11" s="6" customFormat="1" ht="12" customHeight="1" x14ac:dyDescent="0.2">
      <c r="A109" s="64"/>
      <c r="B109" s="64"/>
      <c r="C109" s="64"/>
      <c r="D109" s="65"/>
      <c r="E109" s="94"/>
      <c r="F109" s="158"/>
      <c r="G109" s="159"/>
      <c r="H109" s="159"/>
      <c r="I109" s="159"/>
      <c r="J109" s="94"/>
      <c r="K109" s="94"/>
    </row>
    <row r="110" spans="1:11" s="6" customFormat="1" ht="12" customHeight="1" x14ac:dyDescent="0.2">
      <c r="A110" s="64"/>
      <c r="B110" s="64"/>
      <c r="C110" s="64"/>
      <c r="D110" s="65"/>
      <c r="E110" s="94"/>
      <c r="F110" s="158"/>
      <c r="G110" s="159"/>
      <c r="H110" s="159"/>
      <c r="I110" s="159"/>
      <c r="J110" s="94"/>
      <c r="K110" s="94"/>
    </row>
    <row r="111" spans="1:11" s="6" customFormat="1" ht="12" customHeight="1" x14ac:dyDescent="0.2">
      <c r="A111" s="64"/>
      <c r="B111" s="64"/>
      <c r="C111" s="64"/>
      <c r="D111" s="65"/>
      <c r="E111" s="94"/>
      <c r="F111" s="158"/>
      <c r="G111" s="159"/>
      <c r="H111" s="159"/>
      <c r="I111" s="159"/>
      <c r="J111" s="94"/>
      <c r="K111" s="94"/>
    </row>
    <row r="112" spans="1:11" s="6" customFormat="1" ht="12" customHeight="1" x14ac:dyDescent="0.2">
      <c r="A112" s="64"/>
      <c r="D112" s="8"/>
      <c r="E112" s="94"/>
      <c r="F112" s="158"/>
      <c r="G112" s="159"/>
      <c r="H112" s="159"/>
      <c r="I112" s="159"/>
      <c r="J112" s="94"/>
      <c r="K112" s="94"/>
    </row>
    <row r="113" spans="1:11" s="6" customFormat="1" ht="12" customHeight="1" x14ac:dyDescent="0.2">
      <c r="D113" s="8"/>
      <c r="E113" s="94"/>
      <c r="F113" s="158"/>
      <c r="G113" s="159"/>
      <c r="H113" s="159"/>
      <c r="I113" s="159"/>
      <c r="J113" s="94"/>
      <c r="K113" s="94"/>
    </row>
    <row r="114" spans="1:11" s="6" customFormat="1" ht="12" customHeight="1" x14ac:dyDescent="0.2">
      <c r="D114" s="8"/>
      <c r="E114" s="94"/>
      <c r="F114" s="158"/>
      <c r="G114" s="159"/>
      <c r="H114" s="159"/>
      <c r="I114" s="159"/>
      <c r="J114" s="94"/>
      <c r="K114" s="94"/>
    </row>
    <row r="115" spans="1:11" ht="12" customHeight="1" x14ac:dyDescent="0.2">
      <c r="A115" s="6"/>
    </row>
    <row r="116" spans="1:11" ht="12" customHeight="1" x14ac:dyDescent="0.2"/>
    <row r="117" spans="1:11" ht="12" customHeight="1" x14ac:dyDescent="0.2"/>
    <row r="118" spans="1:11" ht="12" customHeight="1" x14ac:dyDescent="0.2"/>
    <row r="119" spans="1:11" ht="12" customHeight="1" x14ac:dyDescent="0.2"/>
    <row r="120" spans="1:11" ht="12" customHeight="1" x14ac:dyDescent="0.2"/>
    <row r="121" spans="1:11" ht="12" customHeight="1" x14ac:dyDescent="0.2"/>
    <row r="122" spans="1:11" ht="12" customHeight="1" x14ac:dyDescent="0.2"/>
    <row r="123" spans="1:11" ht="12" customHeight="1" x14ac:dyDescent="0.2"/>
    <row r="124" spans="1:11" ht="12" customHeight="1" x14ac:dyDescent="0.2"/>
    <row r="125" spans="1:11" ht="12" customHeight="1" x14ac:dyDescent="0.2"/>
    <row r="126" spans="1:11" ht="12" customHeight="1" x14ac:dyDescent="0.2"/>
    <row r="127" spans="1:11" ht="12" customHeight="1" x14ac:dyDescent="0.2"/>
    <row r="128" spans="1:1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mergeCells count="10">
    <mergeCell ref="A7:D7"/>
    <mergeCell ref="A9:D9"/>
    <mergeCell ref="A22:D22"/>
    <mergeCell ref="A14:D14"/>
    <mergeCell ref="A10:D10"/>
    <mergeCell ref="A15:D15"/>
    <mergeCell ref="A17:D17"/>
    <mergeCell ref="A19:D19"/>
    <mergeCell ref="A12:D12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I63"/>
  <sheetViews>
    <sheetView tabSelected="1" topLeftCell="A36" zoomScaleNormal="100" workbookViewId="0">
      <selection activeCell="B58" sqref="B58"/>
    </sheetView>
  </sheetViews>
  <sheetFormatPr defaultRowHeight="14.25" x14ac:dyDescent="0.2"/>
  <cols>
    <col min="1" max="1" width="72.7109375" style="4" customWidth="1"/>
    <col min="2" max="2" width="4.85546875" style="4" customWidth="1"/>
    <col min="3" max="4" width="15.7109375" style="4" customWidth="1"/>
    <col min="5" max="5" width="15.7109375" style="4" hidden="1" customWidth="1"/>
    <col min="6" max="7" width="15.7109375" style="4" customWidth="1"/>
    <col min="8" max="8" width="4.28515625" style="37" customWidth="1"/>
    <col min="9" max="9" width="17.5703125" style="4" hidden="1" customWidth="1"/>
    <col min="10" max="10" width="9.140625" style="4"/>
    <col min="11" max="11" width="17.5703125" style="4" customWidth="1"/>
    <col min="12" max="16384" width="9.140625" style="4"/>
  </cols>
  <sheetData>
    <row r="8" spans="1:6" ht="18.75" x14ac:dyDescent="0.3">
      <c r="A8" s="183" t="s">
        <v>189</v>
      </c>
      <c r="B8" s="183"/>
      <c r="C8" s="183"/>
      <c r="D8" s="183"/>
      <c r="E8" s="183"/>
      <c r="F8" s="183"/>
    </row>
    <row r="9" spans="1:6" x14ac:dyDescent="0.2">
      <c r="A9" s="184" t="s">
        <v>180</v>
      </c>
      <c r="B9" s="184"/>
      <c r="C9" s="184"/>
      <c r="D9" s="184"/>
      <c r="E9" s="184"/>
      <c r="F9" s="184"/>
    </row>
    <row r="10" spans="1:6" x14ac:dyDescent="0.2">
      <c r="A10" s="184" t="str">
        <f>бб!A9</f>
        <v>за 6 месяцев, закончившиеся  30 июня 2021 г.</v>
      </c>
      <c r="B10" s="184"/>
      <c r="C10" s="184"/>
      <c r="D10" s="184"/>
      <c r="E10" s="184"/>
      <c r="F10" s="184"/>
    </row>
    <row r="11" spans="1:6" hidden="1" x14ac:dyDescent="0.2">
      <c r="A11" s="184" t="s">
        <v>75</v>
      </c>
      <c r="B11" s="184"/>
      <c r="C11" s="184"/>
      <c r="D11" s="184"/>
      <c r="E11" s="184"/>
      <c r="F11" s="184"/>
    </row>
    <row r="12" spans="1:6" hidden="1" x14ac:dyDescent="0.2">
      <c r="A12" s="179"/>
      <c r="B12" s="179"/>
      <c r="C12" s="179"/>
      <c r="D12" s="179"/>
      <c r="E12" s="179"/>
      <c r="F12" s="179"/>
    </row>
    <row r="13" spans="1:6" ht="15.75" hidden="1" x14ac:dyDescent="0.2">
      <c r="A13" s="186" t="s">
        <v>127</v>
      </c>
      <c r="B13" s="186"/>
      <c r="C13" s="186"/>
      <c r="D13" s="186"/>
      <c r="E13" s="186"/>
      <c r="F13" s="186"/>
    </row>
    <row r="14" spans="1:6" ht="15.75" hidden="1" x14ac:dyDescent="0.2">
      <c r="A14" s="69"/>
      <c r="B14" s="69"/>
      <c r="C14" s="69"/>
      <c r="D14" s="123"/>
      <c r="E14" s="69"/>
      <c r="F14" s="72"/>
    </row>
    <row r="15" spans="1:6" ht="15.75" hidden="1" x14ac:dyDescent="0.2">
      <c r="A15" s="186" t="s">
        <v>154</v>
      </c>
      <c r="B15" s="186"/>
      <c r="C15" s="186"/>
      <c r="D15" s="186"/>
      <c r="E15" s="186"/>
      <c r="F15" s="186"/>
    </row>
    <row r="16" spans="1:6" ht="15.75" hidden="1" x14ac:dyDescent="0.2">
      <c r="A16" s="185" t="s">
        <v>1</v>
      </c>
      <c r="B16" s="185"/>
      <c r="C16" s="185"/>
      <c r="D16" s="185"/>
      <c r="E16" s="185"/>
      <c r="F16" s="185"/>
    </row>
    <row r="17" spans="1:9" ht="15.75" hidden="1" x14ac:dyDescent="0.2">
      <c r="A17" s="69"/>
      <c r="B17" s="69"/>
      <c r="C17" s="69"/>
      <c r="D17" s="123"/>
      <c r="E17" s="69"/>
      <c r="F17" s="72"/>
    </row>
    <row r="18" spans="1:9" ht="15.75" hidden="1" x14ac:dyDescent="0.2">
      <c r="A18" s="186" t="s">
        <v>128</v>
      </c>
      <c r="B18" s="186"/>
      <c r="C18" s="186"/>
      <c r="D18" s="186"/>
      <c r="E18" s="186"/>
      <c r="F18" s="186"/>
    </row>
    <row r="19" spans="1:9" ht="15.75" hidden="1" x14ac:dyDescent="0.2">
      <c r="A19" s="69"/>
      <c r="B19" s="69"/>
      <c r="C19" s="69"/>
      <c r="D19" s="123"/>
      <c r="E19" s="69"/>
      <c r="F19" s="72"/>
    </row>
    <row r="20" spans="1:9" ht="15.75" hidden="1" x14ac:dyDescent="0.2">
      <c r="A20" s="186" t="s">
        <v>168</v>
      </c>
      <c r="B20" s="186"/>
      <c r="C20" s="186"/>
      <c r="D20" s="186"/>
      <c r="E20" s="186"/>
      <c r="F20" s="186"/>
    </row>
    <row r="21" spans="1:9" x14ac:dyDescent="0.2">
      <c r="A21" s="180" t="s">
        <v>178</v>
      </c>
      <c r="B21" s="180"/>
      <c r="C21" s="180"/>
      <c r="D21" s="180"/>
      <c r="E21" s="180"/>
      <c r="F21" s="180"/>
      <c r="G21" s="37"/>
    </row>
    <row r="22" spans="1:9" ht="57" x14ac:dyDescent="0.2">
      <c r="A22" s="9" t="s">
        <v>2</v>
      </c>
      <c r="B22" s="124" t="s">
        <v>199</v>
      </c>
      <c r="C22" s="124" t="s">
        <v>197</v>
      </c>
      <c r="D22" s="144" t="s">
        <v>226</v>
      </c>
      <c r="E22" s="124" t="s">
        <v>175</v>
      </c>
      <c r="F22" s="124" t="s">
        <v>198</v>
      </c>
      <c r="G22" s="124" t="s">
        <v>227</v>
      </c>
      <c r="H22" s="125"/>
      <c r="I22" s="37"/>
    </row>
    <row r="23" spans="1:9" x14ac:dyDescent="0.2">
      <c r="A23" s="27" t="s">
        <v>76</v>
      </c>
      <c r="B23" s="126" t="s">
        <v>221</v>
      </c>
      <c r="C23" s="127">
        <f>[1]PL!$Y$6</f>
        <v>42409899</v>
      </c>
      <c r="D23" s="145">
        <f>C23-E23</f>
        <v>17093048</v>
      </c>
      <c r="E23" s="127">
        <v>25316851</v>
      </c>
      <c r="F23" s="127">
        <v>27420025</v>
      </c>
      <c r="G23" s="127">
        <v>10141124</v>
      </c>
      <c r="H23" s="128"/>
      <c r="I23" s="150">
        <f>(D23-G23)/G23</f>
        <v>0.68551809444396894</v>
      </c>
    </row>
    <row r="24" spans="1:9" x14ac:dyDescent="0.2">
      <c r="A24" s="27" t="s">
        <v>77</v>
      </c>
      <c r="B24" s="126" t="s">
        <v>221</v>
      </c>
      <c r="C24" s="127">
        <f>-[1]PL!$Y$8</f>
        <v>25544255</v>
      </c>
      <c r="D24" s="145">
        <f t="shared" ref="D24:D56" si="0">C24-E24</f>
        <v>12889694</v>
      </c>
      <c r="E24" s="127">
        <v>12654561</v>
      </c>
      <c r="F24" s="127">
        <v>21375671</v>
      </c>
      <c r="G24" s="127">
        <v>10303015</v>
      </c>
      <c r="H24" s="128"/>
      <c r="I24" s="150">
        <f t="shared" ref="I24:I57" si="1">(D24-G24)/G24</f>
        <v>0.2510603934867609</v>
      </c>
    </row>
    <row r="25" spans="1:9" x14ac:dyDescent="0.2">
      <c r="A25" s="27" t="s">
        <v>109</v>
      </c>
      <c r="B25" s="126" t="s">
        <v>221</v>
      </c>
      <c r="C25" s="127">
        <f>C23-C24</f>
        <v>16865644</v>
      </c>
      <c r="D25" s="145">
        <f t="shared" si="0"/>
        <v>4203354</v>
      </c>
      <c r="E25" s="127">
        <f t="shared" ref="E25" si="2">E23-E24</f>
        <v>12662290</v>
      </c>
      <c r="F25" s="127">
        <v>6044354</v>
      </c>
      <c r="G25" s="127">
        <v>-161891</v>
      </c>
      <c r="H25" s="128"/>
      <c r="I25" s="150">
        <f t="shared" si="1"/>
        <v>-26.964099301381793</v>
      </c>
    </row>
    <row r="26" spans="1:9" x14ac:dyDescent="0.2">
      <c r="A26" s="27" t="s">
        <v>78</v>
      </c>
      <c r="B26" s="126" t="s">
        <v>221</v>
      </c>
      <c r="C26" s="127">
        <f>[1]PL!$Y$15</f>
        <v>2242405</v>
      </c>
      <c r="D26" s="145">
        <f t="shared" si="0"/>
        <v>294084</v>
      </c>
      <c r="E26" s="127">
        <v>1948321</v>
      </c>
      <c r="F26" s="127">
        <v>406290</v>
      </c>
      <c r="G26" s="127">
        <v>376365</v>
      </c>
      <c r="H26" s="128"/>
      <c r="I26" s="150">
        <f t="shared" si="1"/>
        <v>-0.21862022239049858</v>
      </c>
    </row>
    <row r="27" spans="1:9" x14ac:dyDescent="0.2">
      <c r="A27" s="27" t="s">
        <v>166</v>
      </c>
      <c r="B27" s="126" t="s">
        <v>221</v>
      </c>
      <c r="C27" s="127">
        <f>[1]PL!$Y$20+[1]PL!$Y$21-1</f>
        <v>-1010326</v>
      </c>
      <c r="D27" s="145">
        <f t="shared" si="0"/>
        <v>-253134</v>
      </c>
      <c r="E27" s="127">
        <v>-757192</v>
      </c>
      <c r="F27" s="127">
        <v>-87588</v>
      </c>
      <c r="G27" s="127">
        <v>162858</v>
      </c>
      <c r="H27" s="128"/>
      <c r="I27" s="150">
        <f t="shared" si="1"/>
        <v>-2.5543233982979037</v>
      </c>
    </row>
    <row r="28" spans="1:9" x14ac:dyDescent="0.2">
      <c r="A28" s="27" t="s">
        <v>79</v>
      </c>
      <c r="B28" s="126" t="s">
        <v>221</v>
      </c>
      <c r="C28" s="127">
        <f>-[1]PL!$Y$13</f>
        <v>462613</v>
      </c>
      <c r="D28" s="145">
        <f t="shared" si="0"/>
        <v>241985</v>
      </c>
      <c r="E28" s="127">
        <v>220628</v>
      </c>
      <c r="F28" s="127">
        <v>413432</v>
      </c>
      <c r="G28" s="127">
        <v>203306</v>
      </c>
      <c r="H28" s="128"/>
      <c r="I28" s="150">
        <f t="shared" si="1"/>
        <v>0.19025016477624862</v>
      </c>
    </row>
    <row r="29" spans="1:9" x14ac:dyDescent="0.2">
      <c r="A29" s="27" t="s">
        <v>80</v>
      </c>
      <c r="B29" s="126" t="s">
        <v>221</v>
      </c>
      <c r="C29" s="127">
        <f>-[1]PL!$Y$12</f>
        <v>2026601</v>
      </c>
      <c r="D29" s="145">
        <f t="shared" si="0"/>
        <v>922672</v>
      </c>
      <c r="E29" s="127">
        <v>1103929</v>
      </c>
      <c r="F29" s="127">
        <v>1748806</v>
      </c>
      <c r="G29" s="127">
        <v>939144</v>
      </c>
      <c r="H29" s="128"/>
      <c r="I29" s="150">
        <f t="shared" si="1"/>
        <v>-1.753937628308332E-2</v>
      </c>
    </row>
    <row r="30" spans="1:9" x14ac:dyDescent="0.2">
      <c r="A30" s="27" t="s">
        <v>81</v>
      </c>
      <c r="B30" s="126" t="s">
        <v>221</v>
      </c>
      <c r="C30" s="127">
        <f>-[1]PL!$Y$14</f>
        <v>9056231</v>
      </c>
      <c r="D30" s="145">
        <f t="shared" si="0"/>
        <v>4667535</v>
      </c>
      <c r="E30" s="127">
        <v>4388696</v>
      </c>
      <c r="F30" s="127">
        <v>2285277</v>
      </c>
      <c r="G30" s="127">
        <v>1152663</v>
      </c>
      <c r="H30" s="128"/>
      <c r="I30" s="150">
        <f t="shared" si="1"/>
        <v>3.0493492026724205</v>
      </c>
    </row>
    <row r="31" spans="1:9" x14ac:dyDescent="0.2">
      <c r="A31" s="27" t="s">
        <v>163</v>
      </c>
      <c r="B31" s="126" t="s">
        <v>221</v>
      </c>
      <c r="C31" s="127">
        <f>-[1]PL!$Y$16</f>
        <v>2919810</v>
      </c>
      <c r="D31" s="145">
        <f t="shared" si="0"/>
        <v>3490386</v>
      </c>
      <c r="E31" s="127">
        <v>-570576</v>
      </c>
      <c r="F31" s="127">
        <v>-604805</v>
      </c>
      <c r="G31" s="127">
        <v>-420322</v>
      </c>
      <c r="H31" s="128"/>
      <c r="I31" s="150">
        <f t="shared" si="1"/>
        <v>-9.3040763985706203</v>
      </c>
    </row>
    <row r="32" spans="1:9" ht="28.5" x14ac:dyDescent="0.2">
      <c r="A32" s="26" t="s">
        <v>82</v>
      </c>
      <c r="B32" s="126"/>
      <c r="C32" s="129"/>
      <c r="D32" s="145">
        <f t="shared" si="0"/>
        <v>0</v>
      </c>
      <c r="E32" s="129"/>
      <c r="F32" s="129"/>
      <c r="G32" s="127"/>
      <c r="H32" s="130"/>
      <c r="I32" s="150"/>
    </row>
    <row r="33" spans="1:9" ht="28.5" x14ac:dyDescent="0.2">
      <c r="A33" s="26" t="s">
        <v>110</v>
      </c>
      <c r="B33" s="131" t="s">
        <v>221</v>
      </c>
      <c r="C33" s="132">
        <f>C25+C26+C27-C28-C29-C30-C31+C32</f>
        <v>3632468</v>
      </c>
      <c r="D33" s="145">
        <f t="shared" si="0"/>
        <v>-5078274</v>
      </c>
      <c r="E33" s="132">
        <f t="shared" ref="E33" si="3">E25+E26+E27-E28-E29-E30-E31+E32</f>
        <v>8710742</v>
      </c>
      <c r="F33" s="132">
        <v>2520346</v>
      </c>
      <c r="G33" s="132">
        <v>-1497459</v>
      </c>
      <c r="H33" s="133"/>
      <c r="I33" s="150">
        <f t="shared" si="1"/>
        <v>2.3912607957880652</v>
      </c>
    </row>
    <row r="34" spans="1:9" x14ac:dyDescent="0.2">
      <c r="A34" s="27" t="s">
        <v>111</v>
      </c>
      <c r="B34" s="126"/>
      <c r="C34" s="129">
        <v>0</v>
      </c>
      <c r="D34" s="145">
        <f t="shared" si="0"/>
        <v>0</v>
      </c>
      <c r="E34" s="129">
        <v>0</v>
      </c>
      <c r="F34" s="129" t="s">
        <v>173</v>
      </c>
      <c r="G34" s="127"/>
      <c r="H34" s="130"/>
      <c r="I34" s="150"/>
    </row>
    <row r="35" spans="1:9" x14ac:dyDescent="0.2">
      <c r="A35" s="27" t="s">
        <v>112</v>
      </c>
      <c r="B35" s="126" t="s">
        <v>221</v>
      </c>
      <c r="C35" s="132">
        <f>C33+C34</f>
        <v>3632468</v>
      </c>
      <c r="D35" s="145">
        <f t="shared" si="0"/>
        <v>-5078274</v>
      </c>
      <c r="E35" s="132">
        <f t="shared" ref="E35" si="4">E33+E34</f>
        <v>8710742</v>
      </c>
      <c r="F35" s="132">
        <v>2520346</v>
      </c>
      <c r="G35" s="132">
        <v>-1497459</v>
      </c>
      <c r="H35" s="133"/>
      <c r="I35" s="150">
        <f t="shared" si="1"/>
        <v>2.3912607957880652</v>
      </c>
    </row>
    <row r="36" spans="1:9" x14ac:dyDescent="0.2">
      <c r="A36" s="27" t="s">
        <v>3</v>
      </c>
      <c r="B36" s="126" t="s">
        <v>221</v>
      </c>
      <c r="C36" s="132">
        <f>-[1]PL!$Y$29</f>
        <v>430889</v>
      </c>
      <c r="D36" s="145">
        <f t="shared" si="0"/>
        <v>222208</v>
      </c>
      <c r="E36" s="132">
        <v>208681</v>
      </c>
      <c r="F36" s="132">
        <v>483109</v>
      </c>
      <c r="G36" s="127">
        <v>257246</v>
      </c>
      <c r="H36" s="133"/>
      <c r="I36" s="150">
        <f t="shared" si="1"/>
        <v>-0.13620425584848744</v>
      </c>
    </row>
    <row r="37" spans="1:9" x14ac:dyDescent="0.2">
      <c r="A37" s="26" t="s">
        <v>113</v>
      </c>
      <c r="B37" s="131" t="s">
        <v>221</v>
      </c>
      <c r="C37" s="132">
        <f>C35-C36</f>
        <v>3201579</v>
      </c>
      <c r="D37" s="145">
        <f t="shared" si="0"/>
        <v>-5300482</v>
      </c>
      <c r="E37" s="132">
        <f t="shared" ref="E37" si="5">E35-E36</f>
        <v>8502061</v>
      </c>
      <c r="F37" s="132">
        <v>2037237</v>
      </c>
      <c r="G37" s="127">
        <v>-1754705</v>
      </c>
      <c r="H37" s="133"/>
      <c r="I37" s="150">
        <f t="shared" si="1"/>
        <v>2.0207254210821763</v>
      </c>
    </row>
    <row r="38" spans="1:9" x14ac:dyDescent="0.2">
      <c r="A38" s="26" t="s">
        <v>116</v>
      </c>
      <c r="B38" s="131"/>
      <c r="C38" s="129"/>
      <c r="D38" s="145">
        <f t="shared" si="0"/>
        <v>0</v>
      </c>
      <c r="E38" s="129"/>
      <c r="F38" s="129"/>
      <c r="G38" s="127"/>
      <c r="H38" s="130"/>
      <c r="I38" s="150"/>
    </row>
    <row r="39" spans="1:9" x14ac:dyDescent="0.2">
      <c r="A39" s="26" t="s">
        <v>101</v>
      </c>
      <c r="B39" s="131" t="s">
        <v>221</v>
      </c>
      <c r="C39" s="134">
        <f>C37-C40</f>
        <v>455008.95000000019</v>
      </c>
      <c r="D39" s="145">
        <f t="shared" si="0"/>
        <v>-6186877.0499999998</v>
      </c>
      <c r="E39" s="134">
        <f t="shared" ref="E39" si="6">E37-E40</f>
        <v>6641886</v>
      </c>
      <c r="F39" s="134">
        <v>2037237</v>
      </c>
      <c r="G39" s="127">
        <v>-1754705</v>
      </c>
      <c r="H39" s="135"/>
      <c r="I39" s="150">
        <f t="shared" si="1"/>
        <v>2.5258787374515945</v>
      </c>
    </row>
    <row r="40" spans="1:9" x14ac:dyDescent="0.2">
      <c r="A40" s="27" t="s">
        <v>102</v>
      </c>
      <c r="B40" s="126" t="s">
        <v>221</v>
      </c>
      <c r="C40" s="136">
        <f>[1]PL!$Y$35</f>
        <v>2746570.05</v>
      </c>
      <c r="D40" s="145">
        <f t="shared" si="0"/>
        <v>886395.04999999981</v>
      </c>
      <c r="E40" s="136">
        <v>1860175</v>
      </c>
      <c r="F40" s="136" t="s">
        <v>173</v>
      </c>
      <c r="G40" s="127"/>
      <c r="H40" s="137"/>
      <c r="I40" s="150"/>
    </row>
    <row r="41" spans="1:9" x14ac:dyDescent="0.2">
      <c r="A41" s="27" t="s">
        <v>114</v>
      </c>
      <c r="B41" s="126" t="s">
        <v>221</v>
      </c>
      <c r="C41" s="132">
        <f>C39+C40</f>
        <v>3201579</v>
      </c>
      <c r="D41" s="145">
        <f t="shared" si="0"/>
        <v>-5300482</v>
      </c>
      <c r="E41" s="132">
        <f t="shared" ref="E41" si="7">E39+E40</f>
        <v>8502061</v>
      </c>
      <c r="F41" s="132">
        <v>2037237</v>
      </c>
      <c r="G41" s="127">
        <v>-1754705</v>
      </c>
      <c r="H41" s="133"/>
      <c r="I41" s="150">
        <f t="shared" si="1"/>
        <v>2.0207254210821763</v>
      </c>
    </row>
    <row r="42" spans="1:9" x14ac:dyDescent="0.2">
      <c r="A42" s="27" t="s">
        <v>115</v>
      </c>
      <c r="B42" s="126"/>
      <c r="C42" s="129"/>
      <c r="D42" s="145">
        <f t="shared" si="0"/>
        <v>0</v>
      </c>
      <c r="E42" s="129"/>
      <c r="F42" s="129"/>
      <c r="G42" s="138"/>
      <c r="H42" s="130"/>
      <c r="I42" s="150"/>
    </row>
    <row r="43" spans="1:9" x14ac:dyDescent="0.2">
      <c r="A43" s="27" t="s">
        <v>104</v>
      </c>
      <c r="B43" s="126"/>
      <c r="C43" s="129"/>
      <c r="D43" s="145">
        <f t="shared" si="0"/>
        <v>0</v>
      </c>
      <c r="E43" s="129">
        <f>E47</f>
        <v>0</v>
      </c>
      <c r="F43" s="129"/>
      <c r="G43" s="129"/>
      <c r="H43" s="130"/>
      <c r="I43" s="150"/>
    </row>
    <row r="44" spans="1:9" x14ac:dyDescent="0.2">
      <c r="A44" s="31" t="s">
        <v>105</v>
      </c>
      <c r="B44" s="126"/>
      <c r="C44" s="129">
        <v>0</v>
      </c>
      <c r="D44" s="145">
        <f t="shared" si="0"/>
        <v>0</v>
      </c>
      <c r="E44" s="129">
        <v>0</v>
      </c>
      <c r="F44" s="129" t="s">
        <v>173</v>
      </c>
      <c r="G44" s="138"/>
      <c r="H44" s="130"/>
      <c r="I44" s="150"/>
    </row>
    <row r="45" spans="1:9" x14ac:dyDescent="0.2">
      <c r="A45" s="31" t="s">
        <v>106</v>
      </c>
      <c r="B45" s="126"/>
      <c r="C45" s="129">
        <v>0</v>
      </c>
      <c r="D45" s="145">
        <f t="shared" si="0"/>
        <v>0</v>
      </c>
      <c r="E45" s="129">
        <v>0</v>
      </c>
      <c r="F45" s="129" t="s">
        <v>173</v>
      </c>
      <c r="G45" s="138"/>
      <c r="H45" s="130"/>
      <c r="I45" s="150"/>
    </row>
    <row r="46" spans="1:9" ht="28.5" x14ac:dyDescent="0.2">
      <c r="A46" s="31" t="s">
        <v>107</v>
      </c>
      <c r="B46" s="126"/>
      <c r="C46" s="129">
        <v>0</v>
      </c>
      <c r="D46" s="145">
        <f t="shared" si="0"/>
        <v>0</v>
      </c>
      <c r="E46" s="129">
        <v>0</v>
      </c>
      <c r="F46" s="129" t="s">
        <v>173</v>
      </c>
      <c r="G46" s="138"/>
      <c r="H46" s="130"/>
      <c r="I46" s="150"/>
    </row>
    <row r="47" spans="1:9" x14ac:dyDescent="0.2">
      <c r="A47" s="31" t="s">
        <v>167</v>
      </c>
      <c r="B47" s="126"/>
      <c r="C47" s="129"/>
      <c r="D47" s="145">
        <f t="shared" si="0"/>
        <v>0</v>
      </c>
      <c r="E47" s="129">
        <v>0</v>
      </c>
      <c r="F47" s="129" t="s">
        <v>173</v>
      </c>
      <c r="G47" s="129"/>
      <c r="H47" s="130"/>
      <c r="I47" s="150"/>
    </row>
    <row r="48" spans="1:9" ht="28.5" x14ac:dyDescent="0.2">
      <c r="A48" s="31" t="s">
        <v>121</v>
      </c>
      <c r="B48" s="126"/>
      <c r="C48" s="129">
        <f>C47</f>
        <v>0</v>
      </c>
      <c r="D48" s="145">
        <f t="shared" si="0"/>
        <v>0</v>
      </c>
      <c r="E48" s="129">
        <f>E47</f>
        <v>0</v>
      </c>
      <c r="F48" s="129" t="s">
        <v>173</v>
      </c>
      <c r="G48" s="129"/>
      <c r="H48" s="130"/>
      <c r="I48" s="150"/>
    </row>
    <row r="49" spans="1:9" x14ac:dyDescent="0.2">
      <c r="A49" s="27" t="s">
        <v>108</v>
      </c>
      <c r="B49" s="126"/>
      <c r="C49" s="129">
        <v>0</v>
      </c>
      <c r="D49" s="145">
        <f t="shared" si="0"/>
        <v>0</v>
      </c>
      <c r="E49" s="129">
        <v>0</v>
      </c>
      <c r="F49" s="129" t="s">
        <v>173</v>
      </c>
      <c r="G49" s="138"/>
      <c r="H49" s="130"/>
      <c r="I49" s="150"/>
    </row>
    <row r="50" spans="1:9" x14ac:dyDescent="0.2">
      <c r="A50" s="27" t="s">
        <v>117</v>
      </c>
      <c r="B50" s="126"/>
      <c r="C50" s="129"/>
      <c r="D50" s="145">
        <f t="shared" si="0"/>
        <v>0</v>
      </c>
      <c r="E50" s="129">
        <f>E48</f>
        <v>0</v>
      </c>
      <c r="F50" s="129" t="s">
        <v>173</v>
      </c>
      <c r="G50" s="129"/>
      <c r="H50" s="130"/>
      <c r="I50" s="150"/>
    </row>
    <row r="51" spans="1:9" x14ac:dyDescent="0.2">
      <c r="A51" s="27" t="s">
        <v>102</v>
      </c>
      <c r="B51" s="126"/>
      <c r="C51" s="129">
        <v>0</v>
      </c>
      <c r="D51" s="145">
        <f t="shared" si="0"/>
        <v>0</v>
      </c>
      <c r="E51" s="129">
        <v>0</v>
      </c>
      <c r="F51" s="129" t="s">
        <v>173</v>
      </c>
      <c r="G51" s="138"/>
      <c r="H51" s="130"/>
      <c r="I51" s="150"/>
    </row>
    <row r="52" spans="1:9" ht="28.5" x14ac:dyDescent="0.2">
      <c r="A52" s="31" t="s">
        <v>120</v>
      </c>
      <c r="B52" s="126" t="s">
        <v>221</v>
      </c>
      <c r="C52" s="132">
        <f>C41+C50</f>
        <v>3201579</v>
      </c>
      <c r="D52" s="145">
        <f t="shared" si="0"/>
        <v>-5300482</v>
      </c>
      <c r="E52" s="132">
        <f>E41+E50</f>
        <v>8502061</v>
      </c>
      <c r="F52" s="132">
        <v>2037237</v>
      </c>
      <c r="G52" s="132">
        <v>-1754705</v>
      </c>
      <c r="H52" s="133"/>
      <c r="I52" s="150">
        <f t="shared" si="1"/>
        <v>2.0207254210821763</v>
      </c>
    </row>
    <row r="53" spans="1:9" x14ac:dyDescent="0.2">
      <c r="A53" s="27" t="s">
        <v>108</v>
      </c>
      <c r="B53" s="126"/>
      <c r="C53" s="129"/>
      <c r="D53" s="145">
        <f t="shared" si="0"/>
        <v>0</v>
      </c>
      <c r="E53" s="129"/>
      <c r="F53" s="129"/>
      <c r="G53" s="129"/>
      <c r="H53" s="130"/>
      <c r="I53" s="150"/>
    </row>
    <row r="54" spans="1:9" x14ac:dyDescent="0.2">
      <c r="A54" s="27" t="s">
        <v>118</v>
      </c>
      <c r="B54" s="126" t="s">
        <v>221</v>
      </c>
      <c r="C54" s="132">
        <v>455009</v>
      </c>
      <c r="D54" s="145">
        <f t="shared" si="0"/>
        <v>-6186877</v>
      </c>
      <c r="E54" s="132">
        <v>6641886</v>
      </c>
      <c r="F54" s="132">
        <v>2037237</v>
      </c>
      <c r="G54" s="132">
        <v>-1754705</v>
      </c>
      <c r="H54" s="133"/>
      <c r="I54" s="150">
        <f t="shared" si="1"/>
        <v>2.525878708956776</v>
      </c>
    </row>
    <row r="55" spans="1:9" x14ac:dyDescent="0.2">
      <c r="A55" s="27" t="s">
        <v>119</v>
      </c>
      <c r="B55" s="126" t="s">
        <v>221</v>
      </c>
      <c r="C55" s="138">
        <v>2746570</v>
      </c>
      <c r="D55" s="145">
        <f t="shared" si="0"/>
        <v>886395</v>
      </c>
      <c r="E55" s="129">
        <v>1860175</v>
      </c>
      <c r="F55" s="138"/>
      <c r="G55" s="138"/>
      <c r="H55" s="130"/>
      <c r="I55" s="150"/>
    </row>
    <row r="56" spans="1:9" x14ac:dyDescent="0.2">
      <c r="A56" s="27"/>
      <c r="B56" s="126"/>
      <c r="C56" s="138"/>
      <c r="D56" s="145">
        <f t="shared" si="0"/>
        <v>0</v>
      </c>
      <c r="E56" s="129"/>
      <c r="F56" s="138"/>
      <c r="G56" s="138"/>
      <c r="H56" s="130"/>
      <c r="I56" s="150"/>
    </row>
    <row r="57" spans="1:9" x14ac:dyDescent="0.2">
      <c r="A57" s="32" t="s">
        <v>123</v>
      </c>
      <c r="B57" s="139" t="s">
        <v>219</v>
      </c>
      <c r="C57" s="140">
        <f>(C39)/166639960*1000</f>
        <v>2.7304912339153238</v>
      </c>
      <c r="D57" s="140">
        <f>(D39)/166639960*1000</f>
        <v>-37.127211564381078</v>
      </c>
      <c r="E57" s="140">
        <f t="shared" ref="E57" si="8">(E39)/166639960*1000</f>
        <v>39.857702798296394</v>
      </c>
      <c r="F57" s="140">
        <v>12.23</v>
      </c>
      <c r="G57" s="140">
        <v>-10.529917313950389</v>
      </c>
      <c r="H57" s="141"/>
      <c r="I57" s="150">
        <f t="shared" si="1"/>
        <v>2.5258787374515941</v>
      </c>
    </row>
    <row r="58" spans="1:9" x14ac:dyDescent="0.2">
      <c r="B58" s="142"/>
      <c r="C58" s="142"/>
      <c r="D58" s="142"/>
      <c r="E58" s="142"/>
      <c r="F58" s="142"/>
      <c r="G58" s="143"/>
      <c r="H58" s="143"/>
    </row>
    <row r="59" spans="1:9" x14ac:dyDescent="0.2">
      <c r="A59" s="22" t="str">
        <f>бб!A100</f>
        <v>Генеральный директор</v>
      </c>
      <c r="B59" s="20"/>
      <c r="C59" s="107" t="s">
        <v>162</v>
      </c>
      <c r="D59" s="23"/>
      <c r="F59" s="22"/>
    </row>
    <row r="60" spans="1:9" x14ac:dyDescent="0.2">
      <c r="A60" s="22"/>
      <c r="B60" s="20"/>
      <c r="D60" s="23"/>
      <c r="E60" s="20"/>
      <c r="F60" s="22"/>
    </row>
    <row r="61" spans="1:9" x14ac:dyDescent="0.2">
      <c r="A61" s="22" t="str">
        <f>бб!A103</f>
        <v xml:space="preserve">Главный бухгалтер                                              </v>
      </c>
      <c r="B61" s="20"/>
      <c r="C61" s="108" t="s">
        <v>160</v>
      </c>
      <c r="D61" s="23"/>
      <c r="F61" s="22"/>
    </row>
    <row r="62" spans="1:9" x14ac:dyDescent="0.2">
      <c r="A62" s="22"/>
    </row>
    <row r="63" spans="1:9" x14ac:dyDescent="0.2">
      <c r="A63" s="6" t="s">
        <v>55</v>
      </c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7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2"/>
  <sheetViews>
    <sheetView zoomScale="84" zoomScaleNormal="84" workbookViewId="0">
      <selection sqref="A1:D1048576"/>
    </sheetView>
  </sheetViews>
  <sheetFormatPr defaultRowHeight="14.25" x14ac:dyDescent="0.2"/>
  <cols>
    <col min="1" max="1" width="61.28515625" style="4" customWidth="1"/>
    <col min="2" max="2" width="8.42578125" style="4" customWidth="1"/>
    <col min="3" max="3" width="19.85546875" style="4" customWidth="1"/>
    <col min="4" max="4" width="18.7109375" style="30" customWidth="1"/>
    <col min="5" max="5" width="19.7109375" style="4" customWidth="1"/>
    <col min="6" max="6" width="18" style="4" customWidth="1"/>
    <col min="7" max="16384" width="9.140625" style="4"/>
  </cols>
  <sheetData>
    <row r="5" spans="1:5" ht="22.5" customHeight="1" x14ac:dyDescent="0.3">
      <c r="A5" s="183" t="s">
        <v>195</v>
      </c>
      <c r="B5" s="183"/>
      <c r="C5" s="183"/>
      <c r="D5" s="183"/>
      <c r="E5" s="33"/>
    </row>
    <row r="6" spans="1:5" ht="18.75" customHeight="1" x14ac:dyDescent="0.3">
      <c r="A6" s="183" t="s">
        <v>196</v>
      </c>
      <c r="B6" s="190"/>
      <c r="C6" s="190"/>
      <c r="D6" s="190"/>
      <c r="E6" s="33"/>
    </row>
    <row r="7" spans="1:5" x14ac:dyDescent="0.2">
      <c r="A7" s="184" t="str">
        <f>ф2!A10:F10</f>
        <v>за 6 месяцев, закончившиеся  30 июня 2021 г.</v>
      </c>
      <c r="B7" s="184"/>
      <c r="C7" s="184"/>
      <c r="D7" s="184"/>
      <c r="E7" s="33"/>
    </row>
    <row r="8" spans="1:5" hidden="1" x14ac:dyDescent="0.2">
      <c r="A8" s="184" t="s">
        <v>73</v>
      </c>
      <c r="B8" s="184"/>
      <c r="C8" s="184"/>
      <c r="D8" s="184"/>
      <c r="E8" s="33"/>
    </row>
    <row r="9" spans="1:5" hidden="1" x14ac:dyDescent="0.2">
      <c r="A9" s="184" t="s">
        <v>74</v>
      </c>
      <c r="B9" s="184"/>
      <c r="C9" s="184"/>
      <c r="D9" s="184"/>
      <c r="E9" s="33"/>
    </row>
    <row r="10" spans="1:5" ht="16.5" hidden="1" customHeight="1" x14ac:dyDescent="0.2">
      <c r="A10" s="181" t="s">
        <v>127</v>
      </c>
      <c r="B10" s="181"/>
      <c r="C10" s="181"/>
      <c r="D10" s="181"/>
    </row>
    <row r="11" spans="1:5" ht="20.25" hidden="1" customHeight="1" x14ac:dyDescent="0.2">
      <c r="A11" s="181" t="s">
        <v>154</v>
      </c>
      <c r="B11" s="181"/>
      <c r="C11" s="181"/>
      <c r="D11" s="181"/>
    </row>
    <row r="12" spans="1:5" ht="12" hidden="1" customHeight="1" x14ac:dyDescent="0.2">
      <c r="A12" s="187" t="s">
        <v>96</v>
      </c>
      <c r="B12" s="188"/>
      <c r="C12" s="188"/>
      <c r="D12" s="188"/>
    </row>
    <row r="13" spans="1:5" ht="20.25" hidden="1" customHeight="1" x14ac:dyDescent="0.2">
      <c r="A13" s="69" t="s">
        <v>128</v>
      </c>
      <c r="B13" s="69"/>
      <c r="C13" s="69"/>
      <c r="D13" s="72"/>
    </row>
    <row r="14" spans="1:5" ht="18.75" hidden="1" customHeight="1" x14ac:dyDescent="0.2">
      <c r="A14" s="69" t="s">
        <v>129</v>
      </c>
      <c r="B14" s="69"/>
      <c r="C14" s="69"/>
      <c r="D14" s="72"/>
    </row>
    <row r="15" spans="1:5" ht="23.25" customHeight="1" x14ac:dyDescent="0.2">
      <c r="A15" s="180" t="s">
        <v>178</v>
      </c>
      <c r="B15" s="180"/>
      <c r="C15" s="180"/>
      <c r="D15" s="180"/>
    </row>
    <row r="16" spans="1:5" ht="29.25" customHeight="1" x14ac:dyDescent="0.2">
      <c r="A16" s="9" t="s">
        <v>2</v>
      </c>
      <c r="B16" s="9" t="s">
        <v>199</v>
      </c>
      <c r="C16" s="109" t="str">
        <f>ф2!C22</f>
        <v xml:space="preserve"> 6 месяцев 2021г.</v>
      </c>
      <c r="D16" s="39" t="str">
        <f>ф2!F22</f>
        <v xml:space="preserve"> 6 месяцев 2020г.</v>
      </c>
    </row>
    <row r="17" spans="1:4" s="6" customFormat="1" ht="21" customHeight="1" x14ac:dyDescent="0.2">
      <c r="A17" s="82" t="s">
        <v>4</v>
      </c>
      <c r="B17" s="83"/>
      <c r="C17" s="110"/>
      <c r="D17" s="83"/>
    </row>
    <row r="18" spans="1:4" ht="12" customHeight="1" x14ac:dyDescent="0.2">
      <c r="A18" s="27" t="s">
        <v>28</v>
      </c>
      <c r="B18" s="34"/>
      <c r="C18" s="111">
        <f>SUM(C20:C24)</f>
        <v>48890201</v>
      </c>
      <c r="D18" s="100">
        <v>30079130</v>
      </c>
    </row>
    <row r="19" spans="1:4" ht="12" customHeight="1" x14ac:dyDescent="0.2">
      <c r="A19" s="27" t="s">
        <v>7</v>
      </c>
      <c r="B19" s="34"/>
      <c r="C19" s="111"/>
      <c r="D19" s="100"/>
    </row>
    <row r="20" spans="1:4" ht="12" customHeight="1" x14ac:dyDescent="0.2">
      <c r="A20" s="27" t="s">
        <v>84</v>
      </c>
      <c r="B20" s="34"/>
      <c r="C20" s="112">
        <v>48505410</v>
      </c>
      <c r="D20" s="101">
        <v>29752288</v>
      </c>
    </row>
    <row r="21" spans="1:4" ht="12" customHeight="1" x14ac:dyDescent="0.2">
      <c r="A21" s="27" t="s">
        <v>85</v>
      </c>
      <c r="B21" s="34"/>
      <c r="C21" s="111" t="s">
        <v>164</v>
      </c>
      <c r="D21" s="100" t="s">
        <v>164</v>
      </c>
    </row>
    <row r="22" spans="1:4" ht="12" customHeight="1" x14ac:dyDescent="0.2">
      <c r="A22" s="27" t="s">
        <v>86</v>
      </c>
      <c r="B22" s="34"/>
      <c r="C22" s="111" t="s">
        <v>164</v>
      </c>
      <c r="D22" s="100" t="s">
        <v>164</v>
      </c>
    </row>
    <row r="23" spans="1:4" ht="12" customHeight="1" x14ac:dyDescent="0.2">
      <c r="A23" s="27" t="s">
        <v>8</v>
      </c>
      <c r="B23" s="34"/>
      <c r="C23" s="111" t="s">
        <v>164</v>
      </c>
      <c r="D23" s="100" t="s">
        <v>164</v>
      </c>
    </row>
    <row r="24" spans="1:4" ht="12" customHeight="1" x14ac:dyDescent="0.2">
      <c r="A24" s="27" t="s">
        <v>9</v>
      </c>
      <c r="B24" s="34"/>
      <c r="C24" s="111">
        <v>384791</v>
      </c>
      <c r="D24" s="100">
        <v>326842</v>
      </c>
    </row>
    <row r="25" spans="1:4" ht="12" customHeight="1" x14ac:dyDescent="0.2">
      <c r="A25" s="27" t="s">
        <v>29</v>
      </c>
      <c r="B25" s="34"/>
      <c r="C25" s="111">
        <f>SUM(C27:C32)</f>
        <v>39110944</v>
      </c>
      <c r="D25" s="100">
        <v>24256040.039340001</v>
      </c>
    </row>
    <row r="26" spans="1:4" ht="12" customHeight="1" x14ac:dyDescent="0.2">
      <c r="A26" s="27" t="s">
        <v>7</v>
      </c>
      <c r="B26" s="34"/>
      <c r="C26" s="111"/>
      <c r="D26" s="100"/>
    </row>
    <row r="27" spans="1:4" ht="12" customHeight="1" x14ac:dyDescent="0.2">
      <c r="A27" s="27" t="s">
        <v>87</v>
      </c>
      <c r="B27" s="34"/>
      <c r="C27" s="111">
        <f>19828780-1256781</f>
        <v>18571999</v>
      </c>
      <c r="D27" s="100">
        <v>15213107</v>
      </c>
    </row>
    <row r="28" spans="1:4" ht="12" customHeight="1" x14ac:dyDescent="0.2">
      <c r="A28" s="27" t="s">
        <v>10</v>
      </c>
      <c r="B28" s="34"/>
      <c r="C28" s="111"/>
      <c r="D28" s="100"/>
    </row>
    <row r="29" spans="1:4" ht="12" customHeight="1" x14ac:dyDescent="0.2">
      <c r="A29" s="27" t="s">
        <v>11</v>
      </c>
      <c r="B29" s="34"/>
      <c r="C29" s="111">
        <f>3863444+448566</f>
        <v>4312010</v>
      </c>
      <c r="D29" s="100">
        <v>3553387</v>
      </c>
    </row>
    <row r="30" spans="1:4" ht="12" customHeight="1" x14ac:dyDescent="0.2">
      <c r="A30" s="27" t="s">
        <v>103</v>
      </c>
      <c r="B30" s="34"/>
      <c r="C30" s="111">
        <v>11644272</v>
      </c>
      <c r="D30" s="100">
        <v>1723323</v>
      </c>
    </row>
    <row r="31" spans="1:4" ht="12" customHeight="1" x14ac:dyDescent="0.2">
      <c r="A31" s="27" t="s">
        <v>88</v>
      </c>
      <c r="B31" s="34"/>
      <c r="C31" s="111">
        <f>235613+3928200</f>
        <v>4163813</v>
      </c>
      <c r="D31" s="100">
        <v>3044636</v>
      </c>
    </row>
    <row r="32" spans="1:4" ht="12" customHeight="1" x14ac:dyDescent="0.2">
      <c r="A32" s="27" t="s">
        <v>12</v>
      </c>
      <c r="B32" s="34"/>
      <c r="C32" s="111">
        <v>418850</v>
      </c>
      <c r="D32" s="100">
        <v>721587.03934000002</v>
      </c>
    </row>
    <row r="33" spans="1:4" ht="12" customHeight="1" x14ac:dyDescent="0.2">
      <c r="A33" s="32" t="s">
        <v>89</v>
      </c>
      <c r="B33" s="35"/>
      <c r="C33" s="113">
        <f>C18-C25</f>
        <v>9779257</v>
      </c>
      <c r="D33" s="102">
        <v>5823089.9606599994</v>
      </c>
    </row>
    <row r="34" spans="1:4" s="33" customFormat="1" ht="21" customHeight="1" x14ac:dyDescent="0.2">
      <c r="A34" s="13" t="s">
        <v>5</v>
      </c>
      <c r="B34" s="13"/>
      <c r="C34" s="114"/>
      <c r="D34" s="103"/>
    </row>
    <row r="35" spans="1:4" ht="12" customHeight="1" x14ac:dyDescent="0.2">
      <c r="A35" s="27" t="s">
        <v>30</v>
      </c>
      <c r="B35" s="34"/>
      <c r="C35" s="111">
        <f>SUM(C36:C42)</f>
        <v>8117918</v>
      </c>
      <c r="D35" s="100">
        <v>963741</v>
      </c>
    </row>
    <row r="36" spans="1:4" ht="12" customHeight="1" x14ac:dyDescent="0.2">
      <c r="A36" s="27" t="s">
        <v>7</v>
      </c>
      <c r="B36" s="34"/>
      <c r="C36" s="111"/>
      <c r="D36" s="100"/>
    </row>
    <row r="37" spans="1:4" ht="12" customHeight="1" x14ac:dyDescent="0.2">
      <c r="A37" s="27" t="s">
        <v>13</v>
      </c>
      <c r="B37" s="34"/>
      <c r="C37" s="111" t="s">
        <v>164</v>
      </c>
      <c r="D37" s="100" t="s">
        <v>164</v>
      </c>
    </row>
    <row r="38" spans="1:4" ht="12" customHeight="1" x14ac:dyDescent="0.2">
      <c r="A38" s="27" t="s">
        <v>14</v>
      </c>
      <c r="B38" s="34"/>
      <c r="C38" s="111"/>
      <c r="D38" s="100" t="s">
        <v>164</v>
      </c>
    </row>
    <row r="39" spans="1:4" ht="12" customHeight="1" x14ac:dyDescent="0.2">
      <c r="A39" s="27" t="s">
        <v>15</v>
      </c>
      <c r="B39" s="34"/>
      <c r="C39" s="111" t="s">
        <v>164</v>
      </c>
      <c r="D39" s="100" t="s">
        <v>164</v>
      </c>
    </row>
    <row r="40" spans="1:4" ht="12" customHeight="1" x14ac:dyDescent="0.2">
      <c r="A40" s="27" t="s">
        <v>16</v>
      </c>
      <c r="B40" s="34"/>
      <c r="C40" s="111" t="s">
        <v>164</v>
      </c>
      <c r="D40" s="100" t="s">
        <v>164</v>
      </c>
    </row>
    <row r="41" spans="1:4" ht="12" customHeight="1" x14ac:dyDescent="0.2">
      <c r="A41" s="27" t="s">
        <v>90</v>
      </c>
      <c r="B41" s="34"/>
      <c r="C41" s="111"/>
      <c r="D41" s="100"/>
    </row>
    <row r="42" spans="1:4" ht="12" customHeight="1" x14ac:dyDescent="0.2">
      <c r="A42" s="27" t="s">
        <v>9</v>
      </c>
      <c r="B42" s="34"/>
      <c r="C42" s="111">
        <v>8117918</v>
      </c>
      <c r="D42" s="100">
        <v>963741</v>
      </c>
    </row>
    <row r="43" spans="1:4" ht="12" customHeight="1" x14ac:dyDescent="0.2">
      <c r="A43" s="27" t="s">
        <v>31</v>
      </c>
      <c r="B43" s="34"/>
      <c r="C43" s="111">
        <f>SUM(C45:C50)</f>
        <v>14678215</v>
      </c>
      <c r="D43" s="100">
        <v>6274616</v>
      </c>
    </row>
    <row r="44" spans="1:4" ht="12" customHeight="1" x14ac:dyDescent="0.2">
      <c r="A44" s="27" t="s">
        <v>7</v>
      </c>
      <c r="B44" s="34"/>
      <c r="C44" s="111"/>
      <c r="D44" s="100"/>
    </row>
    <row r="45" spans="1:4" ht="12" customHeight="1" x14ac:dyDescent="0.2">
      <c r="A45" s="27" t="s">
        <v>18</v>
      </c>
      <c r="B45" s="34"/>
      <c r="C45" s="111">
        <v>6287</v>
      </c>
      <c r="D45" s="100">
        <v>6707</v>
      </c>
    </row>
    <row r="46" spans="1:4" ht="12" customHeight="1" x14ac:dyDescent="0.2">
      <c r="A46" s="27" t="s">
        <v>17</v>
      </c>
      <c r="B46" s="34"/>
      <c r="C46" s="111">
        <v>7482</v>
      </c>
      <c r="D46" s="100">
        <v>8822</v>
      </c>
    </row>
    <row r="47" spans="1:4" ht="12" customHeight="1" x14ac:dyDescent="0.2">
      <c r="A47" s="27" t="s">
        <v>19</v>
      </c>
      <c r="B47" s="34"/>
      <c r="C47" s="111">
        <v>3721137</v>
      </c>
      <c r="D47" s="100">
        <v>2376641</v>
      </c>
    </row>
    <row r="48" spans="1:4" ht="12" customHeight="1" x14ac:dyDescent="0.2">
      <c r="A48" s="27" t="s">
        <v>20</v>
      </c>
      <c r="B48" s="34"/>
      <c r="C48" s="146">
        <v>10560483</v>
      </c>
      <c r="D48" s="87">
        <v>0</v>
      </c>
    </row>
    <row r="49" spans="1:4" ht="12" customHeight="1" x14ac:dyDescent="0.2">
      <c r="A49" s="27" t="s">
        <v>91</v>
      </c>
      <c r="B49" s="34"/>
      <c r="C49" s="111"/>
      <c r="D49" s="100"/>
    </row>
    <row r="50" spans="1:4" ht="12" customHeight="1" x14ac:dyDescent="0.2">
      <c r="A50" s="27" t="s">
        <v>21</v>
      </c>
      <c r="B50" s="34"/>
      <c r="C50" s="111">
        <v>382826</v>
      </c>
      <c r="D50" s="100">
        <v>3882446</v>
      </c>
    </row>
    <row r="51" spans="1:4" ht="12" customHeight="1" x14ac:dyDescent="0.2">
      <c r="A51" s="32" t="s">
        <v>92</v>
      </c>
      <c r="B51" s="35"/>
      <c r="C51" s="147">
        <f>C35-C43</f>
        <v>-6560297</v>
      </c>
      <c r="D51" s="88">
        <v>-5310875</v>
      </c>
    </row>
    <row r="52" spans="1:4" ht="21" customHeight="1" x14ac:dyDescent="0.2">
      <c r="A52" s="84" t="s">
        <v>6</v>
      </c>
      <c r="B52" s="22"/>
      <c r="C52" s="148"/>
      <c r="D52" s="99"/>
    </row>
    <row r="53" spans="1:4" ht="12" customHeight="1" x14ac:dyDescent="0.2">
      <c r="A53" s="27" t="s">
        <v>28</v>
      </c>
      <c r="B53" s="34"/>
      <c r="C53" s="149">
        <f>SUM(C55:C58)</f>
        <v>10897614</v>
      </c>
      <c r="D53" s="104">
        <v>4915357</v>
      </c>
    </row>
    <row r="54" spans="1:4" ht="12" customHeight="1" x14ac:dyDescent="0.2">
      <c r="A54" s="27" t="s">
        <v>7</v>
      </c>
      <c r="B54" s="34"/>
      <c r="C54" s="111"/>
      <c r="D54" s="100"/>
    </row>
    <row r="55" spans="1:4" ht="12" customHeight="1" x14ac:dyDescent="0.2">
      <c r="A55" s="27" t="s">
        <v>22</v>
      </c>
      <c r="B55" s="34"/>
      <c r="C55" s="111"/>
      <c r="D55" s="100"/>
    </row>
    <row r="56" spans="1:4" ht="12" customHeight="1" x14ac:dyDescent="0.2">
      <c r="A56" s="27" t="s">
        <v>23</v>
      </c>
      <c r="B56" s="34"/>
      <c r="C56" s="111">
        <v>10897614</v>
      </c>
      <c r="D56" s="100">
        <v>4915357</v>
      </c>
    </row>
    <row r="57" spans="1:4" x14ac:dyDescent="0.2">
      <c r="A57" s="40" t="s">
        <v>156</v>
      </c>
      <c r="B57" s="34"/>
      <c r="C57" s="111" t="s">
        <v>164</v>
      </c>
      <c r="D57" s="100" t="s">
        <v>164</v>
      </c>
    </row>
    <row r="58" spans="1:4" ht="12" customHeight="1" x14ac:dyDescent="0.2">
      <c r="A58" s="27" t="s">
        <v>9</v>
      </c>
      <c r="B58" s="34"/>
      <c r="C58" s="111"/>
      <c r="D58" s="100"/>
    </row>
    <row r="59" spans="1:4" ht="12" customHeight="1" x14ac:dyDescent="0.2">
      <c r="A59" s="27" t="s">
        <v>32</v>
      </c>
      <c r="B59" s="34"/>
      <c r="C59" s="111">
        <f>SUM(C61:C65)</f>
        <v>11829661</v>
      </c>
      <c r="D59" s="100">
        <v>5146555</v>
      </c>
    </row>
    <row r="60" spans="1:4" ht="12" customHeight="1" x14ac:dyDescent="0.2">
      <c r="A60" s="27" t="s">
        <v>7</v>
      </c>
      <c r="B60" s="34"/>
      <c r="C60" s="111"/>
      <c r="D60" s="100"/>
    </row>
    <row r="61" spans="1:4" ht="12" customHeight="1" x14ac:dyDescent="0.2">
      <c r="A61" s="27" t="s">
        <v>24</v>
      </c>
      <c r="B61" s="34"/>
      <c r="C61" s="111">
        <v>11635524</v>
      </c>
      <c r="D61" s="100">
        <v>4680217</v>
      </c>
    </row>
    <row r="62" spans="1:4" ht="12" customHeight="1" x14ac:dyDescent="0.2">
      <c r="A62" s="27" t="s">
        <v>157</v>
      </c>
      <c r="B62" s="34"/>
      <c r="C62" s="111" t="s">
        <v>164</v>
      </c>
      <c r="D62" s="100" t="s">
        <v>164</v>
      </c>
    </row>
    <row r="63" spans="1:4" ht="12" customHeight="1" x14ac:dyDescent="0.2">
      <c r="A63" s="27" t="s">
        <v>25</v>
      </c>
      <c r="B63" s="34"/>
      <c r="C63" s="111"/>
      <c r="D63" s="100">
        <v>379042</v>
      </c>
    </row>
    <row r="64" spans="1:4" ht="12" customHeight="1" x14ac:dyDescent="0.2">
      <c r="A64" s="27" t="s">
        <v>103</v>
      </c>
      <c r="B64" s="34"/>
      <c r="C64" s="111">
        <v>0</v>
      </c>
      <c r="D64" s="100">
        <v>0</v>
      </c>
    </row>
    <row r="65" spans="1:5" ht="12" customHeight="1" x14ac:dyDescent="0.2">
      <c r="A65" s="27" t="s">
        <v>9</v>
      </c>
      <c r="B65" s="34"/>
      <c r="C65" s="111">
        <v>194137</v>
      </c>
      <c r="D65" s="100">
        <v>87296</v>
      </c>
    </row>
    <row r="66" spans="1:5" ht="12" customHeight="1" x14ac:dyDescent="0.2">
      <c r="A66" s="32" t="s">
        <v>93</v>
      </c>
      <c r="B66" s="35"/>
      <c r="C66" s="113">
        <f>C53-C59</f>
        <v>-932047</v>
      </c>
      <c r="D66" s="102">
        <v>-231198</v>
      </c>
    </row>
    <row r="67" spans="1:5" ht="12" customHeight="1" x14ac:dyDescent="0.2">
      <c r="A67" s="28" t="s">
        <v>26</v>
      </c>
      <c r="B67" s="36"/>
      <c r="C67" s="90">
        <f>C33+C51+C66</f>
        <v>2286913</v>
      </c>
      <c r="D67" s="90">
        <v>281016.9606599994</v>
      </c>
    </row>
    <row r="68" spans="1:5" ht="12" customHeight="1" x14ac:dyDescent="0.2">
      <c r="A68" s="32" t="s">
        <v>27</v>
      </c>
      <c r="B68" s="35"/>
      <c r="C68" s="88"/>
      <c r="D68" s="88"/>
    </row>
    <row r="69" spans="1:5" ht="12" customHeight="1" x14ac:dyDescent="0.2">
      <c r="A69" s="27" t="s">
        <v>174</v>
      </c>
      <c r="B69" s="34"/>
      <c r="C69" s="87">
        <v>43212</v>
      </c>
      <c r="D69" s="87"/>
    </row>
    <row r="70" spans="1:5" ht="12" customHeight="1" x14ac:dyDescent="0.2">
      <c r="A70" s="27" t="s">
        <v>94</v>
      </c>
      <c r="B70" s="34"/>
      <c r="C70" s="50">
        <f>бб!D53</f>
        <v>365901</v>
      </c>
      <c r="D70" s="50">
        <v>426209</v>
      </c>
    </row>
    <row r="71" spans="1:5" ht="12" customHeight="1" x14ac:dyDescent="0.2">
      <c r="A71" s="32" t="s">
        <v>95</v>
      </c>
      <c r="B71" s="35"/>
      <c r="C71" s="51">
        <f>C70+C67+C69</f>
        <v>2696026</v>
      </c>
      <c r="D71" s="51">
        <v>707225.9606599994</v>
      </c>
      <c r="E71" s="30">
        <f>бб!C53-C71</f>
        <v>0</v>
      </c>
    </row>
    <row r="72" spans="1:5" ht="12" customHeight="1" x14ac:dyDescent="0.2">
      <c r="A72" s="37"/>
      <c r="B72" s="38"/>
      <c r="C72" s="81"/>
      <c r="D72" s="81"/>
    </row>
    <row r="73" spans="1:5" ht="12" customHeight="1" x14ac:dyDescent="0.2">
      <c r="B73" s="20"/>
      <c r="C73" s="173">
        <f>бб!D99</f>
        <v>0</v>
      </c>
      <c r="D73" s="173"/>
    </row>
    <row r="74" spans="1:5" ht="12" customHeight="1" x14ac:dyDescent="0.2">
      <c r="A74" s="22" t="str">
        <f>бб!A100</f>
        <v>Генеральный директор</v>
      </c>
      <c r="B74" s="20"/>
      <c r="C74" s="191" t="s">
        <v>162</v>
      </c>
      <c r="D74" s="192"/>
    </row>
    <row r="75" spans="1:5" ht="12" customHeight="1" x14ac:dyDescent="0.2"/>
    <row r="77" spans="1:5" x14ac:dyDescent="0.2">
      <c r="A77" s="22" t="str">
        <f>бб!A103</f>
        <v xml:space="preserve">Главный бухгалтер                                              </v>
      </c>
      <c r="B77" s="20"/>
      <c r="C77" s="189" t="s">
        <v>160</v>
      </c>
      <c r="D77" s="189"/>
    </row>
    <row r="78" spans="1:5" x14ac:dyDescent="0.2">
      <c r="A78" s="6" t="s">
        <v>55</v>
      </c>
    </row>
    <row r="79" spans="1:5" x14ac:dyDescent="0.2">
      <c r="C79" s="30"/>
    </row>
    <row r="81" spans="3:3" x14ac:dyDescent="0.2">
      <c r="C81" s="91"/>
    </row>
    <row r="82" spans="3:3" x14ac:dyDescent="0.2">
      <c r="C82" s="91"/>
    </row>
  </sheetData>
  <mergeCells count="11">
    <mergeCell ref="A12:D12"/>
    <mergeCell ref="A15:D15"/>
    <mergeCell ref="C77:D77"/>
    <mergeCell ref="A5:D5"/>
    <mergeCell ref="A9:D9"/>
    <mergeCell ref="A10:D10"/>
    <mergeCell ref="A11:D11"/>
    <mergeCell ref="A8:D8"/>
    <mergeCell ref="A7:D7"/>
    <mergeCell ref="A6:D6"/>
    <mergeCell ref="C74:D74"/>
  </mergeCells>
  <phoneticPr fontId="2" type="noConversion"/>
  <pageMargins left="0.47244094488188981" right="0" top="0" bottom="0" header="0.19685039370078741" footer="0.19685039370078741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Q60"/>
  <sheetViews>
    <sheetView topLeftCell="A10" workbookViewId="0">
      <selection activeCell="H24" sqref="H24"/>
    </sheetView>
  </sheetViews>
  <sheetFormatPr defaultRowHeight="12.75" x14ac:dyDescent="0.2"/>
  <cols>
    <col min="1" max="1" width="34.5703125" style="41" customWidth="1"/>
    <col min="2" max="2" width="6.42578125" style="41" bestFit="1" customWidth="1"/>
    <col min="3" max="3" width="11.42578125" style="41" customWidth="1"/>
    <col min="4" max="4" width="10.28515625" style="41" bestFit="1" customWidth="1"/>
    <col min="5" max="5" width="14.85546875" style="41" customWidth="1"/>
    <col min="6" max="6" width="11.28515625" style="41" customWidth="1"/>
    <col min="7" max="7" width="10.85546875" style="41" customWidth="1"/>
    <col min="8" max="8" width="14.5703125" style="41" customWidth="1"/>
    <col min="9" max="9" width="11.140625" style="41" bestFit="1" customWidth="1"/>
    <col min="10" max="10" width="9.7109375" style="41" customWidth="1"/>
    <col min="11" max="11" width="10.42578125" style="41" hidden="1" customWidth="1"/>
    <col min="12" max="12" width="9.28515625" style="41" hidden="1" customWidth="1"/>
    <col min="13" max="13" width="14.28515625" style="41" hidden="1" customWidth="1"/>
    <col min="14" max="14" width="11" style="41" hidden="1" customWidth="1"/>
    <col min="15" max="15" width="15.5703125" style="41" hidden="1" customWidth="1"/>
    <col min="16" max="16" width="17" style="41" hidden="1" customWidth="1"/>
    <col min="17" max="16384" width="9.140625" style="41"/>
  </cols>
  <sheetData>
    <row r="8" spans="1:11" ht="15" customHeight="1" x14ac:dyDescent="0.2"/>
    <row r="9" spans="1:11" s="43" customFormat="1" ht="19.5" x14ac:dyDescent="0.3">
      <c r="A9" s="183" t="s">
        <v>190</v>
      </c>
      <c r="B9" s="183"/>
      <c r="C9" s="183"/>
      <c r="D9" s="183"/>
      <c r="E9" s="183"/>
      <c r="F9" s="183"/>
      <c r="G9" s="183"/>
      <c r="H9" s="183"/>
      <c r="I9" s="183"/>
      <c r="J9" s="42"/>
    </row>
    <row r="10" spans="1:11" s="43" customFormat="1" ht="19.5" x14ac:dyDescent="0.3">
      <c r="A10" s="179" t="str">
        <f>ф2!A9</f>
        <v xml:space="preserve"> неаудированный</v>
      </c>
      <c r="B10" s="179"/>
      <c r="C10" s="179"/>
      <c r="D10" s="179"/>
      <c r="E10" s="179"/>
      <c r="F10" s="179"/>
      <c r="G10" s="179"/>
      <c r="H10" s="179"/>
      <c r="I10" s="179"/>
      <c r="J10" s="42"/>
    </row>
    <row r="11" spans="1:11" s="43" customFormat="1" ht="19.5" x14ac:dyDescent="0.3">
      <c r="A11" s="184" t="str">
        <f>бб!A9</f>
        <v>за 6 месяцев, закончившиеся  30 июня 2021 г.</v>
      </c>
      <c r="B11" s="184"/>
      <c r="C11" s="184"/>
      <c r="D11" s="184"/>
      <c r="E11" s="184"/>
      <c r="F11" s="184"/>
      <c r="G11" s="184"/>
      <c r="H11" s="184"/>
      <c r="I11" s="184"/>
      <c r="J11" s="42"/>
    </row>
    <row r="12" spans="1:11" s="43" customFormat="1" ht="20.25" hidden="1" x14ac:dyDescent="0.35">
      <c r="A12" s="184" t="s">
        <v>72</v>
      </c>
      <c r="B12" s="184"/>
      <c r="C12" s="184"/>
      <c r="D12" s="184"/>
      <c r="E12" s="184"/>
      <c r="F12" s="184"/>
      <c r="G12" s="184"/>
      <c r="H12" s="184"/>
      <c r="I12" s="184"/>
      <c r="J12" s="44"/>
    </row>
    <row r="13" spans="1:11" s="46" customFormat="1" ht="15.75" hidden="1" x14ac:dyDescent="0.3">
      <c r="A13" s="6" t="s">
        <v>130</v>
      </c>
      <c r="B13" s="22"/>
      <c r="C13" s="22"/>
      <c r="D13" s="22"/>
      <c r="E13" s="22"/>
      <c r="F13" s="22"/>
      <c r="G13" s="22"/>
      <c r="H13" s="22"/>
      <c r="I13" s="22"/>
      <c r="J13" s="1"/>
      <c r="K13" s="52"/>
    </row>
    <row r="14" spans="1:11" s="46" customFormat="1" ht="15.75" hidden="1" x14ac:dyDescent="0.3">
      <c r="A14" s="6" t="s">
        <v>155</v>
      </c>
      <c r="B14" s="6"/>
      <c r="C14" s="6"/>
      <c r="D14" s="6"/>
      <c r="E14" s="6"/>
      <c r="F14" s="6"/>
      <c r="G14" s="6"/>
      <c r="H14" s="6"/>
      <c r="I14" s="6"/>
      <c r="J14" s="1"/>
      <c r="K14" s="52"/>
    </row>
    <row r="15" spans="1:11" s="46" customFormat="1" ht="15.75" hidden="1" x14ac:dyDescent="0.3">
      <c r="A15" s="193" t="s">
        <v>1</v>
      </c>
      <c r="B15" s="193"/>
      <c r="C15" s="193"/>
      <c r="D15" s="193"/>
      <c r="E15" s="193"/>
      <c r="F15" s="193"/>
      <c r="G15" s="193"/>
      <c r="H15" s="193"/>
      <c r="I15" s="193"/>
      <c r="J15" s="1"/>
      <c r="K15" s="52"/>
    </row>
    <row r="16" spans="1:11" s="46" customFormat="1" ht="15.75" hidden="1" x14ac:dyDescent="0.3">
      <c r="A16" s="6" t="s">
        <v>131</v>
      </c>
      <c r="B16" s="6"/>
      <c r="C16" s="6"/>
      <c r="D16" s="6"/>
      <c r="E16" s="6"/>
      <c r="F16" s="6"/>
      <c r="G16" s="6"/>
      <c r="H16" s="6"/>
      <c r="I16" s="6"/>
      <c r="J16" s="1"/>
      <c r="K16" s="52"/>
    </row>
    <row r="17" spans="1:11" s="46" customFormat="1" ht="15.75" hidden="1" x14ac:dyDescent="0.3">
      <c r="A17" s="6" t="s">
        <v>132</v>
      </c>
      <c r="B17" s="6"/>
      <c r="C17" s="6"/>
      <c r="D17" s="6"/>
      <c r="E17" s="6"/>
      <c r="F17" s="6"/>
      <c r="G17" s="6"/>
      <c r="H17" s="6"/>
      <c r="I17" s="6"/>
      <c r="J17" s="1"/>
      <c r="K17" s="52"/>
    </row>
    <row r="18" spans="1:11" s="45" customFormat="1" ht="13.5" hidden="1" x14ac:dyDescent="0.25">
      <c r="A18" s="76"/>
      <c r="B18" s="76"/>
      <c r="C18" s="77"/>
      <c r="D18" s="77"/>
      <c r="E18" s="71"/>
      <c r="F18" s="71"/>
      <c r="G18" s="71"/>
      <c r="H18" s="71"/>
      <c r="I18" s="71"/>
      <c r="J18" s="53"/>
      <c r="K18" s="53"/>
    </row>
    <row r="19" spans="1:11" s="45" customFormat="1" ht="14.25" x14ac:dyDescent="0.25">
      <c r="A19" s="180" t="s">
        <v>178</v>
      </c>
      <c r="B19" s="180"/>
      <c r="C19" s="180"/>
      <c r="D19" s="180"/>
      <c r="E19" s="180"/>
      <c r="F19" s="180"/>
      <c r="G19" s="172"/>
      <c r="H19" s="172"/>
      <c r="I19" s="172"/>
      <c r="J19" s="2"/>
    </row>
    <row r="20" spans="1:11" ht="12.75" customHeight="1" x14ac:dyDescent="0.2">
      <c r="A20" s="198"/>
      <c r="B20" s="199" t="s">
        <v>199</v>
      </c>
      <c r="C20" s="197" t="s">
        <v>57</v>
      </c>
      <c r="D20" s="197"/>
      <c r="E20" s="198"/>
      <c r="F20" s="198"/>
      <c r="G20" s="198"/>
      <c r="H20" s="198" t="s">
        <v>33</v>
      </c>
      <c r="I20" s="198" t="s">
        <v>54</v>
      </c>
    </row>
    <row r="21" spans="1:11" ht="38.25" x14ac:dyDescent="0.2">
      <c r="A21" s="198"/>
      <c r="B21" s="198"/>
      <c r="C21" s="55" t="s">
        <v>50</v>
      </c>
      <c r="D21" s="55" t="s">
        <v>98</v>
      </c>
      <c r="E21" s="55" t="s">
        <v>53</v>
      </c>
      <c r="F21" s="54" t="s">
        <v>58</v>
      </c>
      <c r="G21" s="54" t="s">
        <v>59</v>
      </c>
      <c r="H21" s="198"/>
      <c r="I21" s="198"/>
    </row>
    <row r="22" spans="1:11" x14ac:dyDescent="0.2">
      <c r="A22" s="56">
        <v>1</v>
      </c>
      <c r="B22" s="56">
        <v>2</v>
      </c>
      <c r="C22" s="56">
        <v>3</v>
      </c>
      <c r="D22" s="56">
        <v>4</v>
      </c>
      <c r="E22" s="56">
        <v>5</v>
      </c>
      <c r="F22" s="56">
        <v>6</v>
      </c>
      <c r="G22" s="56">
        <v>7</v>
      </c>
      <c r="H22" s="56">
        <v>8</v>
      </c>
      <c r="I22" s="56">
        <v>9</v>
      </c>
    </row>
    <row r="23" spans="1:11" x14ac:dyDescent="0.2">
      <c r="A23" s="57" t="s">
        <v>191</v>
      </c>
      <c r="B23" s="58"/>
      <c r="C23" s="59">
        <v>16663996</v>
      </c>
      <c r="D23" s="59">
        <v>1188176</v>
      </c>
      <c r="E23" s="59">
        <f>E25</f>
        <v>19732400</v>
      </c>
      <c r="F23" s="59">
        <f>F25</f>
        <v>18548178</v>
      </c>
      <c r="G23" s="59">
        <f>SUM(C23:F23)</f>
        <v>56132750</v>
      </c>
      <c r="H23" s="59">
        <v>0</v>
      </c>
      <c r="I23" s="59">
        <f>G23</f>
        <v>56132750</v>
      </c>
    </row>
    <row r="24" spans="1:11" x14ac:dyDescent="0.2">
      <c r="A24" s="60" t="s">
        <v>99</v>
      </c>
      <c r="B24" s="58"/>
      <c r="C24" s="59">
        <v>0</v>
      </c>
      <c r="D24" s="59">
        <v>0</v>
      </c>
      <c r="E24" s="59">
        <v>0</v>
      </c>
      <c r="F24" s="61">
        <v>0</v>
      </c>
      <c r="G24" s="59">
        <f>SUM(C24:F24)</f>
        <v>0</v>
      </c>
      <c r="H24" s="61">
        <v>0</v>
      </c>
      <c r="I24" s="59">
        <f>G24</f>
        <v>0</v>
      </c>
    </row>
    <row r="25" spans="1:11" x14ac:dyDescent="0.2">
      <c r="A25" s="57" t="s">
        <v>60</v>
      </c>
      <c r="B25" s="58"/>
      <c r="C25" s="59">
        <f>C23</f>
        <v>16663996</v>
      </c>
      <c r="D25" s="59">
        <v>1188176</v>
      </c>
      <c r="E25" s="59">
        <f>бб!D66</f>
        <v>19732400</v>
      </c>
      <c r="F25" s="59">
        <f>бб!D67</f>
        <v>18548178</v>
      </c>
      <c r="G25" s="59">
        <f>SUM(C25:F25)</f>
        <v>56132750</v>
      </c>
      <c r="H25" s="59">
        <v>0</v>
      </c>
      <c r="I25" s="59">
        <f>G25</f>
        <v>56132750</v>
      </c>
    </row>
    <row r="26" spans="1:11" x14ac:dyDescent="0.2">
      <c r="A26" s="60" t="s">
        <v>61</v>
      </c>
      <c r="B26" s="58"/>
      <c r="C26" s="59">
        <v>0</v>
      </c>
      <c r="D26" s="59">
        <v>0</v>
      </c>
      <c r="E26" s="85">
        <f>бб!C66-бб!D66</f>
        <v>-636412</v>
      </c>
      <c r="F26" s="85">
        <f>-E26</f>
        <v>636412</v>
      </c>
      <c r="G26" s="59">
        <f>SUM(C26:F26)</f>
        <v>0</v>
      </c>
      <c r="H26" s="61">
        <v>0</v>
      </c>
      <c r="I26" s="59">
        <f>G26</f>
        <v>0</v>
      </c>
    </row>
    <row r="27" spans="1:11" x14ac:dyDescent="0.2">
      <c r="A27" s="60" t="s">
        <v>161</v>
      </c>
      <c r="B27" s="58"/>
      <c r="C27" s="59">
        <v>0</v>
      </c>
      <c r="D27" s="59">
        <v>0</v>
      </c>
      <c r="E27" s="85">
        <v>0</v>
      </c>
      <c r="F27" s="85">
        <f>1330898+1581092-3458522</f>
        <v>-546532</v>
      </c>
      <c r="G27" s="85">
        <f>SUM(C27:F27)</f>
        <v>-546532</v>
      </c>
      <c r="H27" s="61">
        <v>0</v>
      </c>
      <c r="I27" s="85">
        <f>G27</f>
        <v>-546532</v>
      </c>
    </row>
    <row r="28" spans="1:11" ht="25.5" x14ac:dyDescent="0.2">
      <c r="A28" s="60" t="s">
        <v>62</v>
      </c>
      <c r="B28" s="58"/>
      <c r="C28" s="59">
        <v>0</v>
      </c>
      <c r="D28" s="59">
        <v>0</v>
      </c>
      <c r="E28" s="59">
        <v>0</v>
      </c>
      <c r="F28" s="61">
        <v>0</v>
      </c>
      <c r="G28" s="61">
        <v>0</v>
      </c>
      <c r="H28" s="61">
        <v>0</v>
      </c>
      <c r="I28" s="85">
        <v>0</v>
      </c>
    </row>
    <row r="29" spans="1:11" ht="38.25" x14ac:dyDescent="0.2">
      <c r="A29" s="60" t="s">
        <v>63</v>
      </c>
      <c r="B29" s="58"/>
      <c r="C29" s="59">
        <v>0</v>
      </c>
      <c r="D29" s="59">
        <v>0</v>
      </c>
      <c r="E29" s="85">
        <f>бб!C66-бб!D66</f>
        <v>-636412</v>
      </c>
      <c r="F29" s="85">
        <f>F26+F27+F28</f>
        <v>89880</v>
      </c>
      <c r="G29" s="85">
        <f>G26+G27+G28</f>
        <v>-546532</v>
      </c>
      <c r="H29" s="85">
        <f>H26+H27+H28</f>
        <v>0</v>
      </c>
      <c r="I29" s="85">
        <f>G29</f>
        <v>-546532</v>
      </c>
    </row>
    <row r="30" spans="1:11" x14ac:dyDescent="0.2">
      <c r="A30" s="60" t="s">
        <v>33</v>
      </c>
      <c r="B30" s="58"/>
      <c r="C30" s="59">
        <v>0</v>
      </c>
      <c r="D30" s="59">
        <v>0</v>
      </c>
      <c r="E30" s="59">
        <v>0</v>
      </c>
      <c r="F30" s="59">
        <f>ф2!C40</f>
        <v>2746570.05</v>
      </c>
      <c r="G30" s="61">
        <f>F30</f>
        <v>2746570.05</v>
      </c>
      <c r="H30" s="59">
        <v>13303908</v>
      </c>
      <c r="I30" s="61">
        <v>13303908</v>
      </c>
    </row>
    <row r="31" spans="1:11" x14ac:dyDescent="0.2">
      <c r="A31" s="60" t="s">
        <v>64</v>
      </c>
      <c r="B31" s="58"/>
      <c r="C31" s="59">
        <v>0</v>
      </c>
      <c r="D31" s="59">
        <v>0</v>
      </c>
      <c r="E31" s="85"/>
      <c r="F31" s="85">
        <f>ф2!C39</f>
        <v>455008.95000000019</v>
      </c>
      <c r="G31" s="85">
        <f>SUM(C31:F31)</f>
        <v>455008.95000000019</v>
      </c>
      <c r="H31" s="61"/>
      <c r="I31" s="85">
        <f>G31+H31</f>
        <v>455008.95000000019</v>
      </c>
    </row>
    <row r="32" spans="1:11" ht="25.5" x14ac:dyDescent="0.2">
      <c r="A32" s="60" t="s">
        <v>65</v>
      </c>
      <c r="B32" s="58"/>
      <c r="C32" s="59">
        <v>0</v>
      </c>
      <c r="D32" s="59">
        <v>0</v>
      </c>
      <c r="E32" s="85">
        <f>E29+E31</f>
        <v>-636412</v>
      </c>
      <c r="F32" s="85">
        <f>F29+F31</f>
        <v>544888.95000000019</v>
      </c>
      <c r="G32" s="85">
        <f>G29+G31</f>
        <v>-91523.049999999814</v>
      </c>
      <c r="H32" s="85">
        <f>H29+H31</f>
        <v>0</v>
      </c>
      <c r="I32" s="85">
        <f>I29+I31</f>
        <v>-91523.049999999814</v>
      </c>
    </row>
    <row r="33" spans="1:17" x14ac:dyDescent="0.2">
      <c r="A33" s="60" t="s">
        <v>66</v>
      </c>
      <c r="B33" s="58"/>
      <c r="C33" s="59">
        <v>0</v>
      </c>
      <c r="D33" s="59">
        <v>0</v>
      </c>
      <c r="E33" s="59">
        <v>0</v>
      </c>
      <c r="F33" s="85"/>
      <c r="G33" s="85">
        <f>SUM(C33:F33)</f>
        <v>0</v>
      </c>
      <c r="H33" s="61">
        <v>0</v>
      </c>
      <c r="I33" s="85">
        <f>G33+H33</f>
        <v>0</v>
      </c>
    </row>
    <row r="34" spans="1:17" x14ac:dyDescent="0.2">
      <c r="A34" s="60" t="s">
        <v>67</v>
      </c>
      <c r="B34" s="58"/>
      <c r="C34" s="59">
        <v>0</v>
      </c>
      <c r="D34" s="59">
        <v>0</v>
      </c>
      <c r="E34" s="59">
        <v>0</v>
      </c>
      <c r="F34" s="62">
        <v>0</v>
      </c>
      <c r="G34" s="61">
        <f>SUM(C34:F34)</f>
        <v>0</v>
      </c>
      <c r="H34" s="62">
        <v>0</v>
      </c>
      <c r="I34" s="61">
        <f>G34+H34</f>
        <v>0</v>
      </c>
    </row>
    <row r="35" spans="1:17" ht="25.5" x14ac:dyDescent="0.2">
      <c r="A35" s="60" t="s">
        <v>68</v>
      </c>
      <c r="B35" s="58"/>
      <c r="C35" s="59">
        <v>0</v>
      </c>
      <c r="D35" s="59">
        <v>0</v>
      </c>
      <c r="E35" s="59">
        <v>0</v>
      </c>
      <c r="F35" s="62">
        <v>0</v>
      </c>
      <c r="G35" s="61">
        <f>SUM(C35:F35)</f>
        <v>0</v>
      </c>
      <c r="H35" s="61">
        <v>0</v>
      </c>
      <c r="I35" s="61">
        <f>G35+H35</f>
        <v>0</v>
      </c>
    </row>
    <row r="36" spans="1:17" ht="25.5" x14ac:dyDescent="0.2">
      <c r="A36" s="60" t="s">
        <v>192</v>
      </c>
      <c r="B36" s="58"/>
      <c r="C36" s="59">
        <f t="shared" ref="C36:G36" si="0">C25+C32+C33+C34-C35</f>
        <v>16663996</v>
      </c>
      <c r="D36" s="59">
        <f t="shared" si="0"/>
        <v>1188176</v>
      </c>
      <c r="E36" s="59">
        <f t="shared" si="0"/>
        <v>19095988</v>
      </c>
      <c r="F36" s="59">
        <f>F25+F32+F33+F34-F35</f>
        <v>19093066.949999999</v>
      </c>
      <c r="G36" s="59">
        <f t="shared" si="0"/>
        <v>56041226.950000003</v>
      </c>
      <c r="H36" s="59">
        <f>H25+H32+H33+H34-H35+H30</f>
        <v>13303908</v>
      </c>
      <c r="I36" s="59">
        <f>I25+I32+I33+I34-I35+I30</f>
        <v>69345134.950000003</v>
      </c>
    </row>
    <row r="37" spans="1:17" x14ac:dyDescent="0.2">
      <c r="A37" s="63"/>
      <c r="B37" s="195"/>
      <c r="C37" s="195"/>
      <c r="D37" s="195"/>
      <c r="E37" s="195"/>
      <c r="F37" s="195"/>
      <c r="G37" s="195"/>
      <c r="H37" s="195"/>
      <c r="I37" s="196"/>
      <c r="K37" s="47">
        <f>бб!C85-ф4!C36</f>
        <v>-15709607</v>
      </c>
      <c r="L37" s="47">
        <f>бб!C86-ф4!D36</f>
        <v>-359346</v>
      </c>
      <c r="M37" s="80">
        <f>бб!C89-ф4!E36</f>
        <v>-18062629</v>
      </c>
      <c r="N37" s="47">
        <f>бб!C90-ф4!F36</f>
        <v>-16901433.949999999</v>
      </c>
      <c r="O37" s="47">
        <f>бб!C91-ф4!H36</f>
        <v>-11456615</v>
      </c>
      <c r="P37" s="47">
        <f>бб!C92-ф4!I36</f>
        <v>11125051.049999997</v>
      </c>
      <c r="Q37" s="48"/>
    </row>
    <row r="38" spans="1:17" x14ac:dyDescent="0.2">
      <c r="A38" s="60" t="s">
        <v>193</v>
      </c>
      <c r="B38" s="58"/>
      <c r="C38" s="119">
        <v>16663996</v>
      </c>
      <c r="D38" s="119">
        <v>1188176</v>
      </c>
      <c r="E38" s="119">
        <v>20824497</v>
      </c>
      <c r="F38" s="119">
        <v>28475051</v>
      </c>
      <c r="G38" s="119">
        <v>67151720</v>
      </c>
      <c r="H38" s="119" t="s">
        <v>171</v>
      </c>
      <c r="I38" s="119">
        <v>67151720</v>
      </c>
    </row>
    <row r="39" spans="1:17" x14ac:dyDescent="0.2">
      <c r="A39" s="60" t="s">
        <v>122</v>
      </c>
      <c r="B39" s="58"/>
      <c r="C39" s="119" t="s">
        <v>171</v>
      </c>
      <c r="D39" s="119" t="s">
        <v>171</v>
      </c>
      <c r="E39" s="85" t="s">
        <v>171</v>
      </c>
      <c r="F39" s="85" t="s">
        <v>171</v>
      </c>
      <c r="G39" s="85" t="s">
        <v>171</v>
      </c>
      <c r="H39" s="120" t="s">
        <v>171</v>
      </c>
      <c r="I39" s="85" t="s">
        <v>171</v>
      </c>
    </row>
    <row r="40" spans="1:17" ht="25.5" x14ac:dyDescent="0.2">
      <c r="A40" s="60" t="s">
        <v>69</v>
      </c>
      <c r="B40" s="58"/>
      <c r="C40" s="119">
        <v>16663996</v>
      </c>
      <c r="D40" s="119">
        <v>1188176</v>
      </c>
      <c r="E40" s="119">
        <v>20824497</v>
      </c>
      <c r="F40" s="119">
        <v>28475051</v>
      </c>
      <c r="G40" s="119">
        <v>67151720</v>
      </c>
      <c r="H40" s="120" t="s">
        <v>171</v>
      </c>
      <c r="I40" s="119">
        <v>67151720</v>
      </c>
    </row>
    <row r="41" spans="1:17" x14ac:dyDescent="0.2">
      <c r="A41" s="60" t="s">
        <v>61</v>
      </c>
      <c r="B41" s="58"/>
      <c r="C41" s="119" t="s">
        <v>171</v>
      </c>
      <c r="D41" s="119" t="s">
        <v>171</v>
      </c>
      <c r="E41" s="85">
        <v>-652086</v>
      </c>
      <c r="F41" s="85">
        <v>652086</v>
      </c>
      <c r="G41" s="120" t="s">
        <v>171</v>
      </c>
      <c r="H41" s="120" t="s">
        <v>171</v>
      </c>
      <c r="I41" s="120" t="s">
        <v>171</v>
      </c>
    </row>
    <row r="42" spans="1:17" ht="12.75" hidden="1" customHeight="1" x14ac:dyDescent="0.2">
      <c r="A42" s="59">
        <v>0</v>
      </c>
      <c r="B42" s="59"/>
      <c r="C42" s="119" t="s">
        <v>171</v>
      </c>
      <c r="D42" s="119" t="s">
        <v>171</v>
      </c>
      <c r="E42" s="119" t="s">
        <v>171</v>
      </c>
      <c r="F42" s="119">
        <v>-237645</v>
      </c>
      <c r="G42" s="120">
        <v>-237645</v>
      </c>
      <c r="H42" s="120" t="s">
        <v>171</v>
      </c>
      <c r="I42" s="120">
        <v>-237645</v>
      </c>
    </row>
    <row r="43" spans="1:17" ht="25.5" x14ac:dyDescent="0.2">
      <c r="A43" s="60" t="s">
        <v>62</v>
      </c>
      <c r="B43" s="58"/>
      <c r="C43" s="119" t="s">
        <v>171</v>
      </c>
      <c r="D43" s="119" t="s">
        <v>171</v>
      </c>
      <c r="E43" s="119" t="s">
        <v>171</v>
      </c>
      <c r="F43" s="120" t="s">
        <v>171</v>
      </c>
      <c r="G43" s="120" t="s">
        <v>171</v>
      </c>
      <c r="H43" s="120" t="s">
        <v>171</v>
      </c>
      <c r="I43" s="120" t="s">
        <v>172</v>
      </c>
    </row>
    <row r="44" spans="1:17" x14ac:dyDescent="0.2">
      <c r="A44" s="60" t="s">
        <v>161</v>
      </c>
      <c r="B44" s="58"/>
      <c r="C44" s="119" t="s">
        <v>171</v>
      </c>
      <c r="D44" s="119" t="s">
        <v>171</v>
      </c>
      <c r="E44" s="85">
        <v>-652086</v>
      </c>
      <c r="F44" s="85">
        <v>414441</v>
      </c>
      <c r="G44" s="86">
        <v>-237645</v>
      </c>
      <c r="H44" s="119" t="s">
        <v>171</v>
      </c>
      <c r="I44" s="122">
        <v>-237645</v>
      </c>
    </row>
    <row r="45" spans="1:17" ht="38.25" x14ac:dyDescent="0.2">
      <c r="A45" s="60" t="s">
        <v>70</v>
      </c>
      <c r="B45" s="58"/>
      <c r="C45" s="119" t="s">
        <v>171</v>
      </c>
      <c r="D45" s="119" t="s">
        <v>171</v>
      </c>
      <c r="E45" s="85" t="s">
        <v>171</v>
      </c>
      <c r="F45" s="85" t="s">
        <v>171</v>
      </c>
      <c r="G45" s="85" t="s">
        <v>171</v>
      </c>
      <c r="H45" s="119" t="s">
        <v>171</v>
      </c>
      <c r="I45" s="122" t="s">
        <v>171</v>
      </c>
    </row>
    <row r="46" spans="1:17" x14ac:dyDescent="0.2">
      <c r="A46" s="60" t="s">
        <v>64</v>
      </c>
      <c r="B46" s="58"/>
      <c r="C46" s="119" t="s">
        <v>171</v>
      </c>
      <c r="D46" s="119" t="s">
        <v>171</v>
      </c>
      <c r="E46" s="85" t="s">
        <v>171</v>
      </c>
      <c r="F46" s="85">
        <v>2037237</v>
      </c>
      <c r="G46" s="85">
        <v>2037237</v>
      </c>
      <c r="H46" s="85" t="s">
        <v>171</v>
      </c>
      <c r="I46" s="85">
        <v>2037237</v>
      </c>
    </row>
    <row r="47" spans="1:17" ht="25.5" x14ac:dyDescent="0.2">
      <c r="A47" s="60" t="s">
        <v>71</v>
      </c>
      <c r="B47" s="58"/>
      <c r="C47" s="119" t="s">
        <v>171</v>
      </c>
      <c r="D47" s="119" t="s">
        <v>171</v>
      </c>
      <c r="E47" s="85">
        <v>-652086</v>
      </c>
      <c r="F47" s="85">
        <v>2451678</v>
      </c>
      <c r="G47" s="85">
        <v>1799592</v>
      </c>
      <c r="H47" s="85" t="s">
        <v>171</v>
      </c>
      <c r="I47" s="85">
        <v>1799592</v>
      </c>
    </row>
    <row r="48" spans="1:17" x14ac:dyDescent="0.2">
      <c r="A48" s="60" t="s">
        <v>66</v>
      </c>
      <c r="B48" s="58"/>
      <c r="C48" s="119" t="s">
        <v>171</v>
      </c>
      <c r="D48" s="119" t="s">
        <v>171</v>
      </c>
      <c r="E48" s="119" t="s">
        <v>171</v>
      </c>
      <c r="F48" s="85" t="s">
        <v>172</v>
      </c>
      <c r="G48" s="85" t="s">
        <v>172</v>
      </c>
      <c r="H48" s="120" t="s">
        <v>171</v>
      </c>
      <c r="I48" s="122" t="s">
        <v>172</v>
      </c>
    </row>
    <row r="49" spans="1:16" x14ac:dyDescent="0.2">
      <c r="A49" s="60" t="s">
        <v>67</v>
      </c>
      <c r="B49" s="58"/>
      <c r="C49" s="119" t="s">
        <v>171</v>
      </c>
      <c r="D49" s="119" t="s">
        <v>171</v>
      </c>
      <c r="E49" s="119" t="s">
        <v>171</v>
      </c>
      <c r="F49" s="121" t="s">
        <v>171</v>
      </c>
      <c r="G49" s="120" t="s">
        <v>171</v>
      </c>
      <c r="H49" s="121" t="s">
        <v>171</v>
      </c>
      <c r="I49" s="120" t="s">
        <v>171</v>
      </c>
    </row>
    <row r="50" spans="1:16" ht="25.5" x14ac:dyDescent="0.2">
      <c r="A50" s="60" t="s">
        <v>68</v>
      </c>
      <c r="B50" s="58"/>
      <c r="C50" s="119" t="s">
        <v>171</v>
      </c>
      <c r="D50" s="119" t="s">
        <v>171</v>
      </c>
      <c r="E50" s="119" t="s">
        <v>171</v>
      </c>
      <c r="F50" s="121" t="s">
        <v>171</v>
      </c>
      <c r="G50" s="120" t="s">
        <v>171</v>
      </c>
      <c r="H50" s="120" t="s">
        <v>171</v>
      </c>
      <c r="I50" s="120" t="s">
        <v>171</v>
      </c>
    </row>
    <row r="51" spans="1:16" ht="25.5" x14ac:dyDescent="0.2">
      <c r="A51" s="60" t="s">
        <v>194</v>
      </c>
      <c r="B51" s="58"/>
      <c r="C51" s="119">
        <v>16663996</v>
      </c>
      <c r="D51" s="119">
        <v>1188176</v>
      </c>
      <c r="E51" s="119">
        <v>20172411</v>
      </c>
      <c r="F51" s="119">
        <v>30926729</v>
      </c>
      <c r="G51" s="119">
        <v>68951312</v>
      </c>
      <c r="H51" s="119" t="s">
        <v>171</v>
      </c>
      <c r="I51" s="119">
        <v>68951312</v>
      </c>
      <c r="K51" s="49"/>
      <c r="L51" s="49"/>
      <c r="M51" s="49"/>
      <c r="N51" s="49"/>
      <c r="O51" s="49"/>
      <c r="P51" s="49"/>
    </row>
    <row r="52" spans="1:16" x14ac:dyDescent="0.2">
      <c r="A52" s="67"/>
      <c r="B52" s="71"/>
      <c r="C52" s="71"/>
      <c r="D52" s="71"/>
      <c r="E52" s="71"/>
      <c r="F52" s="71"/>
      <c r="G52" s="71"/>
      <c r="H52" s="71"/>
      <c r="I52" s="71"/>
      <c r="K52" s="49"/>
      <c r="L52" s="49"/>
      <c r="M52" s="49"/>
      <c r="N52" s="49"/>
      <c r="O52" s="49"/>
    </row>
    <row r="53" spans="1:16" ht="14.25" x14ac:dyDescent="0.2">
      <c r="A53" s="67" t="str">
        <f>бб!A100</f>
        <v>Генеральный директор</v>
      </c>
      <c r="B53" s="66"/>
      <c r="C53" s="66"/>
      <c r="D53" s="71"/>
      <c r="E53" s="107" t="s">
        <v>162</v>
      </c>
      <c r="F53" s="71"/>
      <c r="G53" s="71"/>
      <c r="H53" s="68"/>
      <c r="I53" s="71"/>
    </row>
    <row r="54" spans="1:16" x14ac:dyDescent="0.2">
      <c r="A54" s="67"/>
      <c r="B54" s="66"/>
      <c r="C54" s="66"/>
      <c r="D54" s="68"/>
      <c r="E54" s="194"/>
      <c r="F54" s="194"/>
      <c r="G54" s="71"/>
      <c r="H54" s="71"/>
      <c r="I54" s="71"/>
    </row>
    <row r="55" spans="1:16" x14ac:dyDescent="0.2">
      <c r="A55" s="67"/>
      <c r="B55" s="66"/>
      <c r="C55" s="66"/>
      <c r="D55" s="68"/>
      <c r="E55" s="71"/>
      <c r="F55" s="71"/>
      <c r="G55" s="71"/>
      <c r="H55" s="71"/>
      <c r="I55" s="71"/>
    </row>
    <row r="56" spans="1:16" ht="14.25" x14ac:dyDescent="0.2">
      <c r="A56" s="67" t="str">
        <f>бб!A103</f>
        <v xml:space="preserve">Главный бухгалтер                                              </v>
      </c>
      <c r="B56" s="66"/>
      <c r="C56" s="66"/>
      <c r="D56" s="71"/>
      <c r="E56" s="108" t="s">
        <v>160</v>
      </c>
      <c r="F56" s="67"/>
      <c r="G56" s="71"/>
      <c r="H56" s="68"/>
      <c r="I56" s="71"/>
    </row>
    <row r="57" spans="1:16" x14ac:dyDescent="0.2">
      <c r="A57" s="71"/>
      <c r="B57" s="71"/>
      <c r="C57" s="71"/>
      <c r="D57" s="71"/>
      <c r="E57" s="71"/>
      <c r="F57" s="71"/>
      <c r="G57" s="71"/>
      <c r="H57" s="71"/>
      <c r="I57" s="71"/>
    </row>
    <row r="58" spans="1:16" ht="15" customHeight="1" x14ac:dyDescent="0.2">
      <c r="A58" s="64" t="s">
        <v>55</v>
      </c>
      <c r="B58" s="71"/>
      <c r="C58" s="71"/>
      <c r="D58" s="71"/>
      <c r="E58" s="71"/>
      <c r="F58" s="71"/>
      <c r="G58" s="71"/>
      <c r="H58" s="71"/>
      <c r="I58" s="71"/>
    </row>
    <row r="59" spans="1:16" x14ac:dyDescent="0.2">
      <c r="A59" s="71"/>
      <c r="B59" s="71"/>
      <c r="C59" s="71"/>
      <c r="D59" s="71"/>
      <c r="E59" s="71"/>
      <c r="F59" s="71"/>
      <c r="G59" s="71"/>
      <c r="H59" s="71"/>
      <c r="I59" s="71"/>
    </row>
    <row r="60" spans="1:16" x14ac:dyDescent="0.2">
      <c r="A60" s="71"/>
      <c r="B60" s="71"/>
      <c r="C60" s="71"/>
      <c r="D60" s="71"/>
      <c r="E60" s="71"/>
      <c r="F60" s="71"/>
      <c r="G60" s="71"/>
      <c r="H60" s="71"/>
      <c r="I60" s="71"/>
    </row>
  </sheetData>
  <mergeCells count="13">
    <mergeCell ref="E54:F54"/>
    <mergeCell ref="B37:I37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2021-08-25T12:18:32Z</cp:lastPrinted>
  <dcterms:created xsi:type="dcterms:W3CDTF">2007-05-04T07:43:23Z</dcterms:created>
  <dcterms:modified xsi:type="dcterms:W3CDTF">2021-08-25T12:18:53Z</dcterms:modified>
</cp:coreProperties>
</file>