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ermurat\Desktop\KASE\"/>
    </mc:Choice>
  </mc:AlternateContent>
  <bookViews>
    <workbookView xWindow="0" yWindow="0" windowWidth="28800" windowHeight="11985"/>
  </bookViews>
  <sheets>
    <sheet name="VREP_700_ND_RESPONDENTundefined" sheetId="1" r:id="rId1"/>
  </sheets>
  <definedNames>
    <definedName name="_xlnm._FilterDatabase" localSheetId="0" hidden="1">VREP_700_ND_RESPONDENTundefined!$A$11:$I$604</definedName>
  </definedNames>
  <calcPr calcId="162913" refMode="R1C1"/>
</workbook>
</file>

<file path=xl/calcChain.xml><?xml version="1.0" encoding="utf-8"?>
<calcChain xmlns="http://schemas.openxmlformats.org/spreadsheetml/2006/main">
  <c r="I10" i="1" l="1"/>
  <c r="D19" i="1"/>
  <c r="E19" i="1"/>
  <c r="F19" i="1"/>
  <c r="G19" i="1"/>
  <c r="H19" i="1"/>
  <c r="D12" i="1"/>
  <c r="E12" i="1"/>
  <c r="F12" i="1"/>
  <c r="G12" i="1"/>
  <c r="H12" i="1"/>
  <c r="D20" i="1"/>
  <c r="E20" i="1"/>
  <c r="F20" i="1"/>
  <c r="G20" i="1"/>
  <c r="H20" i="1"/>
  <c r="D26" i="1"/>
  <c r="E26" i="1"/>
  <c r="F26" i="1"/>
  <c r="G26" i="1"/>
  <c r="H26" i="1"/>
  <c r="D34" i="1"/>
  <c r="E34" i="1"/>
  <c r="F34" i="1"/>
  <c r="G34" i="1"/>
  <c r="H34" i="1"/>
  <c r="D27" i="1"/>
  <c r="E27" i="1"/>
  <c r="F27" i="1"/>
  <c r="G27" i="1"/>
  <c r="H27" i="1"/>
  <c r="D35" i="1"/>
  <c r="E35" i="1"/>
  <c r="F35" i="1"/>
  <c r="G35" i="1"/>
  <c r="H35" i="1"/>
  <c r="D28" i="1"/>
  <c r="E28" i="1"/>
  <c r="F28" i="1"/>
  <c r="G28" i="1"/>
  <c r="H28" i="1"/>
  <c r="D22" i="1"/>
  <c r="E22" i="1"/>
  <c r="F22" i="1"/>
  <c r="G22" i="1"/>
  <c r="H22" i="1"/>
  <c r="D40" i="1"/>
  <c r="E40" i="1"/>
  <c r="F40" i="1"/>
  <c r="G40" i="1"/>
  <c r="H40" i="1"/>
  <c r="D39" i="1"/>
  <c r="E39" i="1"/>
  <c r="F39" i="1"/>
  <c r="G39" i="1"/>
  <c r="H39" i="1"/>
  <c r="D37" i="1"/>
  <c r="E37" i="1"/>
  <c r="F37" i="1"/>
  <c r="G37" i="1"/>
  <c r="H37" i="1"/>
  <c r="D43" i="1"/>
  <c r="E43" i="1"/>
  <c r="F43" i="1"/>
  <c r="G43" i="1"/>
  <c r="H43" i="1"/>
  <c r="D13" i="1"/>
  <c r="E13" i="1"/>
  <c r="F13" i="1"/>
  <c r="G13" i="1"/>
  <c r="H13" i="1"/>
  <c r="D15" i="1"/>
  <c r="E15" i="1"/>
  <c r="F15" i="1"/>
  <c r="G15" i="1"/>
  <c r="H15" i="1"/>
  <c r="D23" i="1"/>
  <c r="E23" i="1"/>
  <c r="F23" i="1"/>
  <c r="G23" i="1"/>
  <c r="H23" i="1"/>
  <c r="D29" i="1"/>
  <c r="E29" i="1"/>
  <c r="F29" i="1"/>
  <c r="G29" i="1"/>
  <c r="H29" i="1"/>
  <c r="D18" i="1"/>
  <c r="E18" i="1"/>
  <c r="F18" i="1"/>
  <c r="G18" i="1"/>
  <c r="H18" i="1"/>
  <c r="D41" i="1"/>
  <c r="E41" i="1"/>
  <c r="F41" i="1"/>
  <c r="G41" i="1"/>
  <c r="H41" i="1"/>
  <c r="D33" i="1"/>
  <c r="E33" i="1"/>
  <c r="F33" i="1"/>
  <c r="G33" i="1"/>
  <c r="H33" i="1"/>
  <c r="D24" i="1"/>
  <c r="E24" i="1"/>
  <c r="F24" i="1"/>
  <c r="G24" i="1"/>
  <c r="H24" i="1"/>
  <c r="D16" i="1"/>
  <c r="E16" i="1"/>
  <c r="F16" i="1"/>
  <c r="G16" i="1"/>
  <c r="H16" i="1"/>
  <c r="D30" i="1"/>
  <c r="E30" i="1"/>
  <c r="F30" i="1"/>
  <c r="G30" i="1"/>
  <c r="H30" i="1"/>
  <c r="D17" i="1"/>
  <c r="E17" i="1"/>
  <c r="F17" i="1"/>
  <c r="G17" i="1"/>
  <c r="H17" i="1"/>
  <c r="D45" i="1"/>
  <c r="E45" i="1"/>
  <c r="F45" i="1"/>
  <c r="G45" i="1"/>
  <c r="H45" i="1"/>
  <c r="D14" i="1"/>
  <c r="E14" i="1"/>
  <c r="F14" i="1"/>
  <c r="G14" i="1"/>
  <c r="H14" i="1"/>
  <c r="D31" i="1"/>
  <c r="E31" i="1"/>
  <c r="F31" i="1"/>
  <c r="G31" i="1"/>
  <c r="H31" i="1"/>
  <c r="D32" i="1"/>
  <c r="E32" i="1"/>
  <c r="F32" i="1"/>
  <c r="G32" i="1"/>
  <c r="H32" i="1"/>
  <c r="D25" i="1"/>
  <c r="E25" i="1"/>
  <c r="F25" i="1"/>
  <c r="G25" i="1"/>
  <c r="H25" i="1"/>
  <c r="D38" i="1"/>
  <c r="E38" i="1"/>
  <c r="F38" i="1"/>
  <c r="G38" i="1"/>
  <c r="H38" i="1"/>
  <c r="D42" i="1"/>
  <c r="E42" i="1"/>
  <c r="F42" i="1"/>
  <c r="G42" i="1"/>
  <c r="H42" i="1"/>
  <c r="D46" i="1"/>
  <c r="E46" i="1"/>
  <c r="F46" i="1"/>
  <c r="G46" i="1"/>
  <c r="H46" i="1"/>
  <c r="D21" i="1"/>
  <c r="E21" i="1"/>
  <c r="F21" i="1"/>
  <c r="G21" i="1"/>
  <c r="H21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2" i="1"/>
  <c r="E52" i="1"/>
  <c r="F52" i="1"/>
  <c r="G52" i="1"/>
  <c r="H52" i="1"/>
  <c r="D36" i="1"/>
  <c r="E36" i="1"/>
  <c r="F36" i="1"/>
  <c r="G36" i="1"/>
  <c r="H36" i="1"/>
  <c r="D53" i="1"/>
  <c r="E53" i="1"/>
  <c r="F53" i="1"/>
  <c r="G53" i="1"/>
  <c r="H53" i="1"/>
  <c r="D54" i="1"/>
  <c r="E54" i="1"/>
  <c r="F54" i="1"/>
  <c r="G54" i="1"/>
  <c r="H54" i="1"/>
  <c r="D50" i="1"/>
  <c r="E50" i="1"/>
  <c r="F50" i="1"/>
  <c r="G50" i="1"/>
  <c r="H50" i="1"/>
  <c r="D55" i="1"/>
  <c r="E55" i="1"/>
  <c r="F55" i="1"/>
  <c r="G55" i="1"/>
  <c r="H55" i="1"/>
  <c r="D56" i="1"/>
  <c r="E56" i="1"/>
  <c r="F56" i="1"/>
  <c r="G56" i="1"/>
  <c r="H56" i="1"/>
  <c r="D44" i="1"/>
  <c r="E44" i="1"/>
  <c r="F44" i="1"/>
  <c r="G44" i="1"/>
  <c r="H44" i="1"/>
  <c r="D58" i="1"/>
  <c r="E58" i="1"/>
  <c r="F58" i="1"/>
  <c r="G58" i="1"/>
  <c r="H58" i="1"/>
  <c r="D57" i="1"/>
  <c r="E57" i="1"/>
  <c r="F57" i="1"/>
  <c r="G57" i="1"/>
  <c r="H57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3" i="1"/>
  <c r="E63" i="1"/>
  <c r="F63" i="1"/>
  <c r="G63" i="1"/>
  <c r="H63" i="1"/>
  <c r="D62" i="1"/>
  <c r="E62" i="1"/>
  <c r="F62" i="1"/>
  <c r="G62" i="1"/>
  <c r="H62" i="1"/>
  <c r="D51" i="1"/>
  <c r="E51" i="1"/>
  <c r="F51" i="1"/>
  <c r="G51" i="1"/>
  <c r="H51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1" i="1"/>
  <c r="E91" i="1"/>
  <c r="F91" i="1"/>
  <c r="G91" i="1"/>
  <c r="H91" i="1"/>
  <c r="D75" i="1"/>
  <c r="E75" i="1"/>
  <c r="F75" i="1"/>
  <c r="G75" i="1"/>
  <c r="H75" i="1"/>
  <c r="D90" i="1"/>
  <c r="E90" i="1"/>
  <c r="F90" i="1"/>
  <c r="G90" i="1"/>
  <c r="H90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84" i="1"/>
  <c r="E84" i="1"/>
  <c r="F84" i="1"/>
  <c r="G84" i="1"/>
  <c r="H84" i="1"/>
  <c r="D100" i="1"/>
  <c r="E100" i="1"/>
  <c r="F100" i="1"/>
  <c r="G100" i="1"/>
  <c r="H100" i="1"/>
  <c r="D69" i="1"/>
  <c r="E69" i="1"/>
  <c r="F69" i="1"/>
  <c r="G69" i="1"/>
  <c r="H69" i="1"/>
  <c r="D101" i="1"/>
  <c r="E101" i="1"/>
  <c r="F101" i="1"/>
  <c r="G101" i="1"/>
  <c r="H101" i="1"/>
  <c r="D105" i="1"/>
  <c r="E105" i="1"/>
  <c r="F105" i="1"/>
  <c r="G105" i="1"/>
  <c r="H105" i="1"/>
  <c r="D106" i="1"/>
  <c r="E106" i="1"/>
  <c r="F106" i="1"/>
  <c r="G106" i="1"/>
  <c r="H106" i="1"/>
  <c r="D108" i="1"/>
  <c r="E108" i="1"/>
  <c r="F108" i="1"/>
  <c r="G108" i="1"/>
  <c r="H108" i="1"/>
  <c r="D107" i="1"/>
  <c r="E107" i="1"/>
  <c r="F107" i="1"/>
  <c r="G107" i="1"/>
  <c r="H107" i="1"/>
  <c r="D104" i="1"/>
  <c r="E104" i="1"/>
  <c r="F104" i="1"/>
  <c r="G104" i="1"/>
  <c r="H104" i="1"/>
  <c r="D110" i="1"/>
  <c r="E110" i="1"/>
  <c r="F110" i="1"/>
  <c r="G110" i="1"/>
  <c r="H110" i="1"/>
  <c r="D102" i="1"/>
  <c r="E102" i="1"/>
  <c r="F102" i="1"/>
  <c r="G102" i="1"/>
  <c r="H102" i="1"/>
  <c r="D114" i="1"/>
  <c r="E114" i="1"/>
  <c r="F114" i="1"/>
  <c r="G114" i="1"/>
  <c r="H114" i="1"/>
  <c r="D117" i="1"/>
  <c r="E117" i="1"/>
  <c r="F117" i="1"/>
  <c r="G117" i="1"/>
  <c r="H117" i="1"/>
  <c r="D115" i="1"/>
  <c r="E115" i="1"/>
  <c r="F115" i="1"/>
  <c r="G115" i="1"/>
  <c r="H115" i="1"/>
  <c r="D116" i="1"/>
  <c r="E116" i="1"/>
  <c r="F116" i="1"/>
  <c r="G116" i="1"/>
  <c r="H116" i="1"/>
  <c r="D119" i="1"/>
  <c r="E119" i="1"/>
  <c r="F119" i="1"/>
  <c r="G119" i="1"/>
  <c r="H119" i="1"/>
  <c r="D118" i="1"/>
  <c r="E118" i="1"/>
  <c r="F118" i="1"/>
  <c r="G118" i="1"/>
  <c r="H118" i="1"/>
  <c r="D122" i="1"/>
  <c r="E122" i="1"/>
  <c r="F122" i="1"/>
  <c r="G122" i="1"/>
  <c r="H122" i="1"/>
  <c r="D120" i="1"/>
  <c r="E120" i="1"/>
  <c r="F120" i="1"/>
  <c r="G120" i="1"/>
  <c r="H120" i="1"/>
  <c r="D112" i="1"/>
  <c r="E112" i="1"/>
  <c r="F112" i="1"/>
  <c r="G112" i="1"/>
  <c r="H112" i="1"/>
  <c r="D103" i="1"/>
  <c r="E103" i="1"/>
  <c r="F103" i="1"/>
  <c r="G103" i="1"/>
  <c r="H103" i="1"/>
  <c r="D113" i="1"/>
  <c r="E113" i="1"/>
  <c r="F113" i="1"/>
  <c r="G113" i="1"/>
  <c r="H113" i="1"/>
  <c r="D111" i="1"/>
  <c r="E111" i="1"/>
  <c r="F111" i="1"/>
  <c r="G111" i="1"/>
  <c r="H111" i="1"/>
  <c r="D124" i="1"/>
  <c r="E124" i="1"/>
  <c r="F124" i="1"/>
  <c r="G124" i="1"/>
  <c r="H124" i="1"/>
  <c r="D123" i="1"/>
  <c r="E123" i="1"/>
  <c r="F123" i="1"/>
  <c r="G123" i="1"/>
  <c r="H123" i="1"/>
  <c r="D121" i="1"/>
  <c r="E121" i="1"/>
  <c r="F121" i="1"/>
  <c r="G121" i="1"/>
  <c r="H121" i="1"/>
  <c r="D109" i="1"/>
  <c r="E109" i="1"/>
  <c r="F109" i="1"/>
  <c r="G109" i="1"/>
  <c r="H109" i="1"/>
  <c r="D125" i="1"/>
  <c r="E125" i="1"/>
  <c r="F125" i="1"/>
  <c r="G125" i="1"/>
  <c r="H125" i="1"/>
  <c r="D128" i="1"/>
  <c r="E128" i="1"/>
  <c r="F128" i="1"/>
  <c r="G128" i="1"/>
  <c r="H128" i="1"/>
  <c r="D127" i="1"/>
  <c r="E127" i="1"/>
  <c r="F127" i="1"/>
  <c r="G127" i="1"/>
  <c r="H127" i="1"/>
  <c r="D130" i="1"/>
  <c r="E130" i="1"/>
  <c r="F130" i="1"/>
  <c r="G130" i="1"/>
  <c r="H130" i="1"/>
  <c r="D129" i="1"/>
  <c r="E129" i="1"/>
  <c r="F129" i="1"/>
  <c r="G129" i="1"/>
  <c r="H129" i="1"/>
  <c r="D131" i="1"/>
  <c r="E131" i="1"/>
  <c r="F131" i="1"/>
  <c r="G131" i="1"/>
  <c r="H131" i="1"/>
  <c r="D126" i="1"/>
  <c r="E126" i="1"/>
  <c r="F126" i="1"/>
  <c r="G126" i="1"/>
  <c r="H126" i="1"/>
  <c r="D132" i="1"/>
  <c r="E132" i="1"/>
  <c r="F132" i="1"/>
  <c r="G132" i="1"/>
  <c r="H132" i="1"/>
  <c r="D134" i="1"/>
  <c r="E134" i="1"/>
  <c r="F134" i="1"/>
  <c r="G134" i="1"/>
  <c r="H134" i="1"/>
  <c r="D133" i="1"/>
  <c r="E133" i="1"/>
  <c r="F133" i="1"/>
  <c r="G133" i="1"/>
  <c r="H133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39" i="1"/>
  <c r="E139" i="1"/>
  <c r="F139" i="1"/>
  <c r="G139" i="1"/>
  <c r="H139" i="1"/>
  <c r="D152" i="1"/>
  <c r="E152" i="1"/>
  <c r="F152" i="1"/>
  <c r="G152" i="1"/>
  <c r="H152" i="1"/>
  <c r="D147" i="1"/>
  <c r="E147" i="1"/>
  <c r="F147" i="1"/>
  <c r="G147" i="1"/>
  <c r="H147" i="1"/>
  <c r="D148" i="1"/>
  <c r="E148" i="1"/>
  <c r="F148" i="1"/>
  <c r="G148" i="1"/>
  <c r="H148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7" i="1"/>
  <c r="E157" i="1"/>
  <c r="F157" i="1"/>
  <c r="G157" i="1"/>
  <c r="H157" i="1"/>
  <c r="D156" i="1"/>
  <c r="E156" i="1"/>
  <c r="F156" i="1"/>
  <c r="G156" i="1"/>
  <c r="H156" i="1"/>
  <c r="D151" i="1"/>
  <c r="E151" i="1"/>
  <c r="F151" i="1"/>
  <c r="G151" i="1"/>
  <c r="H151" i="1"/>
  <c r="D158" i="1"/>
  <c r="E158" i="1"/>
  <c r="F158" i="1"/>
  <c r="G158" i="1"/>
  <c r="H158" i="1"/>
  <c r="D159" i="1"/>
  <c r="E159" i="1"/>
  <c r="F159" i="1"/>
  <c r="G159" i="1"/>
  <c r="H159" i="1"/>
  <c r="D149" i="1"/>
  <c r="E149" i="1"/>
  <c r="F149" i="1"/>
  <c r="G149" i="1"/>
  <c r="H149" i="1"/>
  <c r="D162" i="1"/>
  <c r="E162" i="1"/>
  <c r="F162" i="1"/>
  <c r="G162" i="1"/>
  <c r="H162" i="1"/>
  <c r="D160" i="1"/>
  <c r="E160" i="1"/>
  <c r="F160" i="1"/>
  <c r="G160" i="1"/>
  <c r="H160" i="1"/>
  <c r="D161" i="1"/>
  <c r="E161" i="1"/>
  <c r="F161" i="1"/>
  <c r="G161" i="1"/>
  <c r="H161" i="1"/>
  <c r="D163" i="1"/>
  <c r="E163" i="1"/>
  <c r="F163" i="1"/>
  <c r="G163" i="1"/>
  <c r="H163" i="1"/>
  <c r="D164" i="1"/>
  <c r="E164" i="1"/>
  <c r="F164" i="1"/>
  <c r="G164" i="1"/>
  <c r="H164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71" i="1"/>
  <c r="E171" i="1"/>
  <c r="F171" i="1"/>
  <c r="G171" i="1"/>
  <c r="H171" i="1"/>
  <c r="D175" i="1"/>
  <c r="E175" i="1"/>
  <c r="F175" i="1"/>
  <c r="G175" i="1"/>
  <c r="H175" i="1"/>
  <c r="D173" i="1"/>
  <c r="E173" i="1"/>
  <c r="F173" i="1"/>
  <c r="G173" i="1"/>
  <c r="H173" i="1"/>
  <c r="D165" i="1"/>
  <c r="E165" i="1"/>
  <c r="F165" i="1"/>
  <c r="G165" i="1"/>
  <c r="H165" i="1"/>
  <c r="D172" i="1"/>
  <c r="E172" i="1"/>
  <c r="F172" i="1"/>
  <c r="G172" i="1"/>
  <c r="H172" i="1"/>
  <c r="D174" i="1"/>
  <c r="E174" i="1"/>
  <c r="F174" i="1"/>
  <c r="G174" i="1"/>
  <c r="H174" i="1"/>
  <c r="D150" i="1"/>
  <c r="E150" i="1"/>
  <c r="F150" i="1"/>
  <c r="G150" i="1"/>
  <c r="H150" i="1"/>
  <c r="D176" i="1"/>
  <c r="E176" i="1"/>
  <c r="F176" i="1"/>
  <c r="G176" i="1"/>
  <c r="H176" i="1"/>
  <c r="D177" i="1"/>
  <c r="E177" i="1"/>
  <c r="F177" i="1"/>
  <c r="G177" i="1"/>
  <c r="H177" i="1"/>
  <c r="D169" i="1"/>
  <c r="E169" i="1"/>
  <c r="F169" i="1"/>
  <c r="G169" i="1"/>
  <c r="H169" i="1"/>
  <c r="D178" i="1"/>
  <c r="E178" i="1"/>
  <c r="F178" i="1"/>
  <c r="G178" i="1"/>
  <c r="H178" i="1"/>
  <c r="D179" i="1"/>
  <c r="E179" i="1"/>
  <c r="F179" i="1"/>
  <c r="G179" i="1"/>
  <c r="H179" i="1"/>
  <c r="D170" i="1"/>
  <c r="E170" i="1"/>
  <c r="F170" i="1"/>
  <c r="G170" i="1"/>
  <c r="H170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8" i="1"/>
  <c r="E188" i="1"/>
  <c r="F188" i="1"/>
  <c r="G188" i="1"/>
  <c r="H188" i="1"/>
  <c r="D186" i="1"/>
  <c r="E186" i="1"/>
  <c r="F186" i="1"/>
  <c r="G186" i="1"/>
  <c r="H186" i="1"/>
  <c r="D187" i="1"/>
  <c r="E187" i="1"/>
  <c r="F187" i="1"/>
  <c r="G187" i="1"/>
  <c r="H187" i="1"/>
  <c r="D189" i="1"/>
  <c r="E189" i="1"/>
  <c r="F189" i="1"/>
  <c r="G189" i="1"/>
  <c r="H189" i="1"/>
  <c r="D190" i="1"/>
  <c r="E190" i="1"/>
  <c r="F190" i="1"/>
  <c r="G190" i="1"/>
  <c r="H190" i="1"/>
  <c r="D193" i="1"/>
  <c r="E193" i="1"/>
  <c r="F193" i="1"/>
  <c r="G193" i="1"/>
  <c r="H193" i="1"/>
  <c r="D191" i="1"/>
  <c r="E191" i="1"/>
  <c r="F191" i="1"/>
  <c r="G191" i="1"/>
  <c r="H191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7" i="1"/>
  <c r="E217" i="1"/>
  <c r="F217" i="1"/>
  <c r="G217" i="1"/>
  <c r="H217" i="1"/>
  <c r="D218" i="1"/>
  <c r="E218" i="1"/>
  <c r="F218" i="1"/>
  <c r="G218" i="1"/>
  <c r="H218" i="1"/>
  <c r="D192" i="1"/>
  <c r="E192" i="1"/>
  <c r="F192" i="1"/>
  <c r="G192" i="1"/>
  <c r="H192" i="1"/>
  <c r="D219" i="1"/>
  <c r="E219" i="1"/>
  <c r="F219" i="1"/>
  <c r="G219" i="1"/>
  <c r="H219" i="1"/>
  <c r="D220" i="1"/>
  <c r="E220" i="1"/>
  <c r="F220" i="1"/>
  <c r="G220" i="1"/>
  <c r="H220" i="1"/>
  <c r="D215" i="1"/>
  <c r="E215" i="1"/>
  <c r="F215" i="1"/>
  <c r="G215" i="1"/>
  <c r="H215" i="1"/>
  <c r="D221" i="1"/>
  <c r="E221" i="1"/>
  <c r="F221" i="1"/>
  <c r="G221" i="1"/>
  <c r="H221" i="1"/>
  <c r="D223" i="1"/>
  <c r="E223" i="1"/>
  <c r="F223" i="1"/>
  <c r="G223" i="1"/>
  <c r="H223" i="1"/>
  <c r="D226" i="1"/>
  <c r="E226" i="1"/>
  <c r="F226" i="1"/>
  <c r="G226" i="1"/>
  <c r="H226" i="1"/>
  <c r="D224" i="1"/>
  <c r="E224" i="1"/>
  <c r="F224" i="1"/>
  <c r="G224" i="1"/>
  <c r="H224" i="1"/>
  <c r="D222" i="1"/>
  <c r="E222" i="1"/>
  <c r="F222" i="1"/>
  <c r="G222" i="1"/>
  <c r="H222" i="1"/>
  <c r="D227" i="1"/>
  <c r="E227" i="1"/>
  <c r="F227" i="1"/>
  <c r="G227" i="1"/>
  <c r="H227" i="1"/>
  <c r="D228" i="1"/>
  <c r="E228" i="1"/>
  <c r="F228" i="1"/>
  <c r="G228" i="1"/>
  <c r="H228" i="1"/>
  <c r="D232" i="1"/>
  <c r="E232" i="1"/>
  <c r="F232" i="1"/>
  <c r="G232" i="1"/>
  <c r="H232" i="1"/>
  <c r="D204" i="1"/>
  <c r="E204" i="1"/>
  <c r="F204" i="1"/>
  <c r="G204" i="1"/>
  <c r="H204" i="1"/>
  <c r="D235" i="1"/>
  <c r="E235" i="1"/>
  <c r="F235" i="1"/>
  <c r="G235" i="1"/>
  <c r="H235" i="1"/>
  <c r="D233" i="1"/>
  <c r="E233" i="1"/>
  <c r="F233" i="1"/>
  <c r="G233" i="1"/>
  <c r="H233" i="1"/>
  <c r="D234" i="1"/>
  <c r="E234" i="1"/>
  <c r="F234" i="1"/>
  <c r="G234" i="1"/>
  <c r="H234" i="1"/>
  <c r="D236" i="1"/>
  <c r="E236" i="1"/>
  <c r="F236" i="1"/>
  <c r="G236" i="1"/>
  <c r="H236" i="1"/>
  <c r="D237" i="1"/>
  <c r="E237" i="1"/>
  <c r="F237" i="1"/>
  <c r="G237" i="1"/>
  <c r="H237" i="1"/>
  <c r="D225" i="1"/>
  <c r="E225" i="1"/>
  <c r="F225" i="1"/>
  <c r="G225" i="1"/>
  <c r="H225" i="1"/>
  <c r="D216" i="1"/>
  <c r="E216" i="1"/>
  <c r="F216" i="1"/>
  <c r="G216" i="1"/>
  <c r="H216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6" i="1"/>
  <c r="E256" i="1"/>
  <c r="F256" i="1"/>
  <c r="G256" i="1"/>
  <c r="H256" i="1"/>
  <c r="D253" i="1"/>
  <c r="E253" i="1"/>
  <c r="F253" i="1"/>
  <c r="G253" i="1"/>
  <c r="H253" i="1"/>
  <c r="D254" i="1"/>
  <c r="E254" i="1"/>
  <c r="F254" i="1"/>
  <c r="G254" i="1"/>
  <c r="H254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8" i="1"/>
  <c r="E278" i="1"/>
  <c r="F278" i="1"/>
  <c r="G278" i="1"/>
  <c r="H278" i="1"/>
  <c r="D274" i="1"/>
  <c r="E274" i="1"/>
  <c r="F274" i="1"/>
  <c r="G274" i="1"/>
  <c r="H274" i="1"/>
  <c r="D271" i="1"/>
  <c r="E271" i="1"/>
  <c r="F271" i="1"/>
  <c r="G271" i="1"/>
  <c r="H271" i="1"/>
  <c r="D261" i="1"/>
  <c r="E261" i="1"/>
  <c r="F261" i="1"/>
  <c r="G261" i="1"/>
  <c r="H261" i="1"/>
  <c r="D275" i="1"/>
  <c r="E275" i="1"/>
  <c r="F275" i="1"/>
  <c r="G275" i="1"/>
  <c r="H275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3" i="1"/>
  <c r="E283" i="1"/>
  <c r="F283" i="1"/>
  <c r="G283" i="1"/>
  <c r="H283" i="1"/>
  <c r="D284" i="1"/>
  <c r="E284" i="1"/>
  <c r="F284" i="1"/>
  <c r="G284" i="1"/>
  <c r="H284" i="1"/>
  <c r="D266" i="1"/>
  <c r="E266" i="1"/>
  <c r="F266" i="1"/>
  <c r="G266" i="1"/>
  <c r="H266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76" i="1"/>
  <c r="E276" i="1"/>
  <c r="F276" i="1"/>
  <c r="G276" i="1"/>
  <c r="H276" i="1"/>
  <c r="D272" i="1"/>
  <c r="E272" i="1"/>
  <c r="F272" i="1"/>
  <c r="G272" i="1"/>
  <c r="H272" i="1"/>
  <c r="D288" i="1"/>
  <c r="E288" i="1"/>
  <c r="F288" i="1"/>
  <c r="G288" i="1"/>
  <c r="H288" i="1"/>
  <c r="D270" i="1"/>
  <c r="E270" i="1"/>
  <c r="F270" i="1"/>
  <c r="G270" i="1"/>
  <c r="H270" i="1"/>
  <c r="D289" i="1"/>
  <c r="E289" i="1"/>
  <c r="F289" i="1"/>
  <c r="G289" i="1"/>
  <c r="H289" i="1"/>
  <c r="D255" i="1"/>
  <c r="E255" i="1"/>
  <c r="F255" i="1"/>
  <c r="G255" i="1"/>
  <c r="H255" i="1"/>
  <c r="D290" i="1"/>
  <c r="E290" i="1"/>
  <c r="F290" i="1"/>
  <c r="G290" i="1"/>
  <c r="H290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82" i="1"/>
  <c r="E282" i="1"/>
  <c r="F282" i="1"/>
  <c r="G282" i="1"/>
  <c r="H282" i="1"/>
  <c r="D296" i="1"/>
  <c r="E296" i="1"/>
  <c r="F296" i="1"/>
  <c r="G296" i="1"/>
  <c r="H296" i="1"/>
  <c r="D299" i="1"/>
  <c r="E299" i="1"/>
  <c r="F299" i="1"/>
  <c r="G299" i="1"/>
  <c r="H299" i="1"/>
  <c r="D300" i="1"/>
  <c r="E300" i="1"/>
  <c r="F300" i="1"/>
  <c r="G300" i="1"/>
  <c r="H300" i="1"/>
  <c r="D297" i="1"/>
  <c r="E297" i="1"/>
  <c r="F297" i="1"/>
  <c r="G297" i="1"/>
  <c r="H297" i="1"/>
  <c r="D298" i="1"/>
  <c r="E298" i="1"/>
  <c r="F298" i="1"/>
  <c r="G298" i="1"/>
  <c r="H298" i="1"/>
  <c r="D291" i="1"/>
  <c r="E291" i="1"/>
  <c r="F291" i="1"/>
  <c r="G291" i="1"/>
  <c r="H291" i="1"/>
  <c r="D303" i="1"/>
  <c r="E303" i="1"/>
  <c r="F303" i="1"/>
  <c r="G303" i="1"/>
  <c r="H303" i="1"/>
  <c r="D301" i="1"/>
  <c r="E301" i="1"/>
  <c r="F301" i="1"/>
  <c r="G301" i="1"/>
  <c r="H301" i="1"/>
  <c r="D302" i="1"/>
  <c r="E302" i="1"/>
  <c r="F302" i="1"/>
  <c r="G302" i="1"/>
  <c r="H302" i="1"/>
  <c r="D304" i="1"/>
  <c r="E304" i="1"/>
  <c r="F304" i="1"/>
  <c r="G304" i="1"/>
  <c r="H304" i="1"/>
  <c r="D305" i="1"/>
  <c r="E305" i="1"/>
  <c r="F305" i="1"/>
  <c r="G305" i="1"/>
  <c r="H305" i="1"/>
  <c r="D307" i="1"/>
  <c r="E307" i="1"/>
  <c r="F307" i="1"/>
  <c r="G307" i="1"/>
  <c r="H307" i="1"/>
  <c r="D308" i="1"/>
  <c r="E308" i="1"/>
  <c r="F308" i="1"/>
  <c r="G308" i="1"/>
  <c r="H308" i="1"/>
  <c r="D311" i="1"/>
  <c r="E311" i="1"/>
  <c r="F311" i="1"/>
  <c r="G311" i="1"/>
  <c r="H311" i="1"/>
  <c r="D273" i="1"/>
  <c r="E273" i="1"/>
  <c r="F273" i="1"/>
  <c r="G273" i="1"/>
  <c r="H273" i="1"/>
  <c r="D309" i="1"/>
  <c r="E309" i="1"/>
  <c r="F309" i="1"/>
  <c r="G309" i="1"/>
  <c r="H309" i="1"/>
  <c r="D312" i="1"/>
  <c r="E312" i="1"/>
  <c r="F312" i="1"/>
  <c r="G312" i="1"/>
  <c r="H312" i="1"/>
  <c r="D313" i="1"/>
  <c r="E313" i="1"/>
  <c r="F313" i="1"/>
  <c r="G313" i="1"/>
  <c r="H313" i="1"/>
  <c r="D277" i="1"/>
  <c r="E277" i="1"/>
  <c r="F277" i="1"/>
  <c r="G277" i="1"/>
  <c r="H277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292" i="1"/>
  <c r="E292" i="1"/>
  <c r="F292" i="1"/>
  <c r="G292" i="1"/>
  <c r="H292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4" i="1"/>
  <c r="E324" i="1"/>
  <c r="F324" i="1"/>
  <c r="G324" i="1"/>
  <c r="H324" i="1"/>
  <c r="D322" i="1"/>
  <c r="E322" i="1"/>
  <c r="F322" i="1"/>
  <c r="G322" i="1"/>
  <c r="H322" i="1"/>
  <c r="D306" i="1"/>
  <c r="E306" i="1"/>
  <c r="F306" i="1"/>
  <c r="G306" i="1"/>
  <c r="H306" i="1"/>
  <c r="D325" i="1"/>
  <c r="E325" i="1"/>
  <c r="F325" i="1"/>
  <c r="G325" i="1"/>
  <c r="H325" i="1"/>
  <c r="D323" i="1"/>
  <c r="E323" i="1"/>
  <c r="F323" i="1"/>
  <c r="G323" i="1"/>
  <c r="H323" i="1"/>
  <c r="D327" i="1"/>
  <c r="E327" i="1"/>
  <c r="F327" i="1"/>
  <c r="G327" i="1"/>
  <c r="H327" i="1"/>
  <c r="D326" i="1"/>
  <c r="E326" i="1"/>
  <c r="F326" i="1"/>
  <c r="G326" i="1"/>
  <c r="H326" i="1"/>
  <c r="D329" i="1"/>
  <c r="E329" i="1"/>
  <c r="F329" i="1"/>
  <c r="G329" i="1"/>
  <c r="H329" i="1"/>
  <c r="D328" i="1"/>
  <c r="E328" i="1"/>
  <c r="F328" i="1"/>
  <c r="G328" i="1"/>
  <c r="H328" i="1"/>
  <c r="D332" i="1"/>
  <c r="E332" i="1"/>
  <c r="F332" i="1"/>
  <c r="G332" i="1"/>
  <c r="H332" i="1"/>
  <c r="D336" i="1"/>
  <c r="E336" i="1"/>
  <c r="F336" i="1"/>
  <c r="G336" i="1"/>
  <c r="H336" i="1"/>
  <c r="D337" i="1"/>
  <c r="E337" i="1"/>
  <c r="F337" i="1"/>
  <c r="G337" i="1"/>
  <c r="H337" i="1"/>
  <c r="D333" i="1"/>
  <c r="E333" i="1"/>
  <c r="F333" i="1"/>
  <c r="G333" i="1"/>
  <c r="H333" i="1"/>
  <c r="D338" i="1"/>
  <c r="E338" i="1"/>
  <c r="F338" i="1"/>
  <c r="G338" i="1"/>
  <c r="H338" i="1"/>
  <c r="D335" i="1"/>
  <c r="E335" i="1"/>
  <c r="F335" i="1"/>
  <c r="G335" i="1"/>
  <c r="H335" i="1"/>
  <c r="D340" i="1"/>
  <c r="E340" i="1"/>
  <c r="F340" i="1"/>
  <c r="G340" i="1"/>
  <c r="H340" i="1"/>
  <c r="D339" i="1"/>
  <c r="E339" i="1"/>
  <c r="F339" i="1"/>
  <c r="G339" i="1"/>
  <c r="H339" i="1"/>
  <c r="D331" i="1"/>
  <c r="E331" i="1"/>
  <c r="F331" i="1"/>
  <c r="G331" i="1"/>
  <c r="H331" i="1"/>
  <c r="D334" i="1"/>
  <c r="E334" i="1"/>
  <c r="F334" i="1"/>
  <c r="G334" i="1"/>
  <c r="H334" i="1"/>
  <c r="D330" i="1"/>
  <c r="E330" i="1"/>
  <c r="F330" i="1"/>
  <c r="G330" i="1"/>
  <c r="H330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10" i="1"/>
  <c r="E310" i="1"/>
  <c r="F310" i="1"/>
  <c r="G310" i="1"/>
  <c r="H310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3" i="1"/>
  <c r="E353" i="1"/>
  <c r="F353" i="1"/>
  <c r="G353" i="1"/>
  <c r="H353" i="1"/>
  <c r="D351" i="1"/>
  <c r="E351" i="1"/>
  <c r="F351" i="1"/>
  <c r="G351" i="1"/>
  <c r="H351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4" i="1"/>
  <c r="E364" i="1"/>
  <c r="F364" i="1"/>
  <c r="G364" i="1"/>
  <c r="H364" i="1"/>
  <c r="D363" i="1"/>
  <c r="E363" i="1"/>
  <c r="F363" i="1"/>
  <c r="G363" i="1"/>
  <c r="H363" i="1"/>
  <c r="D361" i="1"/>
  <c r="E361" i="1"/>
  <c r="F361" i="1"/>
  <c r="G361" i="1"/>
  <c r="H361" i="1"/>
  <c r="D352" i="1"/>
  <c r="E352" i="1"/>
  <c r="F352" i="1"/>
  <c r="G352" i="1"/>
  <c r="H352" i="1"/>
  <c r="D367" i="1"/>
  <c r="E367" i="1"/>
  <c r="F367" i="1"/>
  <c r="G367" i="1"/>
  <c r="H367" i="1"/>
  <c r="D368" i="1"/>
  <c r="E368" i="1"/>
  <c r="F368" i="1"/>
  <c r="G368" i="1"/>
  <c r="H368" i="1"/>
  <c r="D362" i="1"/>
  <c r="E362" i="1"/>
  <c r="F362" i="1"/>
  <c r="G362" i="1"/>
  <c r="H362" i="1"/>
  <c r="D369" i="1"/>
  <c r="E369" i="1"/>
  <c r="F369" i="1"/>
  <c r="G369" i="1"/>
  <c r="H369" i="1"/>
  <c r="D375" i="1"/>
  <c r="E375" i="1"/>
  <c r="F375" i="1"/>
  <c r="G375" i="1"/>
  <c r="H375" i="1"/>
  <c r="D370" i="1"/>
  <c r="E370" i="1"/>
  <c r="F370" i="1"/>
  <c r="G370" i="1"/>
  <c r="H370" i="1"/>
  <c r="D366" i="1"/>
  <c r="E366" i="1"/>
  <c r="F366" i="1"/>
  <c r="G366" i="1"/>
  <c r="H366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6" i="1"/>
  <c r="E376" i="1"/>
  <c r="F376" i="1"/>
  <c r="G376" i="1"/>
  <c r="H376" i="1"/>
  <c r="D374" i="1"/>
  <c r="E374" i="1"/>
  <c r="F374" i="1"/>
  <c r="G374" i="1"/>
  <c r="H374" i="1"/>
  <c r="D380" i="1"/>
  <c r="E380" i="1"/>
  <c r="F380" i="1"/>
  <c r="G380" i="1"/>
  <c r="H380" i="1"/>
  <c r="D378" i="1"/>
  <c r="E378" i="1"/>
  <c r="F378" i="1"/>
  <c r="G378" i="1"/>
  <c r="H378" i="1"/>
  <c r="D381" i="1"/>
  <c r="E381" i="1"/>
  <c r="F381" i="1"/>
  <c r="G381" i="1"/>
  <c r="H381" i="1"/>
  <c r="D377" i="1"/>
  <c r="E377" i="1"/>
  <c r="F377" i="1"/>
  <c r="G377" i="1"/>
  <c r="H377" i="1"/>
  <c r="D365" i="1"/>
  <c r="E365" i="1"/>
  <c r="F365" i="1"/>
  <c r="G365" i="1"/>
  <c r="H365" i="1"/>
  <c r="D385" i="1"/>
  <c r="E385" i="1"/>
  <c r="F385" i="1"/>
  <c r="G385" i="1"/>
  <c r="H385" i="1"/>
  <c r="D379" i="1"/>
  <c r="E379" i="1"/>
  <c r="F379" i="1"/>
  <c r="G379" i="1"/>
  <c r="H379" i="1"/>
  <c r="D382" i="1"/>
  <c r="E382" i="1"/>
  <c r="F382" i="1"/>
  <c r="G382" i="1"/>
  <c r="H382" i="1"/>
  <c r="D383" i="1"/>
  <c r="E383" i="1"/>
  <c r="F383" i="1"/>
  <c r="G383" i="1"/>
  <c r="H383" i="1"/>
  <c r="D389" i="1"/>
  <c r="E389" i="1"/>
  <c r="F389" i="1"/>
  <c r="G389" i="1"/>
  <c r="H389" i="1"/>
  <c r="D386" i="1"/>
  <c r="E386" i="1"/>
  <c r="F386" i="1"/>
  <c r="G386" i="1"/>
  <c r="H386" i="1"/>
  <c r="D384" i="1"/>
  <c r="E384" i="1"/>
  <c r="F384" i="1"/>
  <c r="G384" i="1"/>
  <c r="H384" i="1"/>
  <c r="D388" i="1"/>
  <c r="E388" i="1"/>
  <c r="F388" i="1"/>
  <c r="G388" i="1"/>
  <c r="H388" i="1"/>
  <c r="D387" i="1"/>
  <c r="E387" i="1"/>
  <c r="F387" i="1"/>
  <c r="G387" i="1"/>
  <c r="H387" i="1"/>
  <c r="D391" i="1"/>
  <c r="E391" i="1"/>
  <c r="F391" i="1"/>
  <c r="G391" i="1"/>
  <c r="H391" i="1"/>
  <c r="D390" i="1"/>
  <c r="E390" i="1"/>
  <c r="F390" i="1"/>
  <c r="G390" i="1"/>
  <c r="H390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405" i="1"/>
  <c r="E405" i="1"/>
  <c r="F405" i="1"/>
  <c r="G405" i="1"/>
  <c r="H405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7" i="1"/>
  <c r="E407" i="1"/>
  <c r="F407" i="1"/>
  <c r="G407" i="1"/>
  <c r="H407" i="1"/>
  <c r="D406" i="1"/>
  <c r="E406" i="1"/>
  <c r="F406" i="1"/>
  <c r="G406" i="1"/>
  <c r="H406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28" i="1"/>
  <c r="E428" i="1"/>
  <c r="F428" i="1"/>
  <c r="G428" i="1"/>
  <c r="H428" i="1"/>
  <c r="D419" i="1"/>
  <c r="E419" i="1"/>
  <c r="F419" i="1"/>
  <c r="G419" i="1"/>
  <c r="H419" i="1"/>
  <c r="D414" i="1"/>
  <c r="E414" i="1"/>
  <c r="F414" i="1"/>
  <c r="G414" i="1"/>
  <c r="H414" i="1"/>
  <c r="D420" i="1"/>
  <c r="E420" i="1"/>
  <c r="F420" i="1"/>
  <c r="G420" i="1"/>
  <c r="H420" i="1"/>
  <c r="D422" i="1"/>
  <c r="E422" i="1"/>
  <c r="F422" i="1"/>
  <c r="G422" i="1"/>
  <c r="H422" i="1"/>
  <c r="D432" i="1"/>
  <c r="E432" i="1"/>
  <c r="F432" i="1"/>
  <c r="G432" i="1"/>
  <c r="H432" i="1"/>
  <c r="D423" i="1"/>
  <c r="E423" i="1"/>
  <c r="F423" i="1"/>
  <c r="G423" i="1"/>
  <c r="H423" i="1"/>
  <c r="D429" i="1"/>
  <c r="E429" i="1"/>
  <c r="F429" i="1"/>
  <c r="G429" i="1"/>
  <c r="H429" i="1"/>
  <c r="D431" i="1"/>
  <c r="E431" i="1"/>
  <c r="F431" i="1"/>
  <c r="G431" i="1"/>
  <c r="H431" i="1"/>
  <c r="D430" i="1"/>
  <c r="E430" i="1"/>
  <c r="F430" i="1"/>
  <c r="G430" i="1"/>
  <c r="H430" i="1"/>
  <c r="D421" i="1"/>
  <c r="E421" i="1"/>
  <c r="F421" i="1"/>
  <c r="G421" i="1"/>
  <c r="H421" i="1"/>
  <c r="D424" i="1"/>
  <c r="E424" i="1"/>
  <c r="F424" i="1"/>
  <c r="G424" i="1"/>
  <c r="H424" i="1"/>
  <c r="D425" i="1"/>
  <c r="E425" i="1"/>
  <c r="F425" i="1"/>
  <c r="G425" i="1"/>
  <c r="H425" i="1"/>
  <c r="D427" i="1"/>
  <c r="E427" i="1"/>
  <c r="F427" i="1"/>
  <c r="G427" i="1"/>
  <c r="H427" i="1"/>
  <c r="D433" i="1"/>
  <c r="E433" i="1"/>
  <c r="F433" i="1"/>
  <c r="G433" i="1"/>
  <c r="H433" i="1"/>
  <c r="D434" i="1"/>
  <c r="E434" i="1"/>
  <c r="F434" i="1"/>
  <c r="G434" i="1"/>
  <c r="H434" i="1"/>
  <c r="D426" i="1"/>
  <c r="E426" i="1"/>
  <c r="F426" i="1"/>
  <c r="G426" i="1"/>
  <c r="H426" i="1"/>
  <c r="D436" i="1"/>
  <c r="E436" i="1"/>
  <c r="F436" i="1"/>
  <c r="G436" i="1"/>
  <c r="H436" i="1"/>
  <c r="D435" i="1"/>
  <c r="E435" i="1"/>
  <c r="F435" i="1"/>
  <c r="G435" i="1"/>
  <c r="H435" i="1"/>
  <c r="D439" i="1"/>
  <c r="E439" i="1"/>
  <c r="F439" i="1"/>
  <c r="G439" i="1"/>
  <c r="H439" i="1"/>
  <c r="D437" i="1"/>
  <c r="E437" i="1"/>
  <c r="F437" i="1"/>
  <c r="G437" i="1"/>
  <c r="H437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6" i="1"/>
  <c r="E446" i="1"/>
  <c r="F446" i="1"/>
  <c r="G446" i="1"/>
  <c r="H446" i="1"/>
  <c r="D444" i="1"/>
  <c r="E444" i="1"/>
  <c r="F444" i="1"/>
  <c r="G444" i="1"/>
  <c r="H444" i="1"/>
  <c r="D445" i="1"/>
  <c r="E445" i="1"/>
  <c r="F445" i="1"/>
  <c r="G445" i="1"/>
  <c r="H445" i="1"/>
  <c r="D447" i="1"/>
  <c r="E447" i="1"/>
  <c r="F447" i="1"/>
  <c r="G447" i="1"/>
  <c r="H447" i="1"/>
  <c r="D450" i="1"/>
  <c r="E450" i="1"/>
  <c r="F450" i="1"/>
  <c r="G450" i="1"/>
  <c r="H450" i="1"/>
  <c r="D448" i="1"/>
  <c r="E448" i="1"/>
  <c r="F448" i="1"/>
  <c r="G448" i="1"/>
  <c r="H448" i="1"/>
  <c r="D438" i="1"/>
  <c r="E438" i="1"/>
  <c r="F438" i="1"/>
  <c r="G438" i="1"/>
  <c r="H438" i="1"/>
  <c r="D449" i="1"/>
  <c r="E449" i="1"/>
  <c r="F449" i="1"/>
  <c r="G449" i="1"/>
  <c r="H449" i="1"/>
  <c r="D451" i="1"/>
  <c r="E451" i="1"/>
  <c r="F451" i="1"/>
  <c r="G451" i="1"/>
  <c r="H451" i="1"/>
  <c r="D452" i="1"/>
  <c r="E452" i="1"/>
  <c r="F452" i="1"/>
  <c r="G452" i="1"/>
  <c r="H452" i="1"/>
  <c r="D454" i="1"/>
  <c r="E454" i="1"/>
  <c r="F454" i="1"/>
  <c r="G454" i="1"/>
  <c r="H454" i="1"/>
  <c r="D455" i="1"/>
  <c r="E455" i="1"/>
  <c r="F455" i="1"/>
  <c r="G455" i="1"/>
  <c r="H455" i="1"/>
  <c r="D456" i="1"/>
  <c r="E456" i="1"/>
  <c r="F456" i="1"/>
  <c r="G456" i="1"/>
  <c r="H456" i="1"/>
  <c r="D458" i="1"/>
  <c r="E458" i="1"/>
  <c r="F458" i="1"/>
  <c r="G458" i="1"/>
  <c r="H458" i="1"/>
  <c r="D457" i="1"/>
  <c r="E457" i="1"/>
  <c r="F457" i="1"/>
  <c r="G457" i="1"/>
  <c r="H457" i="1"/>
  <c r="D460" i="1"/>
  <c r="E460" i="1"/>
  <c r="F460" i="1"/>
  <c r="G460" i="1"/>
  <c r="H460" i="1"/>
  <c r="D461" i="1"/>
  <c r="E461" i="1"/>
  <c r="F461" i="1"/>
  <c r="G461" i="1"/>
  <c r="H461" i="1"/>
  <c r="D459" i="1"/>
  <c r="E459" i="1"/>
  <c r="F459" i="1"/>
  <c r="G459" i="1"/>
  <c r="H459" i="1"/>
  <c r="D463" i="1"/>
  <c r="E463" i="1"/>
  <c r="F463" i="1"/>
  <c r="G463" i="1"/>
  <c r="H463" i="1"/>
  <c r="D464" i="1"/>
  <c r="E464" i="1"/>
  <c r="F464" i="1"/>
  <c r="G464" i="1"/>
  <c r="H464" i="1"/>
  <c r="D465" i="1"/>
  <c r="E465" i="1"/>
  <c r="F465" i="1"/>
  <c r="G465" i="1"/>
  <c r="H465" i="1"/>
  <c r="D468" i="1"/>
  <c r="E468" i="1"/>
  <c r="F468" i="1"/>
  <c r="G468" i="1"/>
  <c r="H468" i="1"/>
  <c r="D453" i="1"/>
  <c r="E453" i="1"/>
  <c r="F453" i="1"/>
  <c r="G453" i="1"/>
  <c r="H453" i="1"/>
  <c r="D466" i="1"/>
  <c r="E466" i="1"/>
  <c r="F466" i="1"/>
  <c r="G466" i="1"/>
  <c r="H466" i="1"/>
  <c r="D467" i="1"/>
  <c r="E467" i="1"/>
  <c r="F467" i="1"/>
  <c r="G467" i="1"/>
  <c r="H467" i="1"/>
  <c r="D470" i="1"/>
  <c r="E470" i="1"/>
  <c r="F470" i="1"/>
  <c r="G470" i="1"/>
  <c r="H470" i="1"/>
  <c r="D469" i="1"/>
  <c r="E469" i="1"/>
  <c r="F469" i="1"/>
  <c r="G469" i="1"/>
  <c r="H469" i="1"/>
  <c r="D472" i="1"/>
  <c r="E472" i="1"/>
  <c r="F472" i="1"/>
  <c r="G472" i="1"/>
  <c r="H472" i="1"/>
  <c r="D471" i="1"/>
  <c r="E471" i="1"/>
  <c r="F471" i="1"/>
  <c r="G471" i="1"/>
  <c r="H471" i="1"/>
  <c r="D474" i="1"/>
  <c r="E474" i="1"/>
  <c r="F474" i="1"/>
  <c r="G474" i="1"/>
  <c r="H474" i="1"/>
  <c r="D473" i="1"/>
  <c r="E473" i="1"/>
  <c r="F473" i="1"/>
  <c r="G473" i="1"/>
  <c r="H473" i="1"/>
  <c r="D476" i="1"/>
  <c r="E476" i="1"/>
  <c r="F476" i="1"/>
  <c r="G476" i="1"/>
  <c r="H476" i="1"/>
  <c r="D475" i="1"/>
  <c r="E475" i="1"/>
  <c r="F475" i="1"/>
  <c r="G475" i="1"/>
  <c r="H475" i="1"/>
  <c r="D477" i="1"/>
  <c r="E477" i="1"/>
  <c r="F477" i="1"/>
  <c r="G477" i="1"/>
  <c r="H477" i="1"/>
  <c r="D483" i="1"/>
  <c r="E483" i="1"/>
  <c r="F483" i="1"/>
  <c r="G483" i="1"/>
  <c r="H483" i="1"/>
  <c r="D479" i="1"/>
  <c r="E479" i="1"/>
  <c r="F479" i="1"/>
  <c r="G479" i="1"/>
  <c r="H479" i="1"/>
  <c r="D480" i="1"/>
  <c r="E480" i="1"/>
  <c r="F480" i="1"/>
  <c r="G480" i="1"/>
  <c r="H480" i="1"/>
  <c r="D485" i="1"/>
  <c r="E485" i="1"/>
  <c r="F485" i="1"/>
  <c r="G485" i="1"/>
  <c r="H485" i="1"/>
  <c r="D478" i="1"/>
  <c r="E478" i="1"/>
  <c r="F478" i="1"/>
  <c r="G478" i="1"/>
  <c r="H478" i="1"/>
  <c r="D487" i="1"/>
  <c r="E487" i="1"/>
  <c r="F487" i="1"/>
  <c r="G487" i="1"/>
  <c r="H487" i="1"/>
  <c r="D486" i="1"/>
  <c r="E486" i="1"/>
  <c r="F486" i="1"/>
  <c r="G486" i="1"/>
  <c r="H486" i="1"/>
  <c r="D484" i="1"/>
  <c r="E484" i="1"/>
  <c r="F484" i="1"/>
  <c r="G484" i="1"/>
  <c r="H484" i="1"/>
  <c r="D488" i="1"/>
  <c r="E488" i="1"/>
  <c r="F488" i="1"/>
  <c r="G488" i="1"/>
  <c r="H488" i="1"/>
  <c r="D490" i="1"/>
  <c r="E490" i="1"/>
  <c r="F490" i="1"/>
  <c r="G490" i="1"/>
  <c r="H490" i="1"/>
  <c r="D489" i="1"/>
  <c r="E489" i="1"/>
  <c r="F489" i="1"/>
  <c r="G489" i="1"/>
  <c r="H489" i="1"/>
  <c r="D491" i="1"/>
  <c r="E491" i="1"/>
  <c r="F491" i="1"/>
  <c r="G491" i="1"/>
  <c r="H491" i="1"/>
  <c r="D492" i="1"/>
  <c r="E492" i="1"/>
  <c r="F492" i="1"/>
  <c r="G492" i="1"/>
  <c r="H492" i="1"/>
  <c r="D481" i="1"/>
  <c r="E481" i="1"/>
  <c r="F481" i="1"/>
  <c r="G481" i="1"/>
  <c r="H481" i="1"/>
  <c r="D493" i="1"/>
  <c r="E493" i="1"/>
  <c r="F493" i="1"/>
  <c r="G493" i="1"/>
  <c r="H493" i="1"/>
  <c r="D495" i="1"/>
  <c r="E495" i="1"/>
  <c r="F495" i="1"/>
  <c r="G495" i="1"/>
  <c r="H495" i="1"/>
  <c r="D496" i="1"/>
  <c r="E496" i="1"/>
  <c r="F496" i="1"/>
  <c r="G496" i="1"/>
  <c r="H496" i="1"/>
  <c r="D494" i="1"/>
  <c r="E494" i="1"/>
  <c r="F494" i="1"/>
  <c r="G494" i="1"/>
  <c r="H494" i="1"/>
  <c r="D498" i="1"/>
  <c r="E498" i="1"/>
  <c r="F498" i="1"/>
  <c r="G498" i="1"/>
  <c r="H498" i="1"/>
  <c r="D497" i="1"/>
  <c r="E497" i="1"/>
  <c r="F497" i="1"/>
  <c r="G497" i="1"/>
  <c r="H497" i="1"/>
  <c r="D499" i="1"/>
  <c r="F499" i="1"/>
  <c r="G499" i="1"/>
  <c r="H499" i="1"/>
  <c r="D502" i="1"/>
  <c r="E502" i="1"/>
  <c r="F502" i="1"/>
  <c r="G502" i="1"/>
  <c r="H502" i="1"/>
  <c r="D503" i="1"/>
  <c r="E503" i="1"/>
  <c r="F503" i="1"/>
  <c r="G503" i="1"/>
  <c r="H503" i="1"/>
  <c r="D506" i="1"/>
  <c r="E506" i="1"/>
  <c r="F506" i="1"/>
  <c r="G506" i="1"/>
  <c r="H506" i="1"/>
  <c r="D500" i="1"/>
  <c r="E500" i="1"/>
  <c r="F500" i="1"/>
  <c r="G500" i="1"/>
  <c r="H500" i="1"/>
  <c r="D507" i="1"/>
  <c r="E507" i="1"/>
  <c r="F507" i="1"/>
  <c r="G507" i="1"/>
  <c r="H507" i="1"/>
  <c r="D504" i="1"/>
  <c r="E504" i="1"/>
  <c r="F504" i="1"/>
  <c r="G504" i="1"/>
  <c r="H504" i="1"/>
  <c r="D505" i="1"/>
  <c r="E505" i="1"/>
  <c r="F505" i="1"/>
  <c r="G505" i="1"/>
  <c r="H505" i="1"/>
  <c r="D508" i="1"/>
  <c r="E508" i="1"/>
  <c r="F508" i="1"/>
  <c r="G508" i="1"/>
  <c r="H508" i="1"/>
  <c r="D510" i="1"/>
  <c r="E510" i="1"/>
  <c r="F510" i="1"/>
  <c r="G510" i="1"/>
  <c r="H510" i="1"/>
  <c r="D512" i="1"/>
  <c r="F512" i="1"/>
  <c r="G512" i="1"/>
  <c r="H512" i="1"/>
  <c r="D511" i="1"/>
  <c r="E511" i="1"/>
  <c r="F511" i="1"/>
  <c r="G511" i="1"/>
  <c r="H511" i="1"/>
  <c r="D513" i="1"/>
  <c r="E513" i="1"/>
  <c r="F513" i="1"/>
  <c r="G513" i="1"/>
  <c r="H513" i="1"/>
  <c r="D514" i="1"/>
  <c r="E514" i="1"/>
  <c r="F514" i="1"/>
  <c r="G514" i="1"/>
  <c r="H514" i="1"/>
  <c r="D517" i="1"/>
  <c r="E517" i="1"/>
  <c r="F517" i="1"/>
  <c r="G517" i="1"/>
  <c r="H517" i="1"/>
  <c r="D509" i="1"/>
  <c r="E509" i="1"/>
  <c r="F509" i="1"/>
  <c r="G509" i="1"/>
  <c r="H509" i="1"/>
  <c r="D516" i="1"/>
  <c r="E516" i="1"/>
  <c r="F516" i="1"/>
  <c r="G516" i="1"/>
  <c r="H516" i="1"/>
  <c r="D518" i="1"/>
  <c r="E518" i="1"/>
  <c r="F518" i="1"/>
  <c r="G518" i="1"/>
  <c r="H518" i="1"/>
  <c r="D482" i="1"/>
  <c r="E482" i="1"/>
  <c r="F482" i="1"/>
  <c r="G482" i="1"/>
  <c r="H482" i="1"/>
  <c r="D520" i="1"/>
  <c r="E520" i="1"/>
  <c r="F520" i="1"/>
  <c r="G520" i="1"/>
  <c r="H520" i="1"/>
  <c r="D519" i="1"/>
  <c r="E519" i="1"/>
  <c r="F519" i="1"/>
  <c r="G519" i="1"/>
  <c r="H519" i="1"/>
  <c r="D522" i="1"/>
  <c r="E522" i="1"/>
  <c r="F522" i="1"/>
  <c r="G522" i="1"/>
  <c r="H522" i="1"/>
  <c r="D521" i="1"/>
  <c r="E521" i="1"/>
  <c r="F521" i="1"/>
  <c r="G521" i="1"/>
  <c r="H521" i="1"/>
  <c r="D462" i="1"/>
  <c r="E462" i="1"/>
  <c r="F462" i="1"/>
  <c r="G462" i="1"/>
  <c r="H462" i="1"/>
  <c r="D523" i="1"/>
  <c r="E523" i="1"/>
  <c r="F523" i="1"/>
  <c r="G523" i="1"/>
  <c r="H523" i="1"/>
  <c r="D525" i="1"/>
  <c r="E525" i="1"/>
  <c r="F525" i="1"/>
  <c r="G525" i="1"/>
  <c r="H525" i="1"/>
  <c r="D524" i="1"/>
  <c r="E524" i="1"/>
  <c r="F524" i="1"/>
  <c r="G524" i="1"/>
  <c r="H524" i="1"/>
  <c r="D501" i="1"/>
  <c r="E501" i="1"/>
  <c r="F501" i="1"/>
  <c r="G501" i="1"/>
  <c r="H501" i="1"/>
  <c r="D526" i="1"/>
  <c r="E526" i="1"/>
  <c r="F526" i="1"/>
  <c r="G526" i="1"/>
  <c r="H526" i="1"/>
  <c r="D527" i="1"/>
  <c r="E527" i="1"/>
  <c r="F527" i="1"/>
  <c r="G527" i="1"/>
  <c r="H527" i="1"/>
  <c r="D529" i="1"/>
  <c r="E529" i="1"/>
  <c r="F529" i="1"/>
  <c r="G529" i="1"/>
  <c r="H529" i="1"/>
  <c r="D515" i="1"/>
  <c r="E515" i="1"/>
  <c r="F515" i="1"/>
  <c r="G515" i="1"/>
  <c r="H515" i="1"/>
  <c r="D530" i="1"/>
  <c r="E530" i="1"/>
  <c r="F530" i="1"/>
  <c r="G530" i="1"/>
  <c r="H530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42" i="1"/>
  <c r="E542" i="1"/>
  <c r="F542" i="1"/>
  <c r="G542" i="1"/>
  <c r="H542" i="1"/>
  <c r="D540" i="1"/>
  <c r="E540" i="1"/>
  <c r="F540" i="1"/>
  <c r="G540" i="1"/>
  <c r="H540" i="1"/>
  <c r="D539" i="1"/>
  <c r="E539" i="1"/>
  <c r="F539" i="1"/>
  <c r="G539" i="1"/>
  <c r="H539" i="1"/>
  <c r="D543" i="1"/>
  <c r="E543" i="1"/>
  <c r="F543" i="1"/>
  <c r="G543" i="1"/>
  <c r="H543" i="1"/>
  <c r="D541" i="1"/>
  <c r="E541" i="1"/>
  <c r="F541" i="1"/>
  <c r="G541" i="1"/>
  <c r="H541" i="1"/>
  <c r="D544" i="1"/>
  <c r="E544" i="1"/>
  <c r="F544" i="1"/>
  <c r="G544" i="1"/>
  <c r="H544" i="1"/>
  <c r="D545" i="1"/>
  <c r="E545" i="1"/>
  <c r="F545" i="1"/>
  <c r="G545" i="1"/>
  <c r="H545" i="1"/>
  <c r="D548" i="1"/>
  <c r="E548" i="1"/>
  <c r="F548" i="1"/>
  <c r="G548" i="1"/>
  <c r="H548" i="1"/>
  <c r="D528" i="1"/>
  <c r="E528" i="1"/>
  <c r="F528" i="1"/>
  <c r="G528" i="1"/>
  <c r="H528" i="1"/>
  <c r="D547" i="1"/>
  <c r="E547" i="1"/>
  <c r="F547" i="1"/>
  <c r="G547" i="1"/>
  <c r="H547" i="1"/>
  <c r="D546" i="1"/>
  <c r="E546" i="1"/>
  <c r="F546" i="1"/>
  <c r="G546" i="1"/>
  <c r="H546" i="1"/>
  <c r="D549" i="1"/>
  <c r="E549" i="1"/>
  <c r="F549" i="1"/>
  <c r="G549" i="1"/>
  <c r="H549" i="1"/>
  <c r="D550" i="1"/>
  <c r="E550" i="1"/>
  <c r="F550" i="1"/>
  <c r="G550" i="1"/>
  <c r="H550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56" i="1"/>
  <c r="E556" i="1"/>
  <c r="F556" i="1"/>
  <c r="G556" i="1"/>
  <c r="H556" i="1"/>
  <c r="D555" i="1"/>
  <c r="E555" i="1"/>
  <c r="F555" i="1"/>
  <c r="G555" i="1"/>
  <c r="H555" i="1"/>
  <c r="D559" i="1"/>
  <c r="E559" i="1"/>
  <c r="F559" i="1"/>
  <c r="G559" i="1"/>
  <c r="H559" i="1"/>
  <c r="D561" i="1"/>
  <c r="E561" i="1"/>
  <c r="F561" i="1"/>
  <c r="G561" i="1"/>
  <c r="H561" i="1"/>
  <c r="D557" i="1"/>
  <c r="E557" i="1"/>
  <c r="F557" i="1"/>
  <c r="G557" i="1"/>
  <c r="H557" i="1"/>
  <c r="D562" i="1"/>
  <c r="E562" i="1"/>
  <c r="F562" i="1"/>
  <c r="G562" i="1"/>
  <c r="H562" i="1"/>
  <c r="D564" i="1"/>
  <c r="E564" i="1"/>
  <c r="F564" i="1"/>
  <c r="G564" i="1"/>
  <c r="H564" i="1"/>
  <c r="D566" i="1"/>
  <c r="E566" i="1"/>
  <c r="F566" i="1"/>
  <c r="G566" i="1"/>
  <c r="H566" i="1"/>
  <c r="D563" i="1"/>
  <c r="E563" i="1"/>
  <c r="F563" i="1"/>
  <c r="G563" i="1"/>
  <c r="H563" i="1"/>
  <c r="D560" i="1"/>
  <c r="E560" i="1"/>
  <c r="F560" i="1"/>
  <c r="G560" i="1"/>
  <c r="H560" i="1"/>
  <c r="D570" i="1"/>
  <c r="E570" i="1"/>
  <c r="F570" i="1"/>
  <c r="G570" i="1"/>
  <c r="H570" i="1"/>
  <c r="D567" i="1"/>
  <c r="E567" i="1"/>
  <c r="F567" i="1"/>
  <c r="G567" i="1"/>
  <c r="H567" i="1"/>
  <c r="D568" i="1"/>
  <c r="E568" i="1"/>
  <c r="F568" i="1"/>
  <c r="G568" i="1"/>
  <c r="H568" i="1"/>
  <c r="D572" i="1"/>
  <c r="E572" i="1"/>
  <c r="F572" i="1"/>
  <c r="G572" i="1"/>
  <c r="H572" i="1"/>
  <c r="D571" i="1"/>
  <c r="E571" i="1"/>
  <c r="F571" i="1"/>
  <c r="G571" i="1"/>
  <c r="H571" i="1"/>
  <c r="D573" i="1"/>
  <c r="E573" i="1"/>
  <c r="F573" i="1"/>
  <c r="G573" i="1"/>
  <c r="H573" i="1"/>
  <c r="D558" i="1"/>
  <c r="E558" i="1"/>
  <c r="F558" i="1"/>
  <c r="G558" i="1"/>
  <c r="H558" i="1"/>
  <c r="D574" i="1"/>
  <c r="E574" i="1"/>
  <c r="F574" i="1"/>
  <c r="G574" i="1"/>
  <c r="H574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75" i="1"/>
  <c r="E575" i="1"/>
  <c r="F575" i="1"/>
  <c r="G575" i="1"/>
  <c r="H575" i="1"/>
  <c r="D581" i="1"/>
  <c r="E581" i="1"/>
  <c r="F581" i="1"/>
  <c r="G581" i="1"/>
  <c r="H581" i="1"/>
  <c r="D580" i="1"/>
  <c r="E580" i="1"/>
  <c r="F580" i="1"/>
  <c r="G580" i="1"/>
  <c r="H580" i="1"/>
  <c r="D582" i="1"/>
  <c r="E582" i="1"/>
  <c r="F582" i="1"/>
  <c r="G582" i="1"/>
  <c r="H582" i="1"/>
  <c r="D584" i="1"/>
  <c r="E584" i="1"/>
  <c r="F584" i="1"/>
  <c r="G584" i="1"/>
  <c r="H584" i="1"/>
  <c r="D579" i="1"/>
  <c r="E579" i="1"/>
  <c r="F579" i="1"/>
  <c r="G579" i="1"/>
  <c r="H579" i="1"/>
  <c r="D583" i="1"/>
  <c r="E583" i="1"/>
  <c r="F583" i="1"/>
  <c r="G583" i="1"/>
  <c r="H583" i="1"/>
  <c r="D585" i="1"/>
  <c r="E585" i="1"/>
  <c r="F585" i="1"/>
  <c r="G585" i="1"/>
  <c r="H585" i="1"/>
  <c r="D587" i="1"/>
  <c r="E587" i="1"/>
  <c r="F587" i="1"/>
  <c r="G587" i="1"/>
  <c r="H587" i="1"/>
  <c r="D586" i="1"/>
  <c r="E586" i="1"/>
  <c r="F586" i="1"/>
  <c r="G586" i="1"/>
  <c r="H586" i="1"/>
  <c r="D588" i="1"/>
  <c r="E588" i="1"/>
  <c r="F588" i="1"/>
  <c r="G588" i="1"/>
  <c r="H588" i="1"/>
  <c r="D591" i="1"/>
  <c r="E591" i="1"/>
  <c r="F591" i="1"/>
  <c r="G591" i="1"/>
  <c r="H591" i="1"/>
  <c r="D589" i="1"/>
  <c r="E589" i="1"/>
  <c r="F589" i="1"/>
  <c r="G589" i="1"/>
  <c r="H589" i="1"/>
  <c r="D590" i="1"/>
  <c r="E590" i="1"/>
  <c r="F590" i="1"/>
  <c r="G590" i="1"/>
  <c r="H590" i="1"/>
  <c r="D593" i="1"/>
  <c r="E593" i="1"/>
  <c r="F593" i="1"/>
  <c r="G593" i="1"/>
  <c r="H593" i="1"/>
  <c r="D594" i="1"/>
  <c r="E594" i="1"/>
  <c r="F594" i="1"/>
  <c r="G594" i="1"/>
  <c r="H594" i="1"/>
  <c r="D592" i="1"/>
  <c r="E592" i="1"/>
  <c r="F592" i="1"/>
  <c r="G592" i="1"/>
  <c r="H592" i="1"/>
  <c r="D569" i="1"/>
  <c r="E569" i="1"/>
  <c r="F569" i="1"/>
  <c r="G569" i="1"/>
  <c r="H569" i="1"/>
  <c r="D597" i="1"/>
  <c r="E597" i="1"/>
  <c r="F597" i="1"/>
  <c r="G597" i="1"/>
  <c r="H597" i="1"/>
  <c r="D596" i="1"/>
  <c r="E596" i="1"/>
  <c r="F596" i="1"/>
  <c r="G596" i="1"/>
  <c r="H596" i="1"/>
  <c r="D595" i="1"/>
  <c r="E595" i="1"/>
  <c r="F595" i="1"/>
  <c r="G595" i="1"/>
  <c r="H595" i="1"/>
  <c r="D600" i="1"/>
  <c r="E600" i="1"/>
  <c r="F600" i="1"/>
  <c r="G600" i="1"/>
  <c r="H600" i="1"/>
  <c r="D604" i="1"/>
  <c r="E604" i="1"/>
  <c r="F604" i="1"/>
  <c r="G604" i="1"/>
  <c r="H604" i="1"/>
  <c r="D601" i="1"/>
  <c r="E601" i="1"/>
  <c r="F601" i="1"/>
  <c r="G601" i="1"/>
  <c r="H601" i="1"/>
  <c r="D603" i="1"/>
  <c r="E603" i="1"/>
  <c r="F603" i="1"/>
  <c r="G603" i="1"/>
  <c r="H603" i="1"/>
  <c r="D598" i="1"/>
  <c r="E598" i="1"/>
  <c r="F598" i="1"/>
  <c r="G598" i="1"/>
  <c r="H598" i="1"/>
  <c r="D602" i="1"/>
  <c r="E602" i="1"/>
  <c r="F602" i="1"/>
  <c r="G602" i="1"/>
  <c r="H602" i="1"/>
  <c r="D565" i="1"/>
  <c r="E565" i="1"/>
  <c r="F565" i="1"/>
  <c r="G565" i="1"/>
  <c r="H565" i="1"/>
  <c r="D599" i="1"/>
  <c r="E599" i="1"/>
  <c r="F599" i="1"/>
  <c r="G599" i="1"/>
  <c r="H599" i="1"/>
</calcChain>
</file>

<file path=xl/sharedStrings.xml><?xml version="1.0" encoding="utf-8"?>
<sst xmlns="http://schemas.openxmlformats.org/spreadsheetml/2006/main" count="13" uniqueCount="13">
  <si>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</si>
  <si>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</si>
  <si>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</si>
  <si>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</si>
  <si>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</si>
  <si>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</si>
  <si>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</si>
  <si>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</si>
  <si>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</si>
  <si>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</si>
  <si>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</si>
  <si>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АО Нурбанк</t>
  </si>
  <si>
    <t>БИН: 930940000164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</si>
</sst>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43" fontId="0" fillId="0" borderId="0" xfId="1" applyFont="1"/>
    <xf numFmtId="164" fontId="0" fillId="0" borderId="0" xfId="0" applyNumberFormat="1"/>
  </cellXfs>
  <cellStyles count="43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4"/>
  <sheetViews>
    <sheetView tabSelected="1" workbookViewId="0">
      <selection activeCell="O6" sqref="O6"/>
    </sheetView>
  </sheetViews>
  <sheetFormatPr defaultRowHeight="15" x14ac:dyDescent="0.25"/>
  <cols>
    <col min="2" max="2" width="13.5703125" customWidth="1"/>
    <col min="9" max="9" width="20" style="2" bestFit="1" customWidth="1"/>
  </cols>
  <sheetData>
    <row r="1" spans="1:11" x14ac:dyDescent="0.25">
      <c r="A1" t="s">
        <v>11</v>
      </c>
      <c r="K1" s="3"/>
    </row>
    <row r="2" spans="1:11" x14ac:dyDescent="0.25">
      <c r="A2" t="s">
        <v>12</v>
      </c>
      <c r="K2" s="3"/>
    </row>
    <row r="3" spans="1:11" x14ac:dyDescent="0.25">
      <c r="K3" s="3"/>
    </row>
    <row r="4" spans="1:11" x14ac:dyDescent="0.25">
      <c r="K4" s="3"/>
    </row>
    <row r="5" spans="1:11" x14ac:dyDescent="0.25">
      <c r="K5" s="3"/>
    </row>
    <row r="6" spans="1:11" x14ac:dyDescent="0.25">
      <c r="K6" s="3"/>
    </row>
    <row r="7" spans="1:11" x14ac:dyDescent="0.25">
      <c r="K7" s="3"/>
    </row>
    <row r="10" spans="1:11" x14ac:dyDescent="0.25">
      <c r="I10" s="2">
        <f>SUBTOTAL(9,I12:I604)</f>
        <v>5954567218980.1006</v>
      </c>
    </row>
    <row r="11" spans="1:11" x14ac:dyDescent="0.25">
      <c r="A11" t="s">
        <v>0</v>
      </c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s="2" t="s">
        <v>8</v>
      </c>
    </row>
    <row r="12" spans="1:11" x14ac:dyDescent="0.25">
      <c r="A12">
        <v>1</v>
      </c>
      <c r="B12" s="1">
        <v>45657</v>
      </c>
      <c r="C12">
        <v>31</v>
      </c>
      <c r="D12" t="str">
        <f>"1001"</f>
        <v>1001</v>
      </c>
      <c r="E12" t="str">
        <f>"Наличность в кассе"</f>
        <v>Наличность в кассе</v>
      </c>
      <c r="F12" t="str">
        <f>"2"</f>
        <v>2</v>
      </c>
      <c r="G12" t="str">
        <f>"3"</f>
        <v>3</v>
      </c>
      <c r="H12" t="str">
        <f>"3"</f>
        <v>3</v>
      </c>
      <c r="I12" s="2">
        <v>279761738</v>
      </c>
    </row>
    <row r="13" spans="1:11" x14ac:dyDescent="0.25">
      <c r="A13">
        <v>2</v>
      </c>
      <c r="B13" s="1">
        <v>45657</v>
      </c>
      <c r="C13">
        <v>31</v>
      </c>
      <c r="D13" t="str">
        <f>"1001"</f>
        <v>1001</v>
      </c>
      <c r="E13" t="str">
        <f>"Наличность в кассе"</f>
        <v>Наличность в кассе</v>
      </c>
      <c r="F13" t="str">
        <f>"1"</f>
        <v>1</v>
      </c>
      <c r="G13" t="str">
        <f t="shared" ref="G13:G21" si="0">"3"</f>
        <v>3</v>
      </c>
      <c r="H13" t="str">
        <f>"1"</f>
        <v>1</v>
      </c>
      <c r="I13" s="2">
        <v>3809735707</v>
      </c>
    </row>
    <row r="14" spans="1:11" x14ac:dyDescent="0.25">
      <c r="A14">
        <v>3</v>
      </c>
      <c r="B14" s="1">
        <v>45657</v>
      </c>
      <c r="C14">
        <v>31</v>
      </c>
      <c r="D14" t="str">
        <f>"1001"</f>
        <v>1001</v>
      </c>
      <c r="E14" t="str">
        <f>"Наличность в кассе"</f>
        <v>Наличность в кассе</v>
      </c>
      <c r="F14" t="str">
        <f>"2"</f>
        <v>2</v>
      </c>
      <c r="G14" t="str">
        <f t="shared" si="0"/>
        <v>3</v>
      </c>
      <c r="H14" t="str">
        <f>"2"</f>
        <v>2</v>
      </c>
      <c r="I14" s="2">
        <v>5788390512.1800003</v>
      </c>
    </row>
    <row r="15" spans="1:11" x14ac:dyDescent="0.25">
      <c r="A15">
        <v>4</v>
      </c>
      <c r="B15" s="1">
        <v>45657</v>
      </c>
      <c r="C15">
        <v>31</v>
      </c>
      <c r="D15" t="str">
        <f>"1002"</f>
        <v>1002</v>
      </c>
      <c r="E15" t="str">
        <f>"Банкноты и монеты в пути"</f>
        <v>Банкноты и монеты в пути</v>
      </c>
      <c r="F15" t="str">
        <f>"1"</f>
        <v>1</v>
      </c>
      <c r="G15" t="str">
        <f t="shared" si="0"/>
        <v>3</v>
      </c>
      <c r="H15" t="str">
        <f>"1"</f>
        <v>1</v>
      </c>
      <c r="I15" s="2">
        <v>652514216</v>
      </c>
    </row>
    <row r="16" spans="1:11" x14ac:dyDescent="0.25">
      <c r="A16">
        <v>5</v>
      </c>
      <c r="B16" s="1">
        <v>45657</v>
      </c>
      <c r="C16">
        <v>31</v>
      </c>
      <c r="D16" t="str">
        <f>"1002"</f>
        <v>1002</v>
      </c>
      <c r="E16" t="str">
        <f>"Банкноты и монеты в пути"</f>
        <v>Банкноты и монеты в пути</v>
      </c>
      <c r="F16" t="str">
        <f>"2"</f>
        <v>2</v>
      </c>
      <c r="G16" t="str">
        <f t="shared" si="0"/>
        <v>3</v>
      </c>
      <c r="H16" t="str">
        <f>"2"</f>
        <v>2</v>
      </c>
      <c r="I16" s="2">
        <v>443552414.82999998</v>
      </c>
    </row>
    <row r="17" spans="1:9" x14ac:dyDescent="0.25">
      <c r="A17">
        <v>6</v>
      </c>
      <c r="B17" s="1">
        <v>45657</v>
      </c>
      <c r="C17">
        <v>31</v>
      </c>
      <c r="D17" t="str">
        <f>"1002"</f>
        <v>1002</v>
      </c>
      <c r="E17" t="str">
        <f>"Банкноты и монеты в пути"</f>
        <v>Банкноты и монеты в пути</v>
      </c>
      <c r="F17" t="str">
        <f>"2"</f>
        <v>2</v>
      </c>
      <c r="G17" t="str">
        <f t="shared" si="0"/>
        <v>3</v>
      </c>
      <c r="H17" t="str">
        <f>"3"</f>
        <v>3</v>
      </c>
      <c r="I17" s="2">
        <v>43605191.200000003</v>
      </c>
    </row>
    <row r="18" spans="1:9" x14ac:dyDescent="0.25">
      <c r="A18">
        <v>7</v>
      </c>
      <c r="B18" s="1">
        <v>45657</v>
      </c>
      <c r="C18">
        <v>31</v>
      </c>
      <c r="D18" t="str">
        <f>"1005"</f>
        <v>1005</v>
      </c>
      <c r="E18" t="str">
        <f>"Наличность в банкоматах и электронных терминалах"</f>
        <v>Наличность в банкоматах и электронных терминалах</v>
      </c>
      <c r="F18" t="str">
        <f>"1"</f>
        <v>1</v>
      </c>
      <c r="G18" t="str">
        <f t="shared" si="0"/>
        <v>3</v>
      </c>
      <c r="H18" t="str">
        <f>"1"</f>
        <v>1</v>
      </c>
      <c r="I18" s="2">
        <v>2383852500</v>
      </c>
    </row>
    <row r="19" spans="1:9" x14ac:dyDescent="0.25">
      <c r="A19">
        <v>8</v>
      </c>
      <c r="B19" s="1">
        <v>45657</v>
      </c>
      <c r="C19">
        <v>31</v>
      </c>
      <c r="D19" t="str">
        <f>"1051"</f>
        <v>1051</v>
      </c>
      <c r="E19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9" t="str">
        <f>"1"</f>
        <v>1</v>
      </c>
      <c r="G19" t="str">
        <f t="shared" si="0"/>
        <v>3</v>
      </c>
      <c r="H19" t="str">
        <f>"3"</f>
        <v>3</v>
      </c>
      <c r="I19" s="2">
        <v>7250889380.3699999</v>
      </c>
    </row>
    <row r="20" spans="1:9" x14ac:dyDescent="0.25">
      <c r="A20">
        <v>9</v>
      </c>
      <c r="B20" s="1">
        <v>45657</v>
      </c>
      <c r="C20">
        <v>31</v>
      </c>
      <c r="D20" t="str">
        <f>"1051"</f>
        <v>1051</v>
      </c>
      <c r="E2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0" t="str">
        <f>"1"</f>
        <v>1</v>
      </c>
      <c r="G20" t="str">
        <f t="shared" si="0"/>
        <v>3</v>
      </c>
      <c r="H20" t="str">
        <f>"2"</f>
        <v>2</v>
      </c>
      <c r="I20" s="2">
        <v>26371029.539999999</v>
      </c>
    </row>
    <row r="21" spans="1:9" x14ac:dyDescent="0.25">
      <c r="A21">
        <v>10</v>
      </c>
      <c r="B21" s="1">
        <v>45657</v>
      </c>
      <c r="C21">
        <v>31</v>
      </c>
      <c r="D21" t="str">
        <f>"1051"</f>
        <v>1051</v>
      </c>
      <c r="E2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21" t="str">
        <f>"1"</f>
        <v>1</v>
      </c>
      <c r="G21" t="str">
        <f t="shared" si="0"/>
        <v>3</v>
      </c>
      <c r="H21" t="str">
        <f>"1"</f>
        <v>1</v>
      </c>
      <c r="I21" s="2">
        <v>4259354566.02</v>
      </c>
    </row>
    <row r="22" spans="1:9" x14ac:dyDescent="0.25">
      <c r="A22">
        <v>11</v>
      </c>
      <c r="B22" s="1">
        <v>45657</v>
      </c>
      <c r="C22">
        <v>31</v>
      </c>
      <c r="D22" t="str">
        <f>"1052"</f>
        <v>1052</v>
      </c>
      <c r="E22" t="str">
        <f>"Корреспондентские счета в других банках"</f>
        <v>Корреспондентские счета в других банках</v>
      </c>
      <c r="F22" t="str">
        <f>"2"</f>
        <v>2</v>
      </c>
      <c r="G22" t="str">
        <f>"4"</f>
        <v>4</v>
      </c>
      <c r="H22" t="str">
        <f>"2"</f>
        <v>2</v>
      </c>
      <c r="I22" s="2">
        <v>6034714877.5600004</v>
      </c>
    </row>
    <row r="23" spans="1:9" x14ac:dyDescent="0.25">
      <c r="A23">
        <v>12</v>
      </c>
      <c r="B23" s="1">
        <v>45657</v>
      </c>
      <c r="C23">
        <v>31</v>
      </c>
      <c r="D23" t="str">
        <f>"1052"</f>
        <v>1052</v>
      </c>
      <c r="E23" t="str">
        <f>"Корреспондентские счета в других банках"</f>
        <v>Корреспондентские счета в других банках</v>
      </c>
      <c r="F23" t="str">
        <f>"2"</f>
        <v>2</v>
      </c>
      <c r="G23" t="str">
        <f>"4"</f>
        <v>4</v>
      </c>
      <c r="H23" t="str">
        <f>"3"</f>
        <v>3</v>
      </c>
      <c r="I23" s="2">
        <v>1622788094.49</v>
      </c>
    </row>
    <row r="24" spans="1:9" x14ac:dyDescent="0.25">
      <c r="A24">
        <v>13</v>
      </c>
      <c r="B24" s="1">
        <v>45657</v>
      </c>
      <c r="C24">
        <v>31</v>
      </c>
      <c r="D24" t="str">
        <f>"1052"</f>
        <v>1052</v>
      </c>
      <c r="E24" t="str">
        <f>"Корреспондентские счета в других банках"</f>
        <v>Корреспондентские счета в других банках</v>
      </c>
      <c r="F24" t="str">
        <f>"1"</f>
        <v>1</v>
      </c>
      <c r="G24" t="str">
        <f>"4"</f>
        <v>4</v>
      </c>
      <c r="H24" t="str">
        <f>"2"</f>
        <v>2</v>
      </c>
      <c r="I24" s="2">
        <v>572816400.50999999</v>
      </c>
    </row>
    <row r="25" spans="1:9" x14ac:dyDescent="0.25">
      <c r="A25">
        <v>14</v>
      </c>
      <c r="B25" s="1">
        <v>45657</v>
      </c>
      <c r="C25">
        <v>31</v>
      </c>
      <c r="D25" t="str">
        <f>"1052"</f>
        <v>1052</v>
      </c>
      <c r="E25" t="str">
        <f>"Корреспондентские счета в других банках"</f>
        <v>Корреспондентские счета в других банках</v>
      </c>
      <c r="F25" t="str">
        <f>"1"</f>
        <v>1</v>
      </c>
      <c r="G25" t="str">
        <f>"4"</f>
        <v>4</v>
      </c>
      <c r="H25" t="str">
        <f>"3"</f>
        <v>3</v>
      </c>
      <c r="I25" s="2">
        <v>9705638.6500000004</v>
      </c>
    </row>
    <row r="26" spans="1:9" x14ac:dyDescent="0.25">
      <c r="A26">
        <v>15</v>
      </c>
      <c r="B26" s="1">
        <v>45657</v>
      </c>
      <c r="C26">
        <v>31</v>
      </c>
      <c r="D26" t="str">
        <f t="shared" ref="D26:D32" si="1">"1054"</f>
        <v>1054</v>
      </c>
      <c r="E26" t="str">
        <f t="shared" ref="E26:E32" si="2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6" t="str">
        <f>"1"</f>
        <v>1</v>
      </c>
      <c r="G26" t="str">
        <f>"3"</f>
        <v>3</v>
      </c>
      <c r="H26" t="str">
        <f>"3"</f>
        <v>3</v>
      </c>
      <c r="I26" s="2">
        <v>-120479.64</v>
      </c>
    </row>
    <row r="27" spans="1:9" x14ac:dyDescent="0.25">
      <c r="A27">
        <v>16</v>
      </c>
      <c r="B27" s="1">
        <v>45657</v>
      </c>
      <c r="C27">
        <v>31</v>
      </c>
      <c r="D27" t="str">
        <f t="shared" si="1"/>
        <v>1054</v>
      </c>
      <c r="E27" t="str">
        <f t="shared" si="2"/>
        <v>Резервы (провизии) по корреспондентским счетам в других банках и текущим счетам ипотечных организаций</v>
      </c>
      <c r="F27" t="str">
        <f>"1"</f>
        <v>1</v>
      </c>
      <c r="G27" t="str">
        <f>"4"</f>
        <v>4</v>
      </c>
      <c r="H27" t="str">
        <f>"3"</f>
        <v>3</v>
      </c>
      <c r="I27" s="2">
        <v>-211.74</v>
      </c>
    </row>
    <row r="28" spans="1:9" x14ac:dyDescent="0.25">
      <c r="A28">
        <v>17</v>
      </c>
      <c r="B28" s="1">
        <v>45657</v>
      </c>
      <c r="C28">
        <v>31</v>
      </c>
      <c r="D28" t="str">
        <f t="shared" si="1"/>
        <v>1054</v>
      </c>
      <c r="E28" t="str">
        <f t="shared" si="2"/>
        <v>Резервы (провизии) по корреспондентским счетам в других банках и текущим счетам ипотечных организаций</v>
      </c>
      <c r="F28" t="str">
        <f>"2"</f>
        <v>2</v>
      </c>
      <c r="G28" t="str">
        <f>"4"</f>
        <v>4</v>
      </c>
      <c r="H28" t="str">
        <f>"2"</f>
        <v>2</v>
      </c>
      <c r="I28" s="2">
        <v>-43757.41</v>
      </c>
    </row>
    <row r="29" spans="1:9" x14ac:dyDescent="0.25">
      <c r="A29">
        <v>18</v>
      </c>
      <c r="B29" s="1">
        <v>45657</v>
      </c>
      <c r="C29">
        <v>31</v>
      </c>
      <c r="D29" t="str">
        <f t="shared" si="1"/>
        <v>1054</v>
      </c>
      <c r="E29" t="str">
        <f t="shared" si="2"/>
        <v>Резервы (провизии) по корреспондентским счетам в других банках и текущим счетам ипотечных организаций</v>
      </c>
      <c r="F29" t="str">
        <f>"1"</f>
        <v>1</v>
      </c>
      <c r="G29" t="str">
        <f>"4"</f>
        <v>4</v>
      </c>
      <c r="H29" t="str">
        <f>"2"</f>
        <v>2</v>
      </c>
      <c r="I29" s="2">
        <v>-10930.37</v>
      </c>
    </row>
    <row r="30" spans="1:9" x14ac:dyDescent="0.25">
      <c r="A30">
        <v>19</v>
      </c>
      <c r="B30" s="1">
        <v>45657</v>
      </c>
      <c r="C30">
        <v>31</v>
      </c>
      <c r="D30" t="str">
        <f t="shared" si="1"/>
        <v>1054</v>
      </c>
      <c r="E30" t="str">
        <f t="shared" si="2"/>
        <v>Резервы (провизии) по корреспондентским счетам в других банках и текущим счетам ипотечных организаций</v>
      </c>
      <c r="F30" t="str">
        <f>"2"</f>
        <v>2</v>
      </c>
      <c r="G30" t="str">
        <f>"4"</f>
        <v>4</v>
      </c>
      <c r="H30" t="str">
        <f>"3"</f>
        <v>3</v>
      </c>
      <c r="I30" s="2">
        <v>-5884520.9000000004</v>
      </c>
    </row>
    <row r="31" spans="1:9" x14ac:dyDescent="0.25">
      <c r="A31">
        <v>20</v>
      </c>
      <c r="B31" s="1">
        <v>45657</v>
      </c>
      <c r="C31">
        <v>31</v>
      </c>
      <c r="D31" t="str">
        <f t="shared" si="1"/>
        <v>1054</v>
      </c>
      <c r="E31" t="str">
        <f t="shared" si="2"/>
        <v>Резервы (провизии) по корреспондентским счетам в других банках и текущим счетам ипотечных организаций</v>
      </c>
      <c r="F31" t="str">
        <f t="shared" ref="F31:F40" si="3">"1"</f>
        <v>1</v>
      </c>
      <c r="G31" t="str">
        <f>"3"</f>
        <v>3</v>
      </c>
      <c r="H31" t="str">
        <f>"2"</f>
        <v>2</v>
      </c>
      <c r="I31" s="2">
        <v>-438.81</v>
      </c>
    </row>
    <row r="32" spans="1:9" x14ac:dyDescent="0.25">
      <c r="A32">
        <v>21</v>
      </c>
      <c r="B32" s="1">
        <v>45657</v>
      </c>
      <c r="C32">
        <v>31</v>
      </c>
      <c r="D32" t="str">
        <f t="shared" si="1"/>
        <v>1054</v>
      </c>
      <c r="E32" t="str">
        <f t="shared" si="2"/>
        <v>Резервы (провизии) по корреспондентским счетам в других банках и текущим счетам ипотечных организаций</v>
      </c>
      <c r="F32" t="str">
        <f t="shared" si="3"/>
        <v>1</v>
      </c>
      <c r="G32" t="str">
        <f>"3"</f>
        <v>3</v>
      </c>
      <c r="H32" t="str">
        <f>"1"</f>
        <v>1</v>
      </c>
      <c r="I32" s="2">
        <v>-78275.820000000007</v>
      </c>
    </row>
    <row r="33" spans="1:9" x14ac:dyDescent="0.25">
      <c r="A33">
        <v>22</v>
      </c>
      <c r="B33" s="1">
        <v>45657</v>
      </c>
      <c r="C33">
        <v>31</v>
      </c>
      <c r="D33" t="str">
        <f>"1055"</f>
        <v>1055</v>
      </c>
      <c r="E33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33" t="str">
        <f t="shared" si="3"/>
        <v>1</v>
      </c>
      <c r="G33" t="str">
        <f>"3"</f>
        <v>3</v>
      </c>
      <c r="H33" t="str">
        <f>"1"</f>
        <v>1</v>
      </c>
      <c r="I33" s="2">
        <v>451560192.80000001</v>
      </c>
    </row>
    <row r="34" spans="1:9" x14ac:dyDescent="0.25">
      <c r="A34">
        <v>23</v>
      </c>
      <c r="B34" s="1">
        <v>45657</v>
      </c>
      <c r="C34">
        <v>31</v>
      </c>
      <c r="D34" t="str">
        <f>"1101"</f>
        <v>1101</v>
      </c>
      <c r="E34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34" t="str">
        <f t="shared" si="3"/>
        <v>1</v>
      </c>
      <c r="G34" t="str">
        <f>"3"</f>
        <v>3</v>
      </c>
      <c r="H34" t="str">
        <f>"1"</f>
        <v>1</v>
      </c>
      <c r="I34" s="2">
        <v>29500000000</v>
      </c>
    </row>
    <row r="35" spans="1:9" x14ac:dyDescent="0.25">
      <c r="A35">
        <v>24</v>
      </c>
      <c r="B35" s="1">
        <v>45657</v>
      </c>
      <c r="C35">
        <v>31</v>
      </c>
      <c r="D35" t="str">
        <f>"1103"</f>
        <v>1103</v>
      </c>
      <c r="E35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5" t="str">
        <f t="shared" si="3"/>
        <v>1</v>
      </c>
      <c r="G35" t="str">
        <f>"3"</f>
        <v>3</v>
      </c>
      <c r="H35" t="str">
        <f>"1"</f>
        <v>1</v>
      </c>
      <c r="I35" s="2">
        <v>40000000000</v>
      </c>
    </row>
    <row r="36" spans="1:9" x14ac:dyDescent="0.25">
      <c r="A36">
        <v>25</v>
      </c>
      <c r="B36" s="1">
        <v>45657</v>
      </c>
      <c r="C36">
        <v>31</v>
      </c>
      <c r="D36" t="str">
        <f>"1201"</f>
        <v>1201</v>
      </c>
      <c r="E36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6" t="str">
        <f t="shared" si="3"/>
        <v>1</v>
      </c>
      <c r="G36" t="str">
        <f>"4"</f>
        <v>4</v>
      </c>
      <c r="H36" t="str">
        <f>"2"</f>
        <v>2</v>
      </c>
      <c r="I36" s="2">
        <v>99675051.670000002</v>
      </c>
    </row>
    <row r="37" spans="1:9" x14ac:dyDescent="0.25">
      <c r="A37">
        <v>26</v>
      </c>
      <c r="B37" s="1">
        <v>45657</v>
      </c>
      <c r="C37">
        <v>31</v>
      </c>
      <c r="D37" t="str">
        <f>"1208"</f>
        <v>1208</v>
      </c>
      <c r="E37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37" t="str">
        <f t="shared" si="3"/>
        <v>1</v>
      </c>
      <c r="G37" t="str">
        <f>"4"</f>
        <v>4</v>
      </c>
      <c r="H37" t="str">
        <f>"2"</f>
        <v>2</v>
      </c>
      <c r="I37" s="2">
        <v>7482439.4199999999</v>
      </c>
    </row>
    <row r="38" spans="1:9" x14ac:dyDescent="0.25">
      <c r="A38">
        <v>27</v>
      </c>
      <c r="B38" s="1">
        <v>45657</v>
      </c>
      <c r="C38">
        <v>31</v>
      </c>
      <c r="D38" t="str">
        <f>"1209"</f>
        <v>1209</v>
      </c>
      <c r="E38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8" t="str">
        <f t="shared" si="3"/>
        <v>1</v>
      </c>
      <c r="G38" t="str">
        <f>"4"</f>
        <v>4</v>
      </c>
      <c r="H38" t="str">
        <f>"2"</f>
        <v>2</v>
      </c>
      <c r="I38" s="2">
        <v>-91346775.569999993</v>
      </c>
    </row>
    <row r="39" spans="1:9" x14ac:dyDescent="0.25">
      <c r="A39">
        <v>28</v>
      </c>
      <c r="B39" s="1">
        <v>45657</v>
      </c>
      <c r="C39">
        <v>31</v>
      </c>
      <c r="D39" t="str">
        <f>"1259"</f>
        <v>1259</v>
      </c>
      <c r="E3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9" t="str">
        <f t="shared" si="3"/>
        <v>1</v>
      </c>
      <c r="G39" t="str">
        <f>"3"</f>
        <v>3</v>
      </c>
      <c r="H39" t="str">
        <f>"1"</f>
        <v>1</v>
      </c>
      <c r="I39" s="2">
        <v>-864477.16</v>
      </c>
    </row>
    <row r="40" spans="1:9" x14ac:dyDescent="0.25">
      <c r="A40">
        <v>29</v>
      </c>
      <c r="B40" s="1">
        <v>45657</v>
      </c>
      <c r="C40">
        <v>31</v>
      </c>
      <c r="D40" t="str">
        <f>"1267"</f>
        <v>1267</v>
      </c>
      <c r="E40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0" t="str">
        <f t="shared" si="3"/>
        <v>1</v>
      </c>
      <c r="G40" t="str">
        <f>"5"</f>
        <v>5</v>
      </c>
      <c r="H40" t="str">
        <f>"1"</f>
        <v>1</v>
      </c>
      <c r="I40" s="2">
        <v>1752873466.5</v>
      </c>
    </row>
    <row r="41" spans="1:9" x14ac:dyDescent="0.25">
      <c r="A41">
        <v>30</v>
      </c>
      <c r="B41" s="1">
        <v>45657</v>
      </c>
      <c r="C41">
        <v>31</v>
      </c>
      <c r="D41" t="str">
        <f>"1267"</f>
        <v>1267</v>
      </c>
      <c r="E41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1" t="str">
        <f>"2"</f>
        <v>2</v>
      </c>
      <c r="G41" t="str">
        <f>"4"</f>
        <v>4</v>
      </c>
      <c r="H41" t="str">
        <f>"2"</f>
        <v>2</v>
      </c>
      <c r="I41" s="2">
        <v>94421630.689999998</v>
      </c>
    </row>
    <row r="42" spans="1:9" x14ac:dyDescent="0.25">
      <c r="A42">
        <v>31</v>
      </c>
      <c r="B42" s="1">
        <v>45657</v>
      </c>
      <c r="C42">
        <v>31</v>
      </c>
      <c r="D42" t="str">
        <f>"1302"</f>
        <v>1302</v>
      </c>
      <c r="E42" t="str">
        <f>"Краткосрочные займы, предоставленные другим банкам"</f>
        <v>Краткосрочные займы, предоставленные другим банкам</v>
      </c>
      <c r="F42" t="str">
        <f>"2"</f>
        <v>2</v>
      </c>
      <c r="G42" t="str">
        <f>"4"</f>
        <v>4</v>
      </c>
      <c r="H42" t="str">
        <f>"2"</f>
        <v>2</v>
      </c>
      <c r="I42" s="2">
        <v>5308458552.9700003</v>
      </c>
    </row>
    <row r="43" spans="1:9" x14ac:dyDescent="0.25">
      <c r="A43">
        <v>32</v>
      </c>
      <c r="B43" s="1">
        <v>45657</v>
      </c>
      <c r="C43">
        <v>31</v>
      </c>
      <c r="D43" t="str">
        <f>"1312"</f>
        <v>1312</v>
      </c>
      <c r="E43" t="str">
        <f>"Дисконт по займам, предоставленным другим банкам"</f>
        <v>Дисконт по займам, предоставленным другим банкам</v>
      </c>
      <c r="F43" t="str">
        <f>"2"</f>
        <v>2</v>
      </c>
      <c r="G43" t="str">
        <f>"4"</f>
        <v>4</v>
      </c>
      <c r="H43" t="str">
        <f>"2"</f>
        <v>2</v>
      </c>
      <c r="I43" s="2">
        <v>-17742075.359999999</v>
      </c>
    </row>
    <row r="44" spans="1:9" x14ac:dyDescent="0.25">
      <c r="A44">
        <v>33</v>
      </c>
      <c r="B44" s="1">
        <v>45657</v>
      </c>
      <c r="C44">
        <v>31</v>
      </c>
      <c r="D44" t="str">
        <f>"1319"</f>
        <v>1319</v>
      </c>
      <c r="E44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44" t="str">
        <f>"2"</f>
        <v>2</v>
      </c>
      <c r="G44" t="str">
        <f>"4"</f>
        <v>4</v>
      </c>
      <c r="H44" t="str">
        <f>"2"</f>
        <v>2</v>
      </c>
      <c r="I44" s="2">
        <v>-8911930.6199999992</v>
      </c>
    </row>
    <row r="45" spans="1:9" x14ac:dyDescent="0.25">
      <c r="A45">
        <v>34</v>
      </c>
      <c r="B45" s="1">
        <v>45657</v>
      </c>
      <c r="C45">
        <v>31</v>
      </c>
      <c r="D45" t="str">
        <f>"1401"</f>
        <v>1401</v>
      </c>
      <c r="E45" t="str">
        <f>"Займы овердрафт, предоставленные клиентам"</f>
        <v>Займы овердрафт, предоставленные клиентам</v>
      </c>
      <c r="F45" t="str">
        <f t="shared" ref="F45:F55" si="4">"1"</f>
        <v>1</v>
      </c>
      <c r="G45" t="str">
        <f>"7"</f>
        <v>7</v>
      </c>
      <c r="H45" t="str">
        <f>"1"</f>
        <v>1</v>
      </c>
      <c r="I45" s="2">
        <v>2006043</v>
      </c>
    </row>
    <row r="46" spans="1:9" x14ac:dyDescent="0.25">
      <c r="A46">
        <v>35</v>
      </c>
      <c r="B46" s="1">
        <v>45657</v>
      </c>
      <c r="C46">
        <v>31</v>
      </c>
      <c r="D46" t="str">
        <f>"1403"</f>
        <v>1403</v>
      </c>
      <c r="E46" t="str">
        <f>"Счета по кредитным карточкам клиентов"</f>
        <v>Счета по кредитным карточкам клиентов</v>
      </c>
      <c r="F46" t="str">
        <f t="shared" si="4"/>
        <v>1</v>
      </c>
      <c r="G46" t="str">
        <f>"9"</f>
        <v>9</v>
      </c>
      <c r="H46" t="str">
        <f>"2"</f>
        <v>2</v>
      </c>
      <c r="I46" s="2">
        <v>13469932.68</v>
      </c>
    </row>
    <row r="47" spans="1:9" x14ac:dyDescent="0.25">
      <c r="A47">
        <v>36</v>
      </c>
      <c r="B47" s="1">
        <v>45657</v>
      </c>
      <c r="C47">
        <v>31</v>
      </c>
      <c r="D47" t="str">
        <f>"1403"</f>
        <v>1403</v>
      </c>
      <c r="E47" t="str">
        <f>"Счета по кредитным карточкам клиентов"</f>
        <v>Счета по кредитным карточкам клиентов</v>
      </c>
      <c r="F47" t="str">
        <f t="shared" si="4"/>
        <v>1</v>
      </c>
      <c r="G47" t="str">
        <f>"9"</f>
        <v>9</v>
      </c>
      <c r="H47" t="str">
        <f>"1"</f>
        <v>1</v>
      </c>
      <c r="I47" s="2">
        <v>1657697.36</v>
      </c>
    </row>
    <row r="48" spans="1:9" x14ac:dyDescent="0.25">
      <c r="A48">
        <v>37</v>
      </c>
      <c r="B48" s="1">
        <v>45657</v>
      </c>
      <c r="C48">
        <v>31</v>
      </c>
      <c r="D48" t="str">
        <f>"1411"</f>
        <v>1411</v>
      </c>
      <c r="E48" t="str">
        <f>"Краткосрочные займы, предоставленные клиентам"</f>
        <v>Краткосрочные займы, предоставленные клиентам</v>
      </c>
      <c r="F48" t="str">
        <f t="shared" si="4"/>
        <v>1</v>
      </c>
      <c r="G48" t="str">
        <f>"5"</f>
        <v>5</v>
      </c>
      <c r="H48" t="str">
        <f>"1"</f>
        <v>1</v>
      </c>
      <c r="I48" s="2">
        <v>10000000000</v>
      </c>
    </row>
    <row r="49" spans="1:9" x14ac:dyDescent="0.25">
      <c r="A49">
        <v>38</v>
      </c>
      <c r="B49" s="1">
        <v>45657</v>
      </c>
      <c r="C49">
        <v>31</v>
      </c>
      <c r="D49" t="str">
        <f>"1411"</f>
        <v>1411</v>
      </c>
      <c r="E49" t="str">
        <f>"Краткосрочные займы, предоставленные клиентам"</f>
        <v>Краткосрочные займы, предоставленные клиентам</v>
      </c>
      <c r="F49" t="str">
        <f t="shared" si="4"/>
        <v>1</v>
      </c>
      <c r="G49" t="str">
        <f>"7"</f>
        <v>7</v>
      </c>
      <c r="H49" t="str">
        <f>"1"</f>
        <v>1</v>
      </c>
      <c r="I49" s="2">
        <v>13092483017.280001</v>
      </c>
    </row>
    <row r="50" spans="1:9" x14ac:dyDescent="0.25">
      <c r="A50">
        <v>39</v>
      </c>
      <c r="B50" s="1">
        <v>45657</v>
      </c>
      <c r="C50">
        <v>31</v>
      </c>
      <c r="D50" t="str">
        <f>"1411"</f>
        <v>1411</v>
      </c>
      <c r="E50" t="str">
        <f>"Краткосрочные займы, предоставленные клиентам"</f>
        <v>Краткосрочные займы, предоставленные клиентам</v>
      </c>
      <c r="F50" t="str">
        <f t="shared" si="4"/>
        <v>1</v>
      </c>
      <c r="G50" t="str">
        <f>"9"</f>
        <v>9</v>
      </c>
      <c r="H50" t="str">
        <f>"1"</f>
        <v>1</v>
      </c>
      <c r="I50" s="2">
        <v>361419810.10000002</v>
      </c>
    </row>
    <row r="51" spans="1:9" x14ac:dyDescent="0.25">
      <c r="A51">
        <v>40</v>
      </c>
      <c r="B51" s="1">
        <v>45657</v>
      </c>
      <c r="C51">
        <v>31</v>
      </c>
      <c r="D51" t="str">
        <f>"1411"</f>
        <v>1411</v>
      </c>
      <c r="E51" t="str">
        <f>"Краткосрочные займы, предоставленные клиентам"</f>
        <v>Краткосрочные займы, предоставленные клиентам</v>
      </c>
      <c r="F51" t="str">
        <f t="shared" si="4"/>
        <v>1</v>
      </c>
      <c r="G51" t="str">
        <f>"7"</f>
        <v>7</v>
      </c>
      <c r="H51" t="str">
        <f>"2"</f>
        <v>2</v>
      </c>
      <c r="I51" s="2">
        <v>23982677613.849998</v>
      </c>
    </row>
    <row r="52" spans="1:9" x14ac:dyDescent="0.25">
      <c r="A52">
        <v>41</v>
      </c>
      <c r="B52" s="1">
        <v>45657</v>
      </c>
      <c r="C52">
        <v>31</v>
      </c>
      <c r="D52" t="str">
        <f t="shared" ref="D52:D57" si="5">"1417"</f>
        <v>1417</v>
      </c>
      <c r="E52" t="str">
        <f t="shared" ref="E52:E57" si="6">"Долгосрочные займы, предоставленные клиентам"</f>
        <v>Долгосрочные займы, предоставленные клиентам</v>
      </c>
      <c r="F52" t="str">
        <f t="shared" si="4"/>
        <v>1</v>
      </c>
      <c r="G52" t="str">
        <f>"5"</f>
        <v>5</v>
      </c>
      <c r="H52" t="str">
        <f>"1"</f>
        <v>1</v>
      </c>
      <c r="I52" s="2">
        <v>3550103309.7800002</v>
      </c>
    </row>
    <row r="53" spans="1:9" x14ac:dyDescent="0.25">
      <c r="A53">
        <v>42</v>
      </c>
      <c r="B53" s="1">
        <v>45657</v>
      </c>
      <c r="C53">
        <v>31</v>
      </c>
      <c r="D53" t="str">
        <f t="shared" si="5"/>
        <v>1417</v>
      </c>
      <c r="E53" t="str">
        <f t="shared" si="6"/>
        <v>Долгосрочные займы, предоставленные клиентам</v>
      </c>
      <c r="F53" t="str">
        <f t="shared" si="4"/>
        <v>1</v>
      </c>
      <c r="G53" t="str">
        <f>"6"</f>
        <v>6</v>
      </c>
      <c r="H53" t="str">
        <f>"1"</f>
        <v>1</v>
      </c>
      <c r="I53" s="2">
        <v>2800000000</v>
      </c>
    </row>
    <row r="54" spans="1:9" x14ac:dyDescent="0.25">
      <c r="A54">
        <v>43</v>
      </c>
      <c r="B54" s="1">
        <v>45657</v>
      </c>
      <c r="C54">
        <v>31</v>
      </c>
      <c r="D54" t="str">
        <f t="shared" si="5"/>
        <v>1417</v>
      </c>
      <c r="E54" t="str">
        <f t="shared" si="6"/>
        <v>Долгосрочные займы, предоставленные клиентам</v>
      </c>
      <c r="F54" t="str">
        <f t="shared" si="4"/>
        <v>1</v>
      </c>
      <c r="G54" t="str">
        <f>"7"</f>
        <v>7</v>
      </c>
      <c r="H54" t="str">
        <f>"2"</f>
        <v>2</v>
      </c>
      <c r="I54" s="2">
        <v>10053331104.23</v>
      </c>
    </row>
    <row r="55" spans="1:9" x14ac:dyDescent="0.25">
      <c r="A55">
        <v>44</v>
      </c>
      <c r="B55" s="1">
        <v>45657</v>
      </c>
      <c r="C55">
        <v>31</v>
      </c>
      <c r="D55" t="str">
        <f t="shared" si="5"/>
        <v>1417</v>
      </c>
      <c r="E55" t="str">
        <f t="shared" si="6"/>
        <v>Долгосрочные займы, предоставленные клиентам</v>
      </c>
      <c r="F55" t="str">
        <f t="shared" si="4"/>
        <v>1</v>
      </c>
      <c r="G55" t="str">
        <f>"9"</f>
        <v>9</v>
      </c>
      <c r="H55" t="str">
        <f>"1"</f>
        <v>1</v>
      </c>
      <c r="I55" s="2">
        <v>52969589769.239998</v>
      </c>
    </row>
    <row r="56" spans="1:9" x14ac:dyDescent="0.25">
      <c r="A56">
        <v>45</v>
      </c>
      <c r="B56" s="1">
        <v>45657</v>
      </c>
      <c r="C56">
        <v>31</v>
      </c>
      <c r="D56" t="str">
        <f t="shared" si="5"/>
        <v>1417</v>
      </c>
      <c r="E56" t="str">
        <f t="shared" si="6"/>
        <v>Долгосрочные займы, предоставленные клиентам</v>
      </c>
      <c r="F56" t="str">
        <f>"2"</f>
        <v>2</v>
      </c>
      <c r="G56" t="str">
        <f>"9"</f>
        <v>9</v>
      </c>
      <c r="H56" t="str">
        <f>"1"</f>
        <v>1</v>
      </c>
      <c r="I56" s="2">
        <v>4441163.93</v>
      </c>
    </row>
    <row r="57" spans="1:9" x14ac:dyDescent="0.25">
      <c r="A57">
        <v>46</v>
      </c>
      <c r="B57" s="1">
        <v>45657</v>
      </c>
      <c r="C57">
        <v>31</v>
      </c>
      <c r="D57" t="str">
        <f t="shared" si="5"/>
        <v>1417</v>
      </c>
      <c r="E57" t="str">
        <f t="shared" si="6"/>
        <v>Долгосрочные займы, предоставленные клиентам</v>
      </c>
      <c r="F57" t="str">
        <f>"1"</f>
        <v>1</v>
      </c>
      <c r="G57" t="str">
        <f>"7"</f>
        <v>7</v>
      </c>
      <c r="H57" t="str">
        <f>"1"</f>
        <v>1</v>
      </c>
      <c r="I57" s="2">
        <v>131482450058.86</v>
      </c>
    </row>
    <row r="58" spans="1:9" x14ac:dyDescent="0.25">
      <c r="A58">
        <v>47</v>
      </c>
      <c r="B58" s="1">
        <v>45657</v>
      </c>
      <c r="C58">
        <v>31</v>
      </c>
      <c r="D58" t="str">
        <f>"1424"</f>
        <v>1424</v>
      </c>
      <c r="E58" t="str">
        <f>"Просроченная задолженность клиентов по займам"</f>
        <v>Просроченная задолженность клиентов по займам</v>
      </c>
      <c r="F58" t="str">
        <f>"1"</f>
        <v>1</v>
      </c>
      <c r="G58" t="str">
        <f>"7"</f>
        <v>7</v>
      </c>
      <c r="H58" t="str">
        <f>"1"</f>
        <v>1</v>
      </c>
      <c r="I58" s="2">
        <v>6236626838.7299995</v>
      </c>
    </row>
    <row r="59" spans="1:9" x14ac:dyDescent="0.25">
      <c r="A59">
        <v>48</v>
      </c>
      <c r="B59" s="1">
        <v>45657</v>
      </c>
      <c r="C59">
        <v>31</v>
      </c>
      <c r="D59" t="str">
        <f>"1424"</f>
        <v>1424</v>
      </c>
      <c r="E59" t="str">
        <f>"Просроченная задолженность клиентов по займам"</f>
        <v>Просроченная задолженность клиентов по займам</v>
      </c>
      <c r="F59" t="str">
        <f>"1"</f>
        <v>1</v>
      </c>
      <c r="G59" t="str">
        <f>"9"</f>
        <v>9</v>
      </c>
      <c r="H59" t="str">
        <f>"1"</f>
        <v>1</v>
      </c>
      <c r="I59" s="2">
        <v>5568185549.5100002</v>
      </c>
    </row>
    <row r="60" spans="1:9" x14ac:dyDescent="0.25">
      <c r="A60">
        <v>49</v>
      </c>
      <c r="B60" s="1">
        <v>45657</v>
      </c>
      <c r="C60">
        <v>31</v>
      </c>
      <c r="D60" t="str">
        <f>"1424"</f>
        <v>1424</v>
      </c>
      <c r="E60" t="str">
        <f>"Просроченная задолженность клиентов по займам"</f>
        <v>Просроченная задолженность клиентов по займам</v>
      </c>
      <c r="F60" t="str">
        <f>"1"</f>
        <v>1</v>
      </c>
      <c r="G60" t="str">
        <f>"9"</f>
        <v>9</v>
      </c>
      <c r="H60" t="str">
        <f>"2"</f>
        <v>2</v>
      </c>
      <c r="I60" s="2">
        <v>74511055.819999993</v>
      </c>
    </row>
    <row r="61" spans="1:9" x14ac:dyDescent="0.25">
      <c r="A61">
        <v>50</v>
      </c>
      <c r="B61" s="1">
        <v>45657</v>
      </c>
      <c r="C61">
        <v>31</v>
      </c>
      <c r="D61" t="str">
        <f>"1424"</f>
        <v>1424</v>
      </c>
      <c r="E61" t="str">
        <f>"Просроченная задолженность клиентов по займам"</f>
        <v>Просроченная задолженность клиентов по займам</v>
      </c>
      <c r="F61" t="str">
        <f>"1"</f>
        <v>1</v>
      </c>
      <c r="G61" t="str">
        <f>"7"</f>
        <v>7</v>
      </c>
      <c r="H61" t="str">
        <f>"2"</f>
        <v>2</v>
      </c>
      <c r="I61" s="2">
        <v>656997602.77999997</v>
      </c>
    </row>
    <row r="62" spans="1:9" x14ac:dyDescent="0.25">
      <c r="A62">
        <v>51</v>
      </c>
      <c r="B62" s="1">
        <v>45657</v>
      </c>
      <c r="C62">
        <v>31</v>
      </c>
      <c r="D62" t="str">
        <f>"1424"</f>
        <v>1424</v>
      </c>
      <c r="E62" t="str">
        <f>"Просроченная задолженность клиентов по займам"</f>
        <v>Просроченная задолженность клиентов по займам</v>
      </c>
      <c r="F62" t="str">
        <f>"2"</f>
        <v>2</v>
      </c>
      <c r="G62" t="str">
        <f>"9"</f>
        <v>9</v>
      </c>
      <c r="H62" t="str">
        <f>"1"</f>
        <v>1</v>
      </c>
      <c r="I62" s="2">
        <v>966629.94</v>
      </c>
    </row>
    <row r="63" spans="1:9" x14ac:dyDescent="0.25">
      <c r="A63">
        <v>52</v>
      </c>
      <c r="B63" s="1">
        <v>45657</v>
      </c>
      <c r="C63">
        <v>31</v>
      </c>
      <c r="D63" t="str">
        <f t="shared" ref="D63:D69" si="7">"1428"</f>
        <v>1428</v>
      </c>
      <c r="E63" t="str">
        <f t="shared" ref="E63:E69" si="8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63" t="str">
        <f>"1"</f>
        <v>1</v>
      </c>
      <c r="G63" t="str">
        <f>"5"</f>
        <v>5</v>
      </c>
      <c r="H63" t="str">
        <f>"1"</f>
        <v>1</v>
      </c>
      <c r="I63" s="2">
        <v>-462446548.33999997</v>
      </c>
    </row>
    <row r="64" spans="1:9" x14ac:dyDescent="0.25">
      <c r="A64">
        <v>53</v>
      </c>
      <c r="B64" s="1">
        <v>45657</v>
      </c>
      <c r="C64">
        <v>31</v>
      </c>
      <c r="D64" t="str">
        <f t="shared" si="7"/>
        <v>1428</v>
      </c>
      <c r="E64" t="str">
        <f t="shared" si="8"/>
        <v>Резервы (провизии) по займам и финансовому лизингу, предоставленным клиентам</v>
      </c>
      <c r="F64" t="str">
        <f>"1"</f>
        <v>1</v>
      </c>
      <c r="G64" t="str">
        <f>"7"</f>
        <v>7</v>
      </c>
      <c r="H64" t="str">
        <f>"1"</f>
        <v>1</v>
      </c>
      <c r="I64" s="2">
        <v>-23523982010.380001</v>
      </c>
    </row>
    <row r="65" spans="1:9" x14ac:dyDescent="0.25">
      <c r="A65">
        <v>54</v>
      </c>
      <c r="B65" s="1">
        <v>45657</v>
      </c>
      <c r="C65">
        <v>31</v>
      </c>
      <c r="D65" t="str">
        <f t="shared" si="7"/>
        <v>1428</v>
      </c>
      <c r="E65" t="str">
        <f t="shared" si="8"/>
        <v>Резервы (провизии) по займам и финансовому лизингу, предоставленным клиентам</v>
      </c>
      <c r="F65" t="str">
        <f>"1"</f>
        <v>1</v>
      </c>
      <c r="G65" t="str">
        <f>"6"</f>
        <v>6</v>
      </c>
      <c r="H65" t="str">
        <f>"1"</f>
        <v>1</v>
      </c>
      <c r="I65" s="2">
        <v>-119411439.77</v>
      </c>
    </row>
    <row r="66" spans="1:9" x14ac:dyDescent="0.25">
      <c r="A66">
        <v>55</v>
      </c>
      <c r="B66" s="1">
        <v>45657</v>
      </c>
      <c r="C66">
        <v>31</v>
      </c>
      <c r="D66" t="str">
        <f t="shared" si="7"/>
        <v>1428</v>
      </c>
      <c r="E66" t="str">
        <f t="shared" si="8"/>
        <v>Резервы (провизии) по займам и финансовому лизингу, предоставленным клиентам</v>
      </c>
      <c r="F66" t="str">
        <f>"1"</f>
        <v>1</v>
      </c>
      <c r="G66" t="str">
        <f>"7"</f>
        <v>7</v>
      </c>
      <c r="H66" t="str">
        <f>"2"</f>
        <v>2</v>
      </c>
      <c r="I66" s="2">
        <v>-3326324444.8800001</v>
      </c>
    </row>
    <row r="67" spans="1:9" x14ac:dyDescent="0.25">
      <c r="A67">
        <v>56</v>
      </c>
      <c r="B67" s="1">
        <v>45657</v>
      </c>
      <c r="C67">
        <v>31</v>
      </c>
      <c r="D67" t="str">
        <f t="shared" si="7"/>
        <v>1428</v>
      </c>
      <c r="E67" t="str">
        <f t="shared" si="8"/>
        <v>Резервы (провизии) по займам и финансовому лизингу, предоставленным клиентам</v>
      </c>
      <c r="F67" t="str">
        <f>"1"</f>
        <v>1</v>
      </c>
      <c r="G67" t="str">
        <f>"9"</f>
        <v>9</v>
      </c>
      <c r="H67" t="str">
        <f>"1"</f>
        <v>1</v>
      </c>
      <c r="I67" s="2">
        <v>-12708490071.48</v>
      </c>
    </row>
    <row r="68" spans="1:9" x14ac:dyDescent="0.25">
      <c r="A68">
        <v>57</v>
      </c>
      <c r="B68" s="1">
        <v>45657</v>
      </c>
      <c r="C68">
        <v>31</v>
      </c>
      <c r="D68" t="str">
        <f t="shared" si="7"/>
        <v>1428</v>
      </c>
      <c r="E68" t="str">
        <f t="shared" si="8"/>
        <v>Резервы (провизии) по займам и финансовому лизингу, предоставленным клиентам</v>
      </c>
      <c r="F68" t="str">
        <f>"2"</f>
        <v>2</v>
      </c>
      <c r="G68" t="str">
        <f>"9"</f>
        <v>9</v>
      </c>
      <c r="H68" t="str">
        <f>"1"</f>
        <v>1</v>
      </c>
      <c r="I68" s="2">
        <v>-3358101.4</v>
      </c>
    </row>
    <row r="69" spans="1:9" x14ac:dyDescent="0.25">
      <c r="A69">
        <v>58</v>
      </c>
      <c r="B69" s="1">
        <v>45657</v>
      </c>
      <c r="C69">
        <v>31</v>
      </c>
      <c r="D69" t="str">
        <f t="shared" si="7"/>
        <v>1428</v>
      </c>
      <c r="E69" t="str">
        <f t="shared" si="8"/>
        <v>Резервы (провизии) по займам и финансовому лизингу, предоставленным клиентам</v>
      </c>
      <c r="F69" t="str">
        <f>"1"</f>
        <v>1</v>
      </c>
      <c r="G69" t="str">
        <f>"9"</f>
        <v>9</v>
      </c>
      <c r="H69" t="str">
        <f>"2"</f>
        <v>2</v>
      </c>
      <c r="I69" s="2">
        <v>-286767643.56999999</v>
      </c>
    </row>
    <row r="70" spans="1:9" x14ac:dyDescent="0.25">
      <c r="A70">
        <v>59</v>
      </c>
      <c r="B70" s="1">
        <v>45657</v>
      </c>
      <c r="C70">
        <v>31</v>
      </c>
      <c r="D70" t="str">
        <f t="shared" ref="D70:D75" si="9">"1434"</f>
        <v>1434</v>
      </c>
      <c r="E70" t="str">
        <f t="shared" ref="E70:E75" si="10">"Дисконт по займам, предоставленным клиентам"</f>
        <v>Дисконт по займам, предоставленным клиентам</v>
      </c>
      <c r="F70" t="str">
        <f>"1"</f>
        <v>1</v>
      </c>
      <c r="G70" t="str">
        <f>"5"</f>
        <v>5</v>
      </c>
      <c r="H70" t="str">
        <f>"2"</f>
        <v>2</v>
      </c>
      <c r="I70" s="2">
        <v>-275178.64</v>
      </c>
    </row>
    <row r="71" spans="1:9" x14ac:dyDescent="0.25">
      <c r="A71">
        <v>60</v>
      </c>
      <c r="B71" s="1">
        <v>45657</v>
      </c>
      <c r="C71">
        <v>31</v>
      </c>
      <c r="D71" t="str">
        <f t="shared" si="9"/>
        <v>1434</v>
      </c>
      <c r="E71" t="str">
        <f t="shared" si="10"/>
        <v>Дисконт по займам, предоставленным клиентам</v>
      </c>
      <c r="F71" t="str">
        <f>"1"</f>
        <v>1</v>
      </c>
      <c r="G71" t="str">
        <f>"5"</f>
        <v>5</v>
      </c>
      <c r="H71" t="str">
        <f>"1"</f>
        <v>1</v>
      </c>
      <c r="I71" s="2">
        <v>-14101209.66</v>
      </c>
    </row>
    <row r="72" spans="1:9" x14ac:dyDescent="0.25">
      <c r="A72">
        <v>61</v>
      </c>
      <c r="B72" s="1">
        <v>45657</v>
      </c>
      <c r="C72">
        <v>31</v>
      </c>
      <c r="D72" t="str">
        <f t="shared" si="9"/>
        <v>1434</v>
      </c>
      <c r="E72" t="str">
        <f t="shared" si="10"/>
        <v>Дисконт по займам, предоставленным клиентам</v>
      </c>
      <c r="F72" t="str">
        <f>"1"</f>
        <v>1</v>
      </c>
      <c r="G72" t="str">
        <f>"7"</f>
        <v>7</v>
      </c>
      <c r="H72" t="str">
        <f>"1"</f>
        <v>1</v>
      </c>
      <c r="I72" s="2">
        <v>-855957781.75</v>
      </c>
    </row>
    <row r="73" spans="1:9" x14ac:dyDescent="0.25">
      <c r="A73">
        <v>62</v>
      </c>
      <c r="B73" s="1">
        <v>45657</v>
      </c>
      <c r="C73">
        <v>31</v>
      </c>
      <c r="D73" t="str">
        <f t="shared" si="9"/>
        <v>1434</v>
      </c>
      <c r="E73" t="str">
        <f t="shared" si="10"/>
        <v>Дисконт по займам, предоставленным клиентам</v>
      </c>
      <c r="F73" t="str">
        <f>"1"</f>
        <v>1</v>
      </c>
      <c r="G73" t="str">
        <f>"9"</f>
        <v>9</v>
      </c>
      <c r="H73" t="str">
        <f>"1"</f>
        <v>1</v>
      </c>
      <c r="I73" s="2">
        <v>-1350965750.1099999</v>
      </c>
    </row>
    <row r="74" spans="1:9" x14ac:dyDescent="0.25">
      <c r="A74">
        <v>63</v>
      </c>
      <c r="B74" s="1">
        <v>45657</v>
      </c>
      <c r="C74">
        <v>31</v>
      </c>
      <c r="D74" t="str">
        <f t="shared" si="9"/>
        <v>1434</v>
      </c>
      <c r="E74" t="str">
        <f t="shared" si="10"/>
        <v>Дисконт по займам, предоставленным клиентам</v>
      </c>
      <c r="F74" t="str">
        <f>"2"</f>
        <v>2</v>
      </c>
      <c r="G74" t="str">
        <f>"9"</f>
        <v>9</v>
      </c>
      <c r="H74" t="str">
        <f>"1"</f>
        <v>1</v>
      </c>
      <c r="I74" s="2">
        <v>-7738.9</v>
      </c>
    </row>
    <row r="75" spans="1:9" x14ac:dyDescent="0.25">
      <c r="A75">
        <v>64</v>
      </c>
      <c r="B75" s="1">
        <v>45657</v>
      </c>
      <c r="C75">
        <v>31</v>
      </c>
      <c r="D75" t="str">
        <f t="shared" si="9"/>
        <v>1434</v>
      </c>
      <c r="E75" t="str">
        <f t="shared" si="10"/>
        <v>Дисконт по займам, предоставленным клиентам</v>
      </c>
      <c r="F75" t="str">
        <f t="shared" ref="F75:F82" si="11">"1"</f>
        <v>1</v>
      </c>
      <c r="G75" t="str">
        <f>"7"</f>
        <v>7</v>
      </c>
      <c r="H75" t="str">
        <f>"2"</f>
        <v>2</v>
      </c>
      <c r="I75" s="2">
        <v>-20145046.969999999</v>
      </c>
    </row>
    <row r="76" spans="1:9" x14ac:dyDescent="0.25">
      <c r="A76">
        <v>65</v>
      </c>
      <c r="B76" s="1">
        <v>45657</v>
      </c>
      <c r="C76">
        <v>31</v>
      </c>
      <c r="D76" t="str">
        <f>"1435"</f>
        <v>1435</v>
      </c>
      <c r="E76" t="str">
        <f>"Премия по займам, предоставленным клиентам"</f>
        <v>Премия по займам, предоставленным клиентам</v>
      </c>
      <c r="F76" t="str">
        <f t="shared" si="11"/>
        <v>1</v>
      </c>
      <c r="G76" t="str">
        <f>"7"</f>
        <v>7</v>
      </c>
      <c r="H76" t="str">
        <f>"1"</f>
        <v>1</v>
      </c>
      <c r="I76" s="2">
        <v>721014495.92999995</v>
      </c>
    </row>
    <row r="77" spans="1:9" x14ac:dyDescent="0.25">
      <c r="A77">
        <v>66</v>
      </c>
      <c r="B77" s="1">
        <v>45657</v>
      </c>
      <c r="C77">
        <v>31</v>
      </c>
      <c r="D77" t="str">
        <f>"1435"</f>
        <v>1435</v>
      </c>
      <c r="E77" t="str">
        <f>"Премия по займам, предоставленным клиентам"</f>
        <v>Премия по займам, предоставленным клиентам</v>
      </c>
      <c r="F77" t="str">
        <f t="shared" si="11"/>
        <v>1</v>
      </c>
      <c r="G77" t="str">
        <f>"9"</f>
        <v>9</v>
      </c>
      <c r="H77" t="str">
        <f>"1"</f>
        <v>1</v>
      </c>
      <c r="I77" s="2">
        <v>258538163.5</v>
      </c>
    </row>
    <row r="78" spans="1:9" x14ac:dyDescent="0.25">
      <c r="A78">
        <v>67</v>
      </c>
      <c r="B78" s="1">
        <v>45657</v>
      </c>
      <c r="C78">
        <v>31</v>
      </c>
      <c r="D78" t="str">
        <f>"1435"</f>
        <v>1435</v>
      </c>
      <c r="E78" t="str">
        <f>"Премия по займам, предоставленным клиентам"</f>
        <v>Премия по займам, предоставленным клиентам</v>
      </c>
      <c r="F78" t="str">
        <f t="shared" si="11"/>
        <v>1</v>
      </c>
      <c r="G78" t="str">
        <f>"9"</f>
        <v>9</v>
      </c>
      <c r="H78" t="str">
        <f>"2"</f>
        <v>2</v>
      </c>
      <c r="I78" s="2">
        <v>68813633.329999998</v>
      </c>
    </row>
    <row r="79" spans="1:9" x14ac:dyDescent="0.25">
      <c r="A79">
        <v>68</v>
      </c>
      <c r="B79" s="1">
        <v>45657</v>
      </c>
      <c r="C79">
        <v>31</v>
      </c>
      <c r="D79" t="str">
        <f t="shared" ref="D79:D84" si="12">"1452"</f>
        <v>1452</v>
      </c>
      <c r="E79" t="str">
        <f t="shared" ref="E79:E84" si="13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79" t="str">
        <f t="shared" si="11"/>
        <v>1</v>
      </c>
      <c r="G79" t="str">
        <f>"1"</f>
        <v>1</v>
      </c>
      <c r="H79" t="str">
        <f>"1"</f>
        <v>1</v>
      </c>
      <c r="I79" s="2">
        <v>64809384000</v>
      </c>
    </row>
    <row r="80" spans="1:9" x14ac:dyDescent="0.25">
      <c r="A80">
        <v>69</v>
      </c>
      <c r="B80" s="1">
        <v>45657</v>
      </c>
      <c r="C80">
        <v>31</v>
      </c>
      <c r="D80" t="str">
        <f t="shared" si="12"/>
        <v>1452</v>
      </c>
      <c r="E80" t="str">
        <f t="shared" si="13"/>
        <v>Ценные бумаги, учитываемые по справедливой стоимости через прочий совокупный доход</v>
      </c>
      <c r="F80" t="str">
        <f t="shared" si="11"/>
        <v>1</v>
      </c>
      <c r="G80" t="str">
        <f>"5"</f>
        <v>5</v>
      </c>
      <c r="H80" t="str">
        <f>"1"</f>
        <v>1</v>
      </c>
      <c r="I80" s="2">
        <v>12999000000</v>
      </c>
    </row>
    <row r="81" spans="1:9" x14ac:dyDescent="0.25">
      <c r="A81">
        <v>70</v>
      </c>
      <c r="B81" s="1">
        <v>45657</v>
      </c>
      <c r="C81">
        <v>31</v>
      </c>
      <c r="D81" t="str">
        <f t="shared" si="12"/>
        <v>1452</v>
      </c>
      <c r="E81" t="str">
        <f t="shared" si="13"/>
        <v>Ценные бумаги, учитываемые по справедливой стоимости через прочий совокупный доход</v>
      </c>
      <c r="F81" t="str">
        <f t="shared" si="11"/>
        <v>1</v>
      </c>
      <c r="G81" t="str">
        <f>"1"</f>
        <v>1</v>
      </c>
      <c r="H81" t="str">
        <f>"2"</f>
        <v>2</v>
      </c>
      <c r="I81" s="2">
        <v>11495350000</v>
      </c>
    </row>
    <row r="82" spans="1:9" x14ac:dyDescent="0.25">
      <c r="A82">
        <v>71</v>
      </c>
      <c r="B82" s="1">
        <v>45657</v>
      </c>
      <c r="C82">
        <v>31</v>
      </c>
      <c r="D82" t="str">
        <f t="shared" si="12"/>
        <v>1452</v>
      </c>
      <c r="E82" t="str">
        <f t="shared" si="13"/>
        <v>Ценные бумаги, учитываемые по справедливой стоимости через прочий совокупный доход</v>
      </c>
      <c r="F82" t="str">
        <f t="shared" si="11"/>
        <v>1</v>
      </c>
      <c r="G82" t="str">
        <f>"6"</f>
        <v>6</v>
      </c>
      <c r="H82" t="str">
        <f>"2"</f>
        <v>2</v>
      </c>
      <c r="I82" s="2">
        <v>1575330000</v>
      </c>
    </row>
    <row r="83" spans="1:9" x14ac:dyDescent="0.25">
      <c r="A83">
        <v>72</v>
      </c>
      <c r="B83" s="1">
        <v>45657</v>
      </c>
      <c r="C83">
        <v>31</v>
      </c>
      <c r="D83" t="str">
        <f t="shared" si="12"/>
        <v>1452</v>
      </c>
      <c r="E83" t="str">
        <f t="shared" si="13"/>
        <v>Ценные бумаги, учитываемые по справедливой стоимости через прочий совокупный доход</v>
      </c>
      <c r="F83" t="str">
        <f>"2"</f>
        <v>2</v>
      </c>
      <c r="G83" t="str">
        <f>"5"</f>
        <v>5</v>
      </c>
      <c r="H83" t="str">
        <f>"2"</f>
        <v>2</v>
      </c>
      <c r="I83" s="2">
        <v>367577000</v>
      </c>
    </row>
    <row r="84" spans="1:9" x14ac:dyDescent="0.25">
      <c r="A84">
        <v>73</v>
      </c>
      <c r="B84" s="1">
        <v>45657</v>
      </c>
      <c r="C84">
        <v>31</v>
      </c>
      <c r="D84" t="str">
        <f t="shared" si="12"/>
        <v>1452</v>
      </c>
      <c r="E84" t="str">
        <f t="shared" si="13"/>
        <v>Ценные бумаги, учитываемые по справедливой стоимости через прочий совокупный доход</v>
      </c>
      <c r="F84" t="str">
        <f>"2"</f>
        <v>2</v>
      </c>
      <c r="G84" t="str">
        <f>"4"</f>
        <v>4</v>
      </c>
      <c r="H84" t="str">
        <f>"2"</f>
        <v>2</v>
      </c>
      <c r="I84" s="2">
        <v>393832500</v>
      </c>
    </row>
    <row r="85" spans="1:9" x14ac:dyDescent="0.25">
      <c r="A85">
        <v>74</v>
      </c>
      <c r="B85" s="1">
        <v>45657</v>
      </c>
      <c r="C85">
        <v>31</v>
      </c>
      <c r="D85" t="str">
        <f t="shared" ref="D85:D90" si="14">"1453"</f>
        <v>1453</v>
      </c>
      <c r="E85" t="str">
        <f t="shared" ref="E85:E90" si="15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85" t="str">
        <f>"1"</f>
        <v>1</v>
      </c>
      <c r="G85" t="str">
        <f>"1"</f>
        <v>1</v>
      </c>
      <c r="H85" t="str">
        <f>"1"</f>
        <v>1</v>
      </c>
      <c r="I85" s="2">
        <v>-4578829612.7700005</v>
      </c>
    </row>
    <row r="86" spans="1:9" x14ac:dyDescent="0.25">
      <c r="A86">
        <v>75</v>
      </c>
      <c r="B86" s="1">
        <v>45657</v>
      </c>
      <c r="C86">
        <v>31</v>
      </c>
      <c r="D86" t="str">
        <f t="shared" si="14"/>
        <v>1453</v>
      </c>
      <c r="E86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F86" t="str">
        <f>"1"</f>
        <v>1</v>
      </c>
      <c r="G86" t="str">
        <f>"5"</f>
        <v>5</v>
      </c>
      <c r="H86" t="str">
        <f>"1"</f>
        <v>1</v>
      </c>
      <c r="I86" s="2">
        <v>-7178773.8700000001</v>
      </c>
    </row>
    <row r="87" spans="1:9" x14ac:dyDescent="0.25">
      <c r="A87">
        <v>76</v>
      </c>
      <c r="B87" s="1">
        <v>45657</v>
      </c>
      <c r="C87">
        <v>31</v>
      </c>
      <c r="D87" t="str">
        <f t="shared" si="14"/>
        <v>1453</v>
      </c>
      <c r="E87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F87" t="str">
        <f>"1"</f>
        <v>1</v>
      </c>
      <c r="G87" t="str">
        <f>"6"</f>
        <v>6</v>
      </c>
      <c r="H87" t="str">
        <f>"2"</f>
        <v>2</v>
      </c>
      <c r="I87" s="2">
        <v>-17991733.66</v>
      </c>
    </row>
    <row r="88" spans="1:9" x14ac:dyDescent="0.25">
      <c r="A88">
        <v>77</v>
      </c>
      <c r="B88" s="1">
        <v>45657</v>
      </c>
      <c r="C88">
        <v>31</v>
      </c>
      <c r="D88" t="str">
        <f t="shared" si="14"/>
        <v>1453</v>
      </c>
      <c r="E88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F88" t="str">
        <f>"1"</f>
        <v>1</v>
      </c>
      <c r="G88" t="str">
        <f>"1"</f>
        <v>1</v>
      </c>
      <c r="H88" t="str">
        <f>"2"</f>
        <v>2</v>
      </c>
      <c r="I88" s="2">
        <v>-153953159.62</v>
      </c>
    </row>
    <row r="89" spans="1:9" x14ac:dyDescent="0.25">
      <c r="A89">
        <v>78</v>
      </c>
      <c r="B89" s="1">
        <v>45657</v>
      </c>
      <c r="C89">
        <v>31</v>
      </c>
      <c r="D89" t="str">
        <f t="shared" si="14"/>
        <v>1453</v>
      </c>
      <c r="E89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F89" t="str">
        <f>"2"</f>
        <v>2</v>
      </c>
      <c r="G89" t="str">
        <f>"4"</f>
        <v>4</v>
      </c>
      <c r="H89" t="str">
        <f>"2"</f>
        <v>2</v>
      </c>
      <c r="I89" s="2">
        <v>-2104430.84</v>
      </c>
    </row>
    <row r="90" spans="1:9" x14ac:dyDescent="0.25">
      <c r="A90">
        <v>79</v>
      </c>
      <c r="B90" s="1">
        <v>45657</v>
      </c>
      <c r="C90">
        <v>31</v>
      </c>
      <c r="D90" t="str">
        <f t="shared" si="14"/>
        <v>1453</v>
      </c>
      <c r="E90" t="str">
        <f t="shared" si="15"/>
        <v>Дисконт по приобретенным ценным бумагам, учитываемым по справедливой стоимости через прочий совокупный доход</v>
      </c>
      <c r="F90" t="str">
        <f>"2"</f>
        <v>2</v>
      </c>
      <c r="G90" t="str">
        <f>"5"</f>
        <v>5</v>
      </c>
      <c r="H90" t="str">
        <f>"2"</f>
        <v>2</v>
      </c>
      <c r="I90" s="2">
        <v>-326739.20000000001</v>
      </c>
    </row>
    <row r="91" spans="1:9" x14ac:dyDescent="0.25">
      <c r="A91">
        <v>80</v>
      </c>
      <c r="B91" s="1">
        <v>45657</v>
      </c>
      <c r="C91">
        <v>31</v>
      </c>
      <c r="D91" t="str">
        <f>"1454"</f>
        <v>1454</v>
      </c>
      <c r="E9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1" t="str">
        <f>"1"</f>
        <v>1</v>
      </c>
      <c r="G91" t="str">
        <f>"1"</f>
        <v>1</v>
      </c>
      <c r="H91" t="str">
        <f>"1"</f>
        <v>1</v>
      </c>
      <c r="I91" s="2">
        <v>397195.52000000002</v>
      </c>
    </row>
    <row r="92" spans="1:9" x14ac:dyDescent="0.25">
      <c r="A92">
        <v>81</v>
      </c>
      <c r="B92" s="1">
        <v>45657</v>
      </c>
      <c r="C92">
        <v>31</v>
      </c>
      <c r="D92" t="str">
        <f>"1454"</f>
        <v>1454</v>
      </c>
      <c r="E9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2" t="str">
        <f>"1"</f>
        <v>1</v>
      </c>
      <c r="G92" t="str">
        <f>"5"</f>
        <v>5</v>
      </c>
      <c r="H92" t="str">
        <f>"1"</f>
        <v>1</v>
      </c>
      <c r="I92" s="2">
        <v>67510604.379999995</v>
      </c>
    </row>
    <row r="93" spans="1:9" x14ac:dyDescent="0.25">
      <c r="A93">
        <v>82</v>
      </c>
      <c r="B93" s="1">
        <v>45657</v>
      </c>
      <c r="C93">
        <v>31</v>
      </c>
      <c r="D93" t="str">
        <f>"1454"</f>
        <v>1454</v>
      </c>
      <c r="E9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3" t="str">
        <f>"2"</f>
        <v>2</v>
      </c>
      <c r="G93" t="str">
        <f>"5"</f>
        <v>5</v>
      </c>
      <c r="H93" t="str">
        <f>"2"</f>
        <v>2</v>
      </c>
      <c r="I93" s="2">
        <v>203931.72</v>
      </c>
    </row>
    <row r="94" spans="1:9" x14ac:dyDescent="0.25">
      <c r="A94">
        <v>83</v>
      </c>
      <c r="B94" s="1">
        <v>45657</v>
      </c>
      <c r="C94">
        <v>31</v>
      </c>
      <c r="D94" t="str">
        <f>"1454"</f>
        <v>1454</v>
      </c>
      <c r="E9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94" t="str">
        <f>"1"</f>
        <v>1</v>
      </c>
      <c r="G94" t="str">
        <f>"1"</f>
        <v>1</v>
      </c>
      <c r="H94" t="str">
        <f>"2"</f>
        <v>2</v>
      </c>
      <c r="I94" s="2">
        <v>205351165.21000001</v>
      </c>
    </row>
    <row r="95" spans="1:9" x14ac:dyDescent="0.25">
      <c r="A95">
        <v>84</v>
      </c>
      <c r="B95" s="1">
        <v>45657</v>
      </c>
      <c r="C95">
        <v>31</v>
      </c>
      <c r="D95" t="str">
        <f>"1456"</f>
        <v>1456</v>
      </c>
      <c r="E9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5" t="str">
        <f>"1"</f>
        <v>1</v>
      </c>
      <c r="G95" t="str">
        <f>"1"</f>
        <v>1</v>
      </c>
      <c r="H95" t="str">
        <f>"1"</f>
        <v>1</v>
      </c>
      <c r="I95" s="2">
        <v>1483312173.9000001</v>
      </c>
    </row>
    <row r="96" spans="1:9" x14ac:dyDescent="0.25">
      <c r="A96">
        <v>85</v>
      </c>
      <c r="B96" s="1">
        <v>45657</v>
      </c>
      <c r="C96">
        <v>31</v>
      </c>
      <c r="D96" t="str">
        <f>"1456"</f>
        <v>1456</v>
      </c>
      <c r="E96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96" t="str">
        <f>"1"</f>
        <v>1</v>
      </c>
      <c r="G96" t="str">
        <f>"5"</f>
        <v>5</v>
      </c>
      <c r="H96" t="str">
        <f>"1"</f>
        <v>1</v>
      </c>
      <c r="I96" s="2">
        <v>66084395.619999997</v>
      </c>
    </row>
    <row r="97" spans="1:9" x14ac:dyDescent="0.25">
      <c r="A97">
        <v>86</v>
      </c>
      <c r="B97" s="1">
        <v>45657</v>
      </c>
      <c r="C97">
        <v>31</v>
      </c>
      <c r="D97" t="str">
        <f t="shared" ref="D97:D102" si="16">"1457"</f>
        <v>1457</v>
      </c>
      <c r="E97" t="str">
        <f t="shared" ref="E97:E102" si="17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7" t="str">
        <f>"1"</f>
        <v>1</v>
      </c>
      <c r="G97" t="str">
        <f>"1"</f>
        <v>1</v>
      </c>
      <c r="H97" t="str">
        <f>"2"</f>
        <v>2</v>
      </c>
      <c r="I97" s="2">
        <v>-827805834.49000001</v>
      </c>
    </row>
    <row r="98" spans="1:9" x14ac:dyDescent="0.25">
      <c r="A98">
        <v>87</v>
      </c>
      <c r="B98" s="1">
        <v>45657</v>
      </c>
      <c r="C98">
        <v>31</v>
      </c>
      <c r="D98" t="str">
        <f t="shared" si="16"/>
        <v>1457</v>
      </c>
      <c r="E98" t="str">
        <f t="shared" si="1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8" t="str">
        <f>"1"</f>
        <v>1</v>
      </c>
      <c r="G98" t="str">
        <f>"1"</f>
        <v>1</v>
      </c>
      <c r="H98" t="str">
        <f>"1"</f>
        <v>1</v>
      </c>
      <c r="I98" s="2">
        <v>-17016993.280000001</v>
      </c>
    </row>
    <row r="99" spans="1:9" x14ac:dyDescent="0.25">
      <c r="A99">
        <v>88</v>
      </c>
      <c r="B99" s="1">
        <v>45657</v>
      </c>
      <c r="C99">
        <v>31</v>
      </c>
      <c r="D99" t="str">
        <f t="shared" si="16"/>
        <v>1457</v>
      </c>
      <c r="E99" t="str">
        <f t="shared" si="1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99" t="str">
        <f>"1"</f>
        <v>1</v>
      </c>
      <c r="G99" t="str">
        <f>"6"</f>
        <v>6</v>
      </c>
      <c r="H99" t="str">
        <f>"2"</f>
        <v>2</v>
      </c>
      <c r="I99" s="2">
        <v>-48754998.439999998</v>
      </c>
    </row>
    <row r="100" spans="1:9" x14ac:dyDescent="0.25">
      <c r="A100">
        <v>89</v>
      </c>
      <c r="B100" s="1">
        <v>45657</v>
      </c>
      <c r="C100">
        <v>31</v>
      </c>
      <c r="D100" t="str">
        <f t="shared" si="16"/>
        <v>1457</v>
      </c>
      <c r="E100" t="str">
        <f t="shared" si="1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0" t="str">
        <f>"2"</f>
        <v>2</v>
      </c>
      <c r="G100" t="str">
        <f>"5"</f>
        <v>5</v>
      </c>
      <c r="H100" t="str">
        <f>"2"</f>
        <v>2</v>
      </c>
      <c r="I100" s="2">
        <v>-138600752.31999999</v>
      </c>
    </row>
    <row r="101" spans="1:9" x14ac:dyDescent="0.25">
      <c r="A101">
        <v>90</v>
      </c>
      <c r="B101" s="1">
        <v>45657</v>
      </c>
      <c r="C101">
        <v>31</v>
      </c>
      <c r="D101" t="str">
        <f t="shared" si="16"/>
        <v>1457</v>
      </c>
      <c r="E101" t="str">
        <f t="shared" si="1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1" t="str">
        <f>"1"</f>
        <v>1</v>
      </c>
      <c r="G101" t="str">
        <f>"5"</f>
        <v>5</v>
      </c>
      <c r="H101" t="str">
        <f>"1"</f>
        <v>1</v>
      </c>
      <c r="I101" s="2">
        <v>-12062377.130000001</v>
      </c>
    </row>
    <row r="102" spans="1:9" x14ac:dyDescent="0.25">
      <c r="A102">
        <v>91</v>
      </c>
      <c r="B102" s="1">
        <v>45657</v>
      </c>
      <c r="C102">
        <v>31</v>
      </c>
      <c r="D102" t="str">
        <f t="shared" si="16"/>
        <v>1457</v>
      </c>
      <c r="E102" t="str">
        <f t="shared" si="17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02" t="str">
        <f>"2"</f>
        <v>2</v>
      </c>
      <c r="G102" t="str">
        <f>"4"</f>
        <v>4</v>
      </c>
      <c r="H102" t="str">
        <f>"2"</f>
        <v>2</v>
      </c>
      <c r="I102" s="2">
        <v>-9627839.3399999999</v>
      </c>
    </row>
    <row r="103" spans="1:9" x14ac:dyDescent="0.25">
      <c r="A103">
        <v>92</v>
      </c>
      <c r="B103" s="1">
        <v>45657</v>
      </c>
      <c r="C103">
        <v>31</v>
      </c>
      <c r="D103" t="str">
        <f>"1461"</f>
        <v>1461</v>
      </c>
      <c r="E103" t="str">
        <f>"Операции «обратное РЕПО» с ценными бумагами"</f>
        <v>Операции «обратное РЕПО» с ценными бумагами</v>
      </c>
      <c r="F103" t="str">
        <f t="shared" ref="F103:F113" si="18">"1"</f>
        <v>1</v>
      </c>
      <c r="G103" t="str">
        <f>"5"</f>
        <v>5</v>
      </c>
      <c r="H103" t="str">
        <f t="shared" ref="H103:H108" si="19">"1"</f>
        <v>1</v>
      </c>
      <c r="I103" s="2">
        <v>10006780671.4</v>
      </c>
    </row>
    <row r="104" spans="1:9" x14ac:dyDescent="0.25">
      <c r="A104">
        <v>93</v>
      </c>
      <c r="B104" s="1">
        <v>45657</v>
      </c>
      <c r="C104">
        <v>31</v>
      </c>
      <c r="D104" t="str">
        <f>"1463"</f>
        <v>1463</v>
      </c>
      <c r="E104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104" t="str">
        <f t="shared" si="18"/>
        <v>1</v>
      </c>
      <c r="G104" t="str">
        <f>"5"</f>
        <v>5</v>
      </c>
      <c r="H104" t="str">
        <f t="shared" si="19"/>
        <v>1</v>
      </c>
      <c r="I104" s="2">
        <v>-165961</v>
      </c>
    </row>
    <row r="105" spans="1:9" x14ac:dyDescent="0.25">
      <c r="A105">
        <v>94</v>
      </c>
      <c r="B105" s="1">
        <v>45657</v>
      </c>
      <c r="C105">
        <v>31</v>
      </c>
      <c r="D105" t="str">
        <f>"1471"</f>
        <v>1471</v>
      </c>
      <c r="E105" t="str">
        <f>"Инвестиции в дочерние организации"</f>
        <v>Инвестиции в дочерние организации</v>
      </c>
      <c r="F105" t="str">
        <f t="shared" si="18"/>
        <v>1</v>
      </c>
      <c r="G105" t="str">
        <f>"7"</f>
        <v>7</v>
      </c>
      <c r="H105" t="str">
        <f t="shared" si="19"/>
        <v>1</v>
      </c>
      <c r="I105" s="2">
        <v>23570613775.43</v>
      </c>
    </row>
    <row r="106" spans="1:9" x14ac:dyDescent="0.25">
      <c r="A106">
        <v>95</v>
      </c>
      <c r="B106" s="1">
        <v>45657</v>
      </c>
      <c r="C106">
        <v>31</v>
      </c>
      <c r="D106" t="str">
        <f>"1471"</f>
        <v>1471</v>
      </c>
      <c r="E106" t="str">
        <f>"Инвестиции в дочерние организации"</f>
        <v>Инвестиции в дочерние организации</v>
      </c>
      <c r="F106" t="str">
        <f t="shared" si="18"/>
        <v>1</v>
      </c>
      <c r="G106" t="str">
        <f>"5"</f>
        <v>5</v>
      </c>
      <c r="H106" t="str">
        <f t="shared" si="19"/>
        <v>1</v>
      </c>
      <c r="I106" s="2">
        <v>715000000</v>
      </c>
    </row>
    <row r="107" spans="1:9" x14ac:dyDescent="0.25">
      <c r="A107">
        <v>96</v>
      </c>
      <c r="B107" s="1">
        <v>45657</v>
      </c>
      <c r="C107">
        <v>31</v>
      </c>
      <c r="D107" t="str">
        <f>"1474"</f>
        <v>1474</v>
      </c>
      <c r="E107" t="str">
        <f>"Обесценение инвестиций в дочерние организации"</f>
        <v>Обесценение инвестиций в дочерние организации</v>
      </c>
      <c r="F107" t="str">
        <f t="shared" si="18"/>
        <v>1</v>
      </c>
      <c r="G107" t="str">
        <f>"7"</f>
        <v>7</v>
      </c>
      <c r="H107" t="str">
        <f t="shared" si="19"/>
        <v>1</v>
      </c>
      <c r="I107" s="2">
        <v>-9950109649.5400009</v>
      </c>
    </row>
    <row r="108" spans="1:9" x14ac:dyDescent="0.25">
      <c r="A108">
        <v>97</v>
      </c>
      <c r="B108" s="1">
        <v>45657</v>
      </c>
      <c r="C108">
        <v>31</v>
      </c>
      <c r="D108" t="str">
        <f>"1476"</f>
        <v>1476</v>
      </c>
      <c r="E108" t="str">
        <f>"Прочие инвестиции"</f>
        <v>Прочие инвестиции</v>
      </c>
      <c r="F108" t="str">
        <f t="shared" si="18"/>
        <v>1</v>
      </c>
      <c r="G108" t="str">
        <f>"5"</f>
        <v>5</v>
      </c>
      <c r="H108" t="str">
        <f t="shared" si="19"/>
        <v>1</v>
      </c>
      <c r="I108" s="2">
        <v>2694751.34</v>
      </c>
    </row>
    <row r="109" spans="1:9" x14ac:dyDescent="0.25">
      <c r="A109">
        <v>98</v>
      </c>
      <c r="B109" s="1">
        <v>45657</v>
      </c>
      <c r="C109">
        <v>31</v>
      </c>
      <c r="D109" t="str">
        <f>"1481"</f>
        <v>1481</v>
      </c>
      <c r="E10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09" t="str">
        <f t="shared" si="18"/>
        <v>1</v>
      </c>
      <c r="G109" t="str">
        <f>"1"</f>
        <v>1</v>
      </c>
      <c r="H109" t="str">
        <f>"2"</f>
        <v>2</v>
      </c>
      <c r="I109" s="2">
        <v>33081930000</v>
      </c>
    </row>
    <row r="110" spans="1:9" x14ac:dyDescent="0.25">
      <c r="A110">
        <v>99</v>
      </c>
      <c r="B110" s="1">
        <v>45657</v>
      </c>
      <c r="C110">
        <v>31</v>
      </c>
      <c r="D110" t="str">
        <f>"1483"</f>
        <v>1483</v>
      </c>
      <c r="E110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10" t="str">
        <f t="shared" si="18"/>
        <v>1</v>
      </c>
      <c r="G110" t="str">
        <f>"1"</f>
        <v>1</v>
      </c>
      <c r="H110" t="str">
        <f>"2"</f>
        <v>2</v>
      </c>
      <c r="I110" s="2">
        <v>8352034908.0900002</v>
      </c>
    </row>
    <row r="111" spans="1:9" x14ac:dyDescent="0.25">
      <c r="A111">
        <v>100</v>
      </c>
      <c r="B111" s="1">
        <v>45657</v>
      </c>
      <c r="C111">
        <v>31</v>
      </c>
      <c r="D111" t="str">
        <f>"1486"</f>
        <v>1486</v>
      </c>
      <c r="E11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11" t="str">
        <f t="shared" si="18"/>
        <v>1</v>
      </c>
      <c r="G111" t="str">
        <f>"1"</f>
        <v>1</v>
      </c>
      <c r="H111" t="str">
        <f>"2"</f>
        <v>2</v>
      </c>
      <c r="I111" s="2">
        <v>-132585359.97</v>
      </c>
    </row>
    <row r="112" spans="1:9" x14ac:dyDescent="0.25">
      <c r="A112">
        <v>101</v>
      </c>
      <c r="B112" s="1">
        <v>45657</v>
      </c>
      <c r="C112">
        <v>31</v>
      </c>
      <c r="D112" t="str">
        <f>"1491"</f>
        <v>1491</v>
      </c>
      <c r="E112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112" t="str">
        <f t="shared" si="18"/>
        <v>1</v>
      </c>
      <c r="G112" t="str">
        <f>"9"</f>
        <v>9</v>
      </c>
      <c r="H112" t="str">
        <f>"1"</f>
        <v>1</v>
      </c>
      <c r="I112" s="2">
        <v>8157785</v>
      </c>
    </row>
    <row r="113" spans="1:9" x14ac:dyDescent="0.25">
      <c r="A113">
        <v>102</v>
      </c>
      <c r="B113" s="1">
        <v>45657</v>
      </c>
      <c r="C113">
        <v>31</v>
      </c>
      <c r="D113" t="str">
        <f>"1492"</f>
        <v>1492</v>
      </c>
      <c r="E113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113" t="str">
        <f t="shared" si="18"/>
        <v>1</v>
      </c>
      <c r="G113" t="str">
        <f>"9"</f>
        <v>9</v>
      </c>
      <c r="H113" t="str">
        <f>"1"</f>
        <v>1</v>
      </c>
      <c r="I113" s="2">
        <v>-1737111.77</v>
      </c>
    </row>
    <row r="114" spans="1:9" x14ac:dyDescent="0.25">
      <c r="A114">
        <v>103</v>
      </c>
      <c r="B114" s="1">
        <v>45657</v>
      </c>
      <c r="C114">
        <v>31</v>
      </c>
      <c r="D114" t="str">
        <f>"1602"</f>
        <v>1602</v>
      </c>
      <c r="E114" t="str">
        <f>"Прочие запасы"</f>
        <v>Прочие запасы</v>
      </c>
      <c r="F114" t="str">
        <f>""</f>
        <v/>
      </c>
      <c r="G114" t="str">
        <f>""</f>
        <v/>
      </c>
      <c r="H114" t="str">
        <f>""</f>
        <v/>
      </c>
      <c r="I114" s="2">
        <v>140824504.03</v>
      </c>
    </row>
    <row r="115" spans="1:9" x14ac:dyDescent="0.25">
      <c r="A115">
        <v>104</v>
      </c>
      <c r="B115" s="1">
        <v>45657</v>
      </c>
      <c r="C115">
        <v>31</v>
      </c>
      <c r="D115" t="str">
        <f>"1610"</f>
        <v>1610</v>
      </c>
      <c r="E115" t="str">
        <f>"Долгосрочные активы, предназначенные для продажи"</f>
        <v>Долгосрочные активы, предназначенные для продажи</v>
      </c>
      <c r="F115" t="str">
        <f>""</f>
        <v/>
      </c>
      <c r="G115" t="str">
        <f>""</f>
        <v/>
      </c>
      <c r="H115" t="str">
        <f>""</f>
        <v/>
      </c>
      <c r="I115" s="2">
        <v>2182323242.1599998</v>
      </c>
    </row>
    <row r="116" spans="1:9" x14ac:dyDescent="0.25">
      <c r="A116">
        <v>105</v>
      </c>
      <c r="B116" s="1">
        <v>45657</v>
      </c>
      <c r="C116">
        <v>31</v>
      </c>
      <c r="D116" t="str">
        <f>"1652"</f>
        <v>1652</v>
      </c>
      <c r="E116" t="str">
        <f>"Земля, здания и сооружения"</f>
        <v>Земля, здания и сооружения</v>
      </c>
      <c r="F116" t="str">
        <f>""</f>
        <v/>
      </c>
      <c r="G116" t="str">
        <f>""</f>
        <v/>
      </c>
      <c r="H116" t="str">
        <f>""</f>
        <v/>
      </c>
      <c r="I116" s="2">
        <v>7355832220</v>
      </c>
    </row>
    <row r="117" spans="1:9" x14ac:dyDescent="0.25">
      <c r="A117">
        <v>106</v>
      </c>
      <c r="B117" s="1">
        <v>45657</v>
      </c>
      <c r="C117">
        <v>31</v>
      </c>
      <c r="D117" t="str">
        <f>"1653"</f>
        <v>1653</v>
      </c>
      <c r="E117" t="str">
        <f>"Компьютерное оборудование"</f>
        <v>Компьютерное оборудование</v>
      </c>
      <c r="F117" t="str">
        <f>""</f>
        <v/>
      </c>
      <c r="G117" t="str">
        <f>""</f>
        <v/>
      </c>
      <c r="H117" t="str">
        <f>""</f>
        <v/>
      </c>
      <c r="I117" s="2">
        <v>2436101662.4299998</v>
      </c>
    </row>
    <row r="118" spans="1:9" x14ac:dyDescent="0.25">
      <c r="A118">
        <v>107</v>
      </c>
      <c r="B118" s="1">
        <v>45657</v>
      </c>
      <c r="C118">
        <v>31</v>
      </c>
      <c r="D118" t="str">
        <f>"1654"</f>
        <v>1654</v>
      </c>
      <c r="E118" t="str">
        <f>"Прочие основные средства"</f>
        <v>Прочие основные средства</v>
      </c>
      <c r="F118" t="str">
        <f>""</f>
        <v/>
      </c>
      <c r="G118" t="str">
        <f>""</f>
        <v/>
      </c>
      <c r="H118" t="str">
        <f>""</f>
        <v/>
      </c>
      <c r="I118" s="2">
        <v>3038528286.4200001</v>
      </c>
    </row>
    <row r="119" spans="1:9" x14ac:dyDescent="0.25">
      <c r="A119">
        <v>108</v>
      </c>
      <c r="B119" s="1">
        <v>45657</v>
      </c>
      <c r="C119">
        <v>31</v>
      </c>
      <c r="D119" t="str">
        <f>"1655"</f>
        <v>1655</v>
      </c>
      <c r="E119" t="str">
        <f>"Активы в форме права пользования"</f>
        <v>Активы в форме права пользования</v>
      </c>
      <c r="F119" t="str">
        <f>""</f>
        <v/>
      </c>
      <c r="G119" t="str">
        <f>""</f>
        <v/>
      </c>
      <c r="H119" t="str">
        <f>""</f>
        <v/>
      </c>
      <c r="I119" s="2">
        <v>1658519933.47</v>
      </c>
    </row>
    <row r="120" spans="1:9" x14ac:dyDescent="0.25">
      <c r="A120">
        <v>109</v>
      </c>
      <c r="B120" s="1">
        <v>45657</v>
      </c>
      <c r="C120">
        <v>31</v>
      </c>
      <c r="D120" t="str">
        <f>"1656"</f>
        <v>1656</v>
      </c>
      <c r="E120" t="str">
        <f>"Основные средства, предназначенные для сдачи в аренду"</f>
        <v>Основные средства, предназначенные для сдачи в аренду</v>
      </c>
      <c r="F120" t="str">
        <f>""</f>
        <v/>
      </c>
      <c r="G120" t="str">
        <f>""</f>
        <v/>
      </c>
      <c r="H120" t="str">
        <f>""</f>
        <v/>
      </c>
      <c r="I120" s="2">
        <v>2655051018.0999999</v>
      </c>
    </row>
    <row r="121" spans="1:9" x14ac:dyDescent="0.25">
      <c r="A121">
        <v>110</v>
      </c>
      <c r="B121" s="1">
        <v>45657</v>
      </c>
      <c r="C121">
        <v>31</v>
      </c>
      <c r="D121" t="str">
        <f>"1657"</f>
        <v>1657</v>
      </c>
      <c r="E121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21" t="str">
        <f>""</f>
        <v/>
      </c>
      <c r="G121" t="str">
        <f>""</f>
        <v/>
      </c>
      <c r="H121" t="str">
        <f>""</f>
        <v/>
      </c>
      <c r="I121" s="2">
        <v>4609080.6500000004</v>
      </c>
    </row>
    <row r="122" spans="1:9" x14ac:dyDescent="0.25">
      <c r="A122">
        <v>111</v>
      </c>
      <c r="B122" s="1">
        <v>45657</v>
      </c>
      <c r="C122">
        <v>31</v>
      </c>
      <c r="D122" t="str">
        <f>"1658"</f>
        <v>1658</v>
      </c>
      <c r="E122" t="str">
        <f>"Транспортные средства"</f>
        <v>Транспортные средства</v>
      </c>
      <c r="F122" t="str">
        <f>""</f>
        <v/>
      </c>
      <c r="G122" t="str">
        <f>""</f>
        <v/>
      </c>
      <c r="H122" t="str">
        <f>""</f>
        <v/>
      </c>
      <c r="I122" s="2">
        <v>127824544.64</v>
      </c>
    </row>
    <row r="123" spans="1:9" x14ac:dyDescent="0.25">
      <c r="A123">
        <v>112</v>
      </c>
      <c r="B123" s="1">
        <v>45657</v>
      </c>
      <c r="C123">
        <v>31</v>
      </c>
      <c r="D123" t="str">
        <f>"1659"</f>
        <v>1659</v>
      </c>
      <c r="E123" t="str">
        <f>"Нематериальные активы"</f>
        <v>Нематериальные активы</v>
      </c>
      <c r="F123" t="str">
        <f>""</f>
        <v/>
      </c>
      <c r="G123" t="str">
        <f>""</f>
        <v/>
      </c>
      <c r="H123" t="str">
        <f>""</f>
        <v/>
      </c>
      <c r="I123" s="2">
        <v>4050471089.5999999</v>
      </c>
    </row>
    <row r="124" spans="1:9" x14ac:dyDescent="0.25">
      <c r="A124">
        <v>113</v>
      </c>
      <c r="B124" s="1">
        <v>45657</v>
      </c>
      <c r="C124">
        <v>31</v>
      </c>
      <c r="D124" t="str">
        <f>"1660"</f>
        <v>1660</v>
      </c>
      <c r="E124" t="str">
        <f>"Создаваемые (разрабатываемые) нематериальные активы"</f>
        <v>Создаваемые (разрабатываемые) нематериальные активы</v>
      </c>
      <c r="F124" t="str">
        <f>""</f>
        <v/>
      </c>
      <c r="G124" t="str">
        <f>""</f>
        <v/>
      </c>
      <c r="H124" t="str">
        <f>""</f>
        <v/>
      </c>
      <c r="I124" s="2">
        <v>227471299.72999999</v>
      </c>
    </row>
    <row r="125" spans="1:9" x14ac:dyDescent="0.25">
      <c r="A125">
        <v>114</v>
      </c>
      <c r="B125" s="1">
        <v>45657</v>
      </c>
      <c r="C125">
        <v>31</v>
      </c>
      <c r="D125" t="str">
        <f>"1692"</f>
        <v>1692</v>
      </c>
      <c r="E125" t="str">
        <f>"Начисленная амортизация по зданиям и сооружениям"</f>
        <v>Начисленная амортизация по зданиям и сооружениям</v>
      </c>
      <c r="F125" t="str">
        <f>""</f>
        <v/>
      </c>
      <c r="G125" t="str">
        <f>""</f>
        <v/>
      </c>
      <c r="H125" t="str">
        <f>""</f>
        <v/>
      </c>
      <c r="I125" s="2">
        <v>-294888537.68000001</v>
      </c>
    </row>
    <row r="126" spans="1:9" x14ac:dyDescent="0.25">
      <c r="A126">
        <v>115</v>
      </c>
      <c r="B126" s="1">
        <v>45657</v>
      </c>
      <c r="C126">
        <v>31</v>
      </c>
      <c r="D126" t="str">
        <f>"1693"</f>
        <v>1693</v>
      </c>
      <c r="E126" t="str">
        <f>"Начисленная амортизация по компьютерному оборудованию"</f>
        <v>Начисленная амортизация по компьютерному оборудованию</v>
      </c>
      <c r="F126" t="str">
        <f>""</f>
        <v/>
      </c>
      <c r="G126" t="str">
        <f>""</f>
        <v/>
      </c>
      <c r="H126" t="str">
        <f>""</f>
        <v/>
      </c>
      <c r="I126" s="2">
        <v>-1665845775.98</v>
      </c>
    </row>
    <row r="127" spans="1:9" x14ac:dyDescent="0.25">
      <c r="A127">
        <v>116</v>
      </c>
      <c r="B127" s="1">
        <v>45657</v>
      </c>
      <c r="C127">
        <v>31</v>
      </c>
      <c r="D127" t="str">
        <f>"1694"</f>
        <v>1694</v>
      </c>
      <c r="E127" t="str">
        <f>"Начисленная амортизация по прочим основным средствам"</f>
        <v>Начисленная амортизация по прочим основным средствам</v>
      </c>
      <c r="F127" t="str">
        <f>""</f>
        <v/>
      </c>
      <c r="G127" t="str">
        <f>""</f>
        <v/>
      </c>
      <c r="H127" t="str">
        <f>""</f>
        <v/>
      </c>
      <c r="I127" s="2">
        <v>-2443592646.5100002</v>
      </c>
    </row>
    <row r="128" spans="1:9" x14ac:dyDescent="0.25">
      <c r="A128">
        <v>117</v>
      </c>
      <c r="B128" s="1">
        <v>45657</v>
      </c>
      <c r="C128">
        <v>31</v>
      </c>
      <c r="D128" t="str">
        <f>"1695"</f>
        <v>1695</v>
      </c>
      <c r="E128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28" t="str">
        <f>""</f>
        <v/>
      </c>
      <c r="G128" t="str">
        <f>""</f>
        <v/>
      </c>
      <c r="H128" t="str">
        <f>""</f>
        <v/>
      </c>
      <c r="I128" s="2">
        <v>-747705215.17999995</v>
      </c>
    </row>
    <row r="129" spans="1:9" x14ac:dyDescent="0.25">
      <c r="A129">
        <v>118</v>
      </c>
      <c r="B129" s="1">
        <v>45657</v>
      </c>
      <c r="C129">
        <v>31</v>
      </c>
      <c r="D129" t="str">
        <f>"1697"</f>
        <v>1697</v>
      </c>
      <c r="E129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29" t="str">
        <f>""</f>
        <v/>
      </c>
      <c r="G129" t="str">
        <f>""</f>
        <v/>
      </c>
      <c r="H129" t="str">
        <f>""</f>
        <v/>
      </c>
      <c r="I129" s="2">
        <v>-4609080.6500000004</v>
      </c>
    </row>
    <row r="130" spans="1:9" x14ac:dyDescent="0.25">
      <c r="A130">
        <v>119</v>
      </c>
      <c r="B130" s="1">
        <v>45657</v>
      </c>
      <c r="C130">
        <v>31</v>
      </c>
      <c r="D130" t="str">
        <f>"1698"</f>
        <v>1698</v>
      </c>
      <c r="E130" t="str">
        <f>"Начисленная амортизация по транспортным средствам"</f>
        <v>Начисленная амортизация по транспортным средствам</v>
      </c>
      <c r="F130" t="str">
        <f>""</f>
        <v/>
      </c>
      <c r="G130" t="str">
        <f>""</f>
        <v/>
      </c>
      <c r="H130" t="str">
        <f>""</f>
        <v/>
      </c>
      <c r="I130" s="2">
        <v>-115913830.02</v>
      </c>
    </row>
    <row r="131" spans="1:9" x14ac:dyDescent="0.25">
      <c r="A131">
        <v>120</v>
      </c>
      <c r="B131" s="1">
        <v>45657</v>
      </c>
      <c r="C131">
        <v>31</v>
      </c>
      <c r="D131" t="str">
        <f>"1699"</f>
        <v>1699</v>
      </c>
      <c r="E131" t="str">
        <f>"Начисленная амортизация по нематериальным активам"</f>
        <v>Начисленная амортизация по нематериальным активам</v>
      </c>
      <c r="F131" t="str">
        <f>""</f>
        <v/>
      </c>
      <c r="G131" t="str">
        <f>""</f>
        <v/>
      </c>
      <c r="H131" t="str">
        <f>""</f>
        <v/>
      </c>
      <c r="I131" s="2">
        <v>-2558562678.1599998</v>
      </c>
    </row>
    <row r="132" spans="1:9" x14ac:dyDescent="0.25">
      <c r="A132">
        <v>121</v>
      </c>
      <c r="B132" s="1">
        <v>45657</v>
      </c>
      <c r="C132">
        <v>31</v>
      </c>
      <c r="D132" t="str">
        <f>"1710"</f>
        <v>1710</v>
      </c>
      <c r="E132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32" t="str">
        <f>"1"</f>
        <v>1</v>
      </c>
      <c r="G132" t="str">
        <f>"3"</f>
        <v>3</v>
      </c>
      <c r="H132" t="str">
        <f>"1"</f>
        <v>1</v>
      </c>
      <c r="I132" s="2">
        <v>61423611.109999999</v>
      </c>
    </row>
    <row r="133" spans="1:9" x14ac:dyDescent="0.25">
      <c r="A133">
        <v>122</v>
      </c>
      <c r="B133" s="1">
        <v>45657</v>
      </c>
      <c r="C133">
        <v>31</v>
      </c>
      <c r="D133" t="str">
        <f>"1730"</f>
        <v>1730</v>
      </c>
      <c r="E133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33" t="str">
        <f>"2"</f>
        <v>2</v>
      </c>
      <c r="G133" t="str">
        <f>"4"</f>
        <v>4</v>
      </c>
      <c r="H133" t="str">
        <f>"2"</f>
        <v>2</v>
      </c>
      <c r="I133" s="2">
        <v>160570924.13</v>
      </c>
    </row>
    <row r="134" spans="1:9" x14ac:dyDescent="0.25">
      <c r="A134">
        <v>123</v>
      </c>
      <c r="B134" s="1">
        <v>45657</v>
      </c>
      <c r="C134">
        <v>31</v>
      </c>
      <c r="D134" t="str">
        <f t="shared" ref="D134:D139" si="20">"1740"</f>
        <v>1740</v>
      </c>
      <c r="E134" t="str">
        <f t="shared" ref="E134:E139" si="21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34" t="str">
        <f>"1"</f>
        <v>1</v>
      </c>
      <c r="G134" t="str">
        <f>"5"</f>
        <v>5</v>
      </c>
      <c r="H134" t="str">
        <f>"1"</f>
        <v>1</v>
      </c>
      <c r="I134" s="2">
        <v>121122848.56999999</v>
      </c>
    </row>
    <row r="135" spans="1:9" x14ac:dyDescent="0.25">
      <c r="A135">
        <v>124</v>
      </c>
      <c r="B135" s="1">
        <v>45657</v>
      </c>
      <c r="C135">
        <v>31</v>
      </c>
      <c r="D135" t="str">
        <f t="shared" si="20"/>
        <v>1740</v>
      </c>
      <c r="E135" t="str">
        <f t="shared" si="21"/>
        <v>Начисленные доходы по займам и финансовому лизингу, предоставленным клиентам</v>
      </c>
      <c r="F135" t="str">
        <f>"1"</f>
        <v>1</v>
      </c>
      <c r="G135" t="str">
        <f>"6"</f>
        <v>6</v>
      </c>
      <c r="H135" t="str">
        <f>"1"</f>
        <v>1</v>
      </c>
      <c r="I135" s="2">
        <v>8464375</v>
      </c>
    </row>
    <row r="136" spans="1:9" x14ac:dyDescent="0.25">
      <c r="A136">
        <v>125</v>
      </c>
      <c r="B136" s="1">
        <v>45657</v>
      </c>
      <c r="C136">
        <v>31</v>
      </c>
      <c r="D136" t="str">
        <f t="shared" si="20"/>
        <v>1740</v>
      </c>
      <c r="E136" t="str">
        <f t="shared" si="21"/>
        <v>Начисленные доходы по займам и финансовому лизингу, предоставленным клиентам</v>
      </c>
      <c r="F136" t="str">
        <f>"1"</f>
        <v>1</v>
      </c>
      <c r="G136" t="str">
        <f>"7"</f>
        <v>7</v>
      </c>
      <c r="H136" t="str">
        <f>"2"</f>
        <v>2</v>
      </c>
      <c r="I136" s="2">
        <v>63674549.789999999</v>
      </c>
    </row>
    <row r="137" spans="1:9" x14ac:dyDescent="0.25">
      <c r="A137">
        <v>126</v>
      </c>
      <c r="B137" s="1">
        <v>45657</v>
      </c>
      <c r="C137">
        <v>31</v>
      </c>
      <c r="D137" t="str">
        <f t="shared" si="20"/>
        <v>1740</v>
      </c>
      <c r="E137" t="str">
        <f t="shared" si="21"/>
        <v>Начисленные доходы по займам и финансовому лизингу, предоставленным клиентам</v>
      </c>
      <c r="F137" t="str">
        <f>"1"</f>
        <v>1</v>
      </c>
      <c r="G137" t="str">
        <f>"7"</f>
        <v>7</v>
      </c>
      <c r="H137" t="str">
        <f>"1"</f>
        <v>1</v>
      </c>
      <c r="I137" s="2">
        <v>3690502995.1599998</v>
      </c>
    </row>
    <row r="138" spans="1:9" x14ac:dyDescent="0.25">
      <c r="A138">
        <v>127</v>
      </c>
      <c r="B138" s="1">
        <v>45657</v>
      </c>
      <c r="C138">
        <v>31</v>
      </c>
      <c r="D138" t="str">
        <f t="shared" si="20"/>
        <v>1740</v>
      </c>
      <c r="E138" t="str">
        <f t="shared" si="21"/>
        <v>Начисленные доходы по займам и финансовому лизингу, предоставленным клиентам</v>
      </c>
      <c r="F138" t="str">
        <f>"1"</f>
        <v>1</v>
      </c>
      <c r="G138" t="str">
        <f>"9"</f>
        <v>9</v>
      </c>
      <c r="H138" t="str">
        <f>"1"</f>
        <v>1</v>
      </c>
      <c r="I138" s="2">
        <v>875693173.84000003</v>
      </c>
    </row>
    <row r="139" spans="1:9" x14ac:dyDescent="0.25">
      <c r="A139">
        <v>128</v>
      </c>
      <c r="B139" s="1">
        <v>45657</v>
      </c>
      <c r="C139">
        <v>31</v>
      </c>
      <c r="D139" t="str">
        <f t="shared" si="20"/>
        <v>1740</v>
      </c>
      <c r="E139" t="str">
        <f t="shared" si="21"/>
        <v>Начисленные доходы по займам и финансовому лизингу, предоставленным клиентам</v>
      </c>
      <c r="F139" t="str">
        <f>"2"</f>
        <v>2</v>
      </c>
      <c r="G139" t="str">
        <f>"9"</f>
        <v>9</v>
      </c>
      <c r="H139" t="str">
        <f>"1"</f>
        <v>1</v>
      </c>
      <c r="I139" s="2">
        <v>5228.03</v>
      </c>
    </row>
    <row r="140" spans="1:9" x14ac:dyDescent="0.25">
      <c r="A140">
        <v>129</v>
      </c>
      <c r="B140" s="1">
        <v>45657</v>
      </c>
      <c r="C140">
        <v>31</v>
      </c>
      <c r="D140" t="str">
        <f>"1741"</f>
        <v>1741</v>
      </c>
      <c r="E14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0" t="str">
        <f t="shared" ref="F140:F146" si="22">"1"</f>
        <v>1</v>
      </c>
      <c r="G140" t="str">
        <f>"7"</f>
        <v>7</v>
      </c>
      <c r="H140" t="str">
        <f>"2"</f>
        <v>2</v>
      </c>
      <c r="I140" s="2">
        <v>37002791.810000002</v>
      </c>
    </row>
    <row r="141" spans="1:9" x14ac:dyDescent="0.25">
      <c r="A141">
        <v>130</v>
      </c>
      <c r="B141" s="1">
        <v>45657</v>
      </c>
      <c r="C141">
        <v>31</v>
      </c>
      <c r="D141" t="str">
        <f>"1741"</f>
        <v>1741</v>
      </c>
      <c r="E14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1" t="str">
        <f t="shared" si="22"/>
        <v>1</v>
      </c>
      <c r="G141" t="str">
        <f>"7"</f>
        <v>7</v>
      </c>
      <c r="H141" t="str">
        <f>"1"</f>
        <v>1</v>
      </c>
      <c r="I141" s="2">
        <v>6256389665.8800001</v>
      </c>
    </row>
    <row r="142" spans="1:9" x14ac:dyDescent="0.25">
      <c r="A142">
        <v>131</v>
      </c>
      <c r="B142" s="1">
        <v>45657</v>
      </c>
      <c r="C142">
        <v>31</v>
      </c>
      <c r="D142" t="str">
        <f>"1741"</f>
        <v>1741</v>
      </c>
      <c r="E14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2" t="str">
        <f t="shared" si="22"/>
        <v>1</v>
      </c>
      <c r="G142" t="str">
        <f>"9"</f>
        <v>9</v>
      </c>
      <c r="H142" t="str">
        <f>"1"</f>
        <v>1</v>
      </c>
      <c r="I142" s="2">
        <v>5345636837.6800003</v>
      </c>
    </row>
    <row r="143" spans="1:9" x14ac:dyDescent="0.25">
      <c r="A143">
        <v>132</v>
      </c>
      <c r="B143" s="1">
        <v>45657</v>
      </c>
      <c r="C143">
        <v>31</v>
      </c>
      <c r="D143" t="str">
        <f>"1741"</f>
        <v>1741</v>
      </c>
      <c r="E14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43" t="str">
        <f t="shared" si="22"/>
        <v>1</v>
      </c>
      <c r="G143" t="str">
        <f>"9"</f>
        <v>9</v>
      </c>
      <c r="H143" t="str">
        <f>"2"</f>
        <v>2</v>
      </c>
      <c r="I143" s="2">
        <v>183789691.99000001</v>
      </c>
    </row>
    <row r="144" spans="1:9" x14ac:dyDescent="0.25">
      <c r="A144">
        <v>133</v>
      </c>
      <c r="B144" s="1">
        <v>45657</v>
      </c>
      <c r="C144">
        <v>31</v>
      </c>
      <c r="D144" t="str">
        <f>"1745"</f>
        <v>1745</v>
      </c>
      <c r="E14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44" t="str">
        <f t="shared" si="22"/>
        <v>1</v>
      </c>
      <c r="G144" t="str">
        <f>"1"</f>
        <v>1</v>
      </c>
      <c r="H144" t="str">
        <f>"2"</f>
        <v>2</v>
      </c>
      <c r="I144" s="2">
        <v>340468154.24000001</v>
      </c>
    </row>
    <row r="145" spans="1:9" x14ac:dyDescent="0.25">
      <c r="A145">
        <v>134</v>
      </c>
      <c r="B145" s="1">
        <v>45657</v>
      </c>
      <c r="C145">
        <v>31</v>
      </c>
      <c r="D145" t="str">
        <f t="shared" ref="D145:D150" si="23">"1746"</f>
        <v>1746</v>
      </c>
      <c r="E145" t="str">
        <f t="shared" ref="E145:E150" si="24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45" t="str">
        <f t="shared" si="22"/>
        <v>1</v>
      </c>
      <c r="G145" t="str">
        <f>"5"</f>
        <v>5</v>
      </c>
      <c r="H145" t="str">
        <f>"1"</f>
        <v>1</v>
      </c>
      <c r="I145" s="2">
        <v>1007299027.99</v>
      </c>
    </row>
    <row r="146" spans="1:9" x14ac:dyDescent="0.25">
      <c r="A146">
        <v>135</v>
      </c>
      <c r="B146" s="1">
        <v>45657</v>
      </c>
      <c r="C146">
        <v>31</v>
      </c>
      <c r="D146" t="str">
        <f t="shared" si="23"/>
        <v>1746</v>
      </c>
      <c r="E146" t="str">
        <f t="shared" si="24"/>
        <v>Начисленные доходы по ценным бумагам, учитываемым по справедливой стоимости через прочий совокупный доход</v>
      </c>
      <c r="F146" t="str">
        <f t="shared" si="22"/>
        <v>1</v>
      </c>
      <c r="G146" t="str">
        <f>"1"</f>
        <v>1</v>
      </c>
      <c r="H146" t="str">
        <f>"2"</f>
        <v>2</v>
      </c>
      <c r="I146" s="2">
        <v>162270706.97</v>
      </c>
    </row>
    <row r="147" spans="1:9" x14ac:dyDescent="0.25">
      <c r="A147">
        <v>136</v>
      </c>
      <c r="B147" s="1">
        <v>45657</v>
      </c>
      <c r="C147">
        <v>31</v>
      </c>
      <c r="D147" t="str">
        <f t="shared" si="23"/>
        <v>1746</v>
      </c>
      <c r="E147" t="str">
        <f t="shared" si="24"/>
        <v>Начисленные доходы по ценным бумагам, учитываемым по справедливой стоимости через прочий совокупный доход</v>
      </c>
      <c r="F147" t="str">
        <f>"2"</f>
        <v>2</v>
      </c>
      <c r="G147" t="str">
        <f>"5"</f>
        <v>5</v>
      </c>
      <c r="H147" t="str">
        <f>"2"</f>
        <v>2</v>
      </c>
      <c r="I147" s="2">
        <v>7278024.5999999996</v>
      </c>
    </row>
    <row r="148" spans="1:9" x14ac:dyDescent="0.25">
      <c r="A148">
        <v>137</v>
      </c>
      <c r="B148" s="1">
        <v>45657</v>
      </c>
      <c r="C148">
        <v>31</v>
      </c>
      <c r="D148" t="str">
        <f t="shared" si="23"/>
        <v>1746</v>
      </c>
      <c r="E148" t="str">
        <f t="shared" si="24"/>
        <v>Начисленные доходы по ценным бумагам, учитываемым по справедливой стоимости через прочий совокупный доход</v>
      </c>
      <c r="F148" t="str">
        <f>"2"</f>
        <v>2</v>
      </c>
      <c r="G148" t="str">
        <f>"4"</f>
        <v>4</v>
      </c>
      <c r="H148" t="str">
        <f>"2"</f>
        <v>2</v>
      </c>
      <c r="I148" s="2">
        <v>4594712.5</v>
      </c>
    </row>
    <row r="149" spans="1:9" x14ac:dyDescent="0.25">
      <c r="A149">
        <v>138</v>
      </c>
      <c r="B149" s="1">
        <v>45657</v>
      </c>
      <c r="C149">
        <v>31</v>
      </c>
      <c r="D149" t="str">
        <f t="shared" si="23"/>
        <v>1746</v>
      </c>
      <c r="E149" t="str">
        <f t="shared" si="24"/>
        <v>Начисленные доходы по ценным бумагам, учитываемым по справедливой стоимости через прочий совокупный доход</v>
      </c>
      <c r="F149" t="str">
        <f>"1"</f>
        <v>1</v>
      </c>
      <c r="G149" t="str">
        <f>"1"</f>
        <v>1</v>
      </c>
      <c r="H149" t="str">
        <f>"1"</f>
        <v>1</v>
      </c>
      <c r="I149" s="2">
        <v>2460246066.0900002</v>
      </c>
    </row>
    <row r="150" spans="1:9" x14ac:dyDescent="0.25">
      <c r="A150">
        <v>139</v>
      </c>
      <c r="B150" s="1">
        <v>45657</v>
      </c>
      <c r="C150">
        <v>31</v>
      </c>
      <c r="D150" t="str">
        <f t="shared" si="23"/>
        <v>1746</v>
      </c>
      <c r="E150" t="str">
        <f t="shared" si="24"/>
        <v>Начисленные доходы по ценным бумагам, учитываемым по справедливой стоимости через прочий совокупный доход</v>
      </c>
      <c r="F150" t="str">
        <f>"1"</f>
        <v>1</v>
      </c>
      <c r="G150" t="str">
        <f>"6"</f>
        <v>6</v>
      </c>
      <c r="H150" t="str">
        <f>"2"</f>
        <v>2</v>
      </c>
      <c r="I150" s="2">
        <v>17995960.789999999</v>
      </c>
    </row>
    <row r="151" spans="1:9" x14ac:dyDescent="0.25">
      <c r="A151">
        <v>140</v>
      </c>
      <c r="B151" s="1">
        <v>45657</v>
      </c>
      <c r="C151">
        <v>31</v>
      </c>
      <c r="D151" t="str">
        <f>"1756"</f>
        <v>1756</v>
      </c>
      <c r="E151" t="str">
        <f>"Начисленные доходы по прочим операциям"</f>
        <v>Начисленные доходы по прочим операциям</v>
      </c>
      <c r="F151" t="str">
        <f>"1"</f>
        <v>1</v>
      </c>
      <c r="G151" t="str">
        <f>"7"</f>
        <v>7</v>
      </c>
      <c r="H151" t="str">
        <f t="shared" ref="H151:H164" si="25">"1"</f>
        <v>1</v>
      </c>
      <c r="I151" s="2">
        <v>125364851.64</v>
      </c>
    </row>
    <row r="152" spans="1:9" x14ac:dyDescent="0.25">
      <c r="A152">
        <v>141</v>
      </c>
      <c r="B152" s="1">
        <v>45657</v>
      </c>
      <c r="C152">
        <v>31</v>
      </c>
      <c r="D152" t="str">
        <f>"1793"</f>
        <v>1793</v>
      </c>
      <c r="E152" t="str">
        <f>"Расходы будущих периодов"</f>
        <v>Расходы будущих периодов</v>
      </c>
      <c r="F152" t="str">
        <f>"1"</f>
        <v>1</v>
      </c>
      <c r="G152" t="str">
        <f>"5"</f>
        <v>5</v>
      </c>
      <c r="H152" t="str">
        <f t="shared" si="25"/>
        <v>1</v>
      </c>
      <c r="I152" s="2">
        <v>2960891.62</v>
      </c>
    </row>
    <row r="153" spans="1:9" x14ac:dyDescent="0.25">
      <c r="A153">
        <v>142</v>
      </c>
      <c r="B153" s="1">
        <v>45657</v>
      </c>
      <c r="C153">
        <v>31</v>
      </c>
      <c r="D153" t="str">
        <f>"1793"</f>
        <v>1793</v>
      </c>
      <c r="E153" t="str">
        <f>"Расходы будущих периодов"</f>
        <v>Расходы будущих периодов</v>
      </c>
      <c r="F153" t="str">
        <f>"1"</f>
        <v>1</v>
      </c>
      <c r="G153" t="str">
        <f>"6"</f>
        <v>6</v>
      </c>
      <c r="H153" t="str">
        <f t="shared" si="25"/>
        <v>1</v>
      </c>
      <c r="I153" s="2">
        <v>224000</v>
      </c>
    </row>
    <row r="154" spans="1:9" x14ac:dyDescent="0.25">
      <c r="A154">
        <v>143</v>
      </c>
      <c r="B154" s="1">
        <v>45657</v>
      </c>
      <c r="C154">
        <v>31</v>
      </c>
      <c r="D154" t="str">
        <f>"1793"</f>
        <v>1793</v>
      </c>
      <c r="E154" t="str">
        <f>"Расходы будущих периодов"</f>
        <v>Расходы будущих периодов</v>
      </c>
      <c r="F154" t="str">
        <f>"1"</f>
        <v>1</v>
      </c>
      <c r="G154" t="str">
        <f>"7"</f>
        <v>7</v>
      </c>
      <c r="H154" t="str">
        <f t="shared" si="25"/>
        <v>1</v>
      </c>
      <c r="I154" s="2">
        <v>77227931.349999994</v>
      </c>
    </row>
    <row r="155" spans="1:9" x14ac:dyDescent="0.25">
      <c r="A155">
        <v>144</v>
      </c>
      <c r="B155" s="1">
        <v>45657</v>
      </c>
      <c r="C155">
        <v>31</v>
      </c>
      <c r="D155" t="str">
        <f>"1793"</f>
        <v>1793</v>
      </c>
      <c r="E155" t="str">
        <f>"Расходы будущих периодов"</f>
        <v>Расходы будущих периодов</v>
      </c>
      <c r="F155" t="str">
        <f>"2"</f>
        <v>2</v>
      </c>
      <c r="G155" t="str">
        <f>"7"</f>
        <v>7</v>
      </c>
      <c r="H155" t="str">
        <f t="shared" si="25"/>
        <v>1</v>
      </c>
      <c r="I155" s="2">
        <v>3228396.02</v>
      </c>
    </row>
    <row r="156" spans="1:9" x14ac:dyDescent="0.25">
      <c r="A156">
        <v>145</v>
      </c>
      <c r="B156" s="1">
        <v>45657</v>
      </c>
      <c r="C156">
        <v>31</v>
      </c>
      <c r="D156" t="str">
        <f>"1793"</f>
        <v>1793</v>
      </c>
      <c r="E156" t="str">
        <f>"Расходы будущих периодов"</f>
        <v>Расходы будущих периодов</v>
      </c>
      <c r="F156" t="str">
        <f>"1"</f>
        <v>1</v>
      </c>
      <c r="G156" t="str">
        <f>"9"</f>
        <v>9</v>
      </c>
      <c r="H156" t="str">
        <f t="shared" si="25"/>
        <v>1</v>
      </c>
      <c r="I156" s="2">
        <v>168000</v>
      </c>
    </row>
    <row r="157" spans="1:9" x14ac:dyDescent="0.25">
      <c r="A157">
        <v>146</v>
      </c>
      <c r="B157" s="1">
        <v>45657</v>
      </c>
      <c r="C157">
        <v>31</v>
      </c>
      <c r="D157" t="str">
        <f>"1825"</f>
        <v>1825</v>
      </c>
      <c r="E157" t="str">
        <f>"Начисленные комиссионные доходы за услуги по инкассации"</f>
        <v>Начисленные комиссионные доходы за услуги по инкассации</v>
      </c>
      <c r="F157" t="str">
        <f>"1"</f>
        <v>1</v>
      </c>
      <c r="G157" t="str">
        <f>""</f>
        <v/>
      </c>
      <c r="H157" t="str">
        <f t="shared" si="25"/>
        <v>1</v>
      </c>
      <c r="I157" s="2">
        <v>2251214.2999999998</v>
      </c>
    </row>
    <row r="158" spans="1:9" x14ac:dyDescent="0.25">
      <c r="A158">
        <v>147</v>
      </c>
      <c r="B158" s="1">
        <v>45657</v>
      </c>
      <c r="C158">
        <v>31</v>
      </c>
      <c r="D158" t="str">
        <f>"1831"</f>
        <v>1831</v>
      </c>
      <c r="E158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58" t="str">
        <f>"1"</f>
        <v>1</v>
      </c>
      <c r="G158" t="str">
        <f>""</f>
        <v/>
      </c>
      <c r="H158" t="str">
        <f t="shared" si="25"/>
        <v>1</v>
      </c>
      <c r="I158" s="2">
        <v>4646850.08</v>
      </c>
    </row>
    <row r="159" spans="1:9" x14ac:dyDescent="0.25">
      <c r="A159">
        <v>148</v>
      </c>
      <c r="B159" s="1">
        <v>45657</v>
      </c>
      <c r="C159">
        <v>31</v>
      </c>
      <c r="D159" t="str">
        <f>"1831"</f>
        <v>1831</v>
      </c>
      <c r="E159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159" t="str">
        <f>"2"</f>
        <v>2</v>
      </c>
      <c r="G159" t="str">
        <f>""</f>
        <v/>
      </c>
      <c r="H159" t="str">
        <f t="shared" si="25"/>
        <v>1</v>
      </c>
      <c r="I159" s="2">
        <v>450</v>
      </c>
    </row>
    <row r="160" spans="1:9" x14ac:dyDescent="0.25">
      <c r="A160">
        <v>149</v>
      </c>
      <c r="B160" s="1">
        <v>45657</v>
      </c>
      <c r="C160">
        <v>31</v>
      </c>
      <c r="D160" t="str">
        <f>"1834"</f>
        <v>1834</v>
      </c>
      <c r="E160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160" t="str">
        <f>"1"</f>
        <v>1</v>
      </c>
      <c r="G160" t="str">
        <f>""</f>
        <v/>
      </c>
      <c r="H160" t="str">
        <f t="shared" si="25"/>
        <v>1</v>
      </c>
      <c r="I160" s="2">
        <v>57604.47</v>
      </c>
    </row>
    <row r="161" spans="1:9" x14ac:dyDescent="0.25">
      <c r="A161">
        <v>150</v>
      </c>
      <c r="B161" s="1">
        <v>45657</v>
      </c>
      <c r="C161">
        <v>31</v>
      </c>
      <c r="D161" t="str">
        <f>"1835"</f>
        <v>1835</v>
      </c>
      <c r="E161" t="str">
        <f>"Просроченные комиссионные доходы за услуги по доверительным операциям"</f>
        <v>Просроченные комиссионные доходы за услуги по доверительным операциям</v>
      </c>
      <c r="F161" t="str">
        <f>"1"</f>
        <v>1</v>
      </c>
      <c r="G161" t="str">
        <f>""</f>
        <v/>
      </c>
      <c r="H161" t="str">
        <f t="shared" si="25"/>
        <v>1</v>
      </c>
      <c r="I161" s="2">
        <v>1247709.74</v>
      </c>
    </row>
    <row r="162" spans="1:9" x14ac:dyDescent="0.25">
      <c r="A162">
        <v>151</v>
      </c>
      <c r="B162" s="1">
        <v>45657</v>
      </c>
      <c r="C162">
        <v>31</v>
      </c>
      <c r="D162" t="str">
        <f>"1837"</f>
        <v>1837</v>
      </c>
      <c r="E16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62" t="str">
        <f>"1"</f>
        <v>1</v>
      </c>
      <c r="G162" t="str">
        <f>""</f>
        <v/>
      </c>
      <c r="H162" t="str">
        <f t="shared" si="25"/>
        <v>1</v>
      </c>
      <c r="I162" s="2">
        <v>55389686.25</v>
      </c>
    </row>
    <row r="163" spans="1:9" x14ac:dyDescent="0.25">
      <c r="A163">
        <v>152</v>
      </c>
      <c r="B163" s="1">
        <v>45657</v>
      </c>
      <c r="C163">
        <v>31</v>
      </c>
      <c r="D163" t="str">
        <f>"1837"</f>
        <v>1837</v>
      </c>
      <c r="E163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163" t="str">
        <f>"2"</f>
        <v>2</v>
      </c>
      <c r="G163" t="str">
        <f>""</f>
        <v/>
      </c>
      <c r="H163" t="str">
        <f t="shared" si="25"/>
        <v>1</v>
      </c>
      <c r="I163" s="2">
        <v>2207508.52</v>
      </c>
    </row>
    <row r="164" spans="1:9" x14ac:dyDescent="0.25">
      <c r="A164">
        <v>153</v>
      </c>
      <c r="B164" s="1">
        <v>45657</v>
      </c>
      <c r="C164">
        <v>31</v>
      </c>
      <c r="D164" t="str">
        <f>"1838"</f>
        <v>1838</v>
      </c>
      <c r="E164" t="str">
        <f>"Просроченные прочие комиссионные доходы"</f>
        <v>Просроченные прочие комиссионные доходы</v>
      </c>
      <c r="F164" t="str">
        <f>"1"</f>
        <v>1</v>
      </c>
      <c r="G164" t="str">
        <f>""</f>
        <v/>
      </c>
      <c r="H164" t="str">
        <f t="shared" si="25"/>
        <v>1</v>
      </c>
      <c r="I164" s="2">
        <v>13526801.189999999</v>
      </c>
    </row>
    <row r="165" spans="1:9" x14ac:dyDescent="0.25">
      <c r="A165">
        <v>154</v>
      </c>
      <c r="B165" s="1">
        <v>45657</v>
      </c>
      <c r="C165">
        <v>31</v>
      </c>
      <c r="D165" t="str">
        <f>"1838"</f>
        <v>1838</v>
      </c>
      <c r="E165" t="str">
        <f>"Просроченные прочие комиссионные доходы"</f>
        <v>Просроченные прочие комиссионные доходы</v>
      </c>
      <c r="F165" t="str">
        <f>"1"</f>
        <v>1</v>
      </c>
      <c r="G165" t="str">
        <f>""</f>
        <v/>
      </c>
      <c r="H165" t="str">
        <f>"2"</f>
        <v>2</v>
      </c>
      <c r="I165" s="2">
        <v>2932067.21</v>
      </c>
    </row>
    <row r="166" spans="1:9" x14ac:dyDescent="0.25">
      <c r="A166">
        <v>155</v>
      </c>
      <c r="B166" s="1">
        <v>45657</v>
      </c>
      <c r="C166">
        <v>31</v>
      </c>
      <c r="D166" t="str">
        <f>"1841"</f>
        <v>1841</v>
      </c>
      <c r="E166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66" t="str">
        <f>"1"</f>
        <v>1</v>
      </c>
      <c r="G166" t="str">
        <f>""</f>
        <v/>
      </c>
      <c r="H166" t="str">
        <f>"1"</f>
        <v>1</v>
      </c>
      <c r="I166" s="2">
        <v>954064.41</v>
      </c>
    </row>
    <row r="167" spans="1:9" x14ac:dyDescent="0.25">
      <c r="A167">
        <v>156</v>
      </c>
      <c r="B167" s="1">
        <v>45657</v>
      </c>
      <c r="C167">
        <v>31</v>
      </c>
      <c r="D167" t="str">
        <f>"1841"</f>
        <v>1841</v>
      </c>
      <c r="E167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167" t="str">
        <f>"2"</f>
        <v>2</v>
      </c>
      <c r="G167" t="str">
        <f>""</f>
        <v/>
      </c>
      <c r="H167" t="str">
        <f>"1"</f>
        <v>1</v>
      </c>
      <c r="I167" s="2">
        <v>21473.42</v>
      </c>
    </row>
    <row r="168" spans="1:9" x14ac:dyDescent="0.25">
      <c r="A168">
        <v>157</v>
      </c>
      <c r="B168" s="1">
        <v>45657</v>
      </c>
      <c r="C168">
        <v>31</v>
      </c>
      <c r="D168" t="str">
        <f>"1845"</f>
        <v>1845</v>
      </c>
      <c r="E16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8" t="str">
        <f>"1"</f>
        <v>1</v>
      </c>
      <c r="G168" t="str">
        <f>""</f>
        <v/>
      </c>
      <c r="H168" t="str">
        <f>"1"</f>
        <v>1</v>
      </c>
      <c r="I168" s="2">
        <v>-62651408.740000002</v>
      </c>
    </row>
    <row r="169" spans="1:9" x14ac:dyDescent="0.25">
      <c r="A169">
        <v>158</v>
      </c>
      <c r="B169" s="1">
        <v>45657</v>
      </c>
      <c r="C169">
        <v>31</v>
      </c>
      <c r="D169" t="str">
        <f>"1845"</f>
        <v>1845</v>
      </c>
      <c r="E16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69" t="str">
        <f>"2"</f>
        <v>2</v>
      </c>
      <c r="G169" t="str">
        <f>""</f>
        <v/>
      </c>
      <c r="H169" t="str">
        <f>"1"</f>
        <v>1</v>
      </c>
      <c r="I169" s="2">
        <v>-1967849.1</v>
      </c>
    </row>
    <row r="170" spans="1:9" x14ac:dyDescent="0.25">
      <c r="A170">
        <v>159</v>
      </c>
      <c r="B170" s="1">
        <v>45657</v>
      </c>
      <c r="C170">
        <v>31</v>
      </c>
      <c r="D170" t="str">
        <f>"1845"</f>
        <v>1845</v>
      </c>
      <c r="E17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170" t="str">
        <f>"1"</f>
        <v>1</v>
      </c>
      <c r="G170" t="str">
        <f>""</f>
        <v/>
      </c>
      <c r="H170" t="str">
        <f>"2"</f>
        <v>2</v>
      </c>
      <c r="I170" s="2">
        <v>-1419745.16</v>
      </c>
    </row>
    <row r="171" spans="1:9" x14ac:dyDescent="0.25">
      <c r="A171">
        <v>160</v>
      </c>
      <c r="B171" s="1">
        <v>45657</v>
      </c>
      <c r="C171">
        <v>31</v>
      </c>
      <c r="D171" t="str">
        <f>"1851"</f>
        <v>1851</v>
      </c>
      <c r="E17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71" t="str">
        <f>"1"</f>
        <v>1</v>
      </c>
      <c r="G171" t="str">
        <f>"1"</f>
        <v>1</v>
      </c>
      <c r="H171" t="str">
        <f>"1"</f>
        <v>1</v>
      </c>
      <c r="I171" s="2">
        <v>29836556.32</v>
      </c>
    </row>
    <row r="172" spans="1:9" x14ac:dyDescent="0.25">
      <c r="A172">
        <v>161</v>
      </c>
      <c r="B172" s="1">
        <v>45657</v>
      </c>
      <c r="C172">
        <v>31</v>
      </c>
      <c r="D172" t="str">
        <f>"1855"</f>
        <v>1855</v>
      </c>
      <c r="E172" t="str">
        <f>"Дебиторы по документарным расчетам"</f>
        <v>Дебиторы по документарным расчетам</v>
      </c>
      <c r="F172" t="str">
        <f>"2"</f>
        <v>2</v>
      </c>
      <c r="G172" t="str">
        <f>"4"</f>
        <v>4</v>
      </c>
      <c r="H172" t="str">
        <f>"2"</f>
        <v>2</v>
      </c>
      <c r="I172" s="2">
        <v>4029694140</v>
      </c>
    </row>
    <row r="173" spans="1:9" x14ac:dyDescent="0.25">
      <c r="A173">
        <v>162</v>
      </c>
      <c r="B173" s="1">
        <v>45657</v>
      </c>
      <c r="C173">
        <v>31</v>
      </c>
      <c r="D173" t="str">
        <f>"1856"</f>
        <v>1856</v>
      </c>
      <c r="E173" t="str">
        <f>"Дебиторы по капитальным вложениям"</f>
        <v>Дебиторы по капитальным вложениям</v>
      </c>
      <c r="F173" t="str">
        <f>"1"</f>
        <v>1</v>
      </c>
      <c r="G173" t="str">
        <f>"7"</f>
        <v>7</v>
      </c>
      <c r="H173" t="str">
        <f>"1"</f>
        <v>1</v>
      </c>
      <c r="I173" s="2">
        <v>105043282</v>
      </c>
    </row>
    <row r="174" spans="1:9" x14ac:dyDescent="0.25">
      <c r="A174">
        <v>163</v>
      </c>
      <c r="B174" s="1">
        <v>45657</v>
      </c>
      <c r="C174">
        <v>31</v>
      </c>
      <c r="D174" t="str">
        <f>"1856"</f>
        <v>1856</v>
      </c>
      <c r="E174" t="str">
        <f>"Дебиторы по капитальным вложениям"</f>
        <v>Дебиторы по капитальным вложениям</v>
      </c>
      <c r="F174" t="str">
        <f>"2"</f>
        <v>2</v>
      </c>
      <c r="G174" t="str">
        <f>"7"</f>
        <v>7</v>
      </c>
      <c r="H174" t="str">
        <f>"1"</f>
        <v>1</v>
      </c>
      <c r="I174" s="2">
        <v>88680695.840000004</v>
      </c>
    </row>
    <row r="175" spans="1:9" x14ac:dyDescent="0.25">
      <c r="A175">
        <v>164</v>
      </c>
      <c r="B175" s="1">
        <v>45657</v>
      </c>
      <c r="C175">
        <v>31</v>
      </c>
      <c r="D175" t="str">
        <f>"1857"</f>
        <v>1857</v>
      </c>
      <c r="E175" t="str">
        <f>"Отложенные налоговые активы"</f>
        <v>Отложенные налоговые активы</v>
      </c>
      <c r="F175" t="str">
        <f>""</f>
        <v/>
      </c>
      <c r="G175" t="str">
        <f>""</f>
        <v/>
      </c>
      <c r="H175" t="str">
        <f>""</f>
        <v/>
      </c>
      <c r="I175" s="2">
        <v>4149233286.0999999</v>
      </c>
    </row>
    <row r="176" spans="1:9" x14ac:dyDescent="0.25">
      <c r="A176">
        <v>165</v>
      </c>
      <c r="B176" s="1">
        <v>45657</v>
      </c>
      <c r="C176">
        <v>31</v>
      </c>
      <c r="D176" t="str">
        <f t="shared" ref="D176:D187" si="26">"1860"</f>
        <v>1860</v>
      </c>
      <c r="E176" t="str">
        <f t="shared" ref="E176:E187" si="27">"Прочие дебиторы по банковской деятельности"</f>
        <v>Прочие дебиторы по банковской деятельности</v>
      </c>
      <c r="F176" t="str">
        <f t="shared" ref="F176:F181" si="28">"1"</f>
        <v>1</v>
      </c>
      <c r="G176" t="str">
        <f>"4"</f>
        <v>4</v>
      </c>
      <c r="H176" t="str">
        <f>"1"</f>
        <v>1</v>
      </c>
      <c r="I176" s="2">
        <v>143268974.05000001</v>
      </c>
    </row>
    <row r="177" spans="1:9" x14ac:dyDescent="0.25">
      <c r="A177">
        <v>166</v>
      </c>
      <c r="B177" s="1">
        <v>45657</v>
      </c>
      <c r="C177">
        <v>31</v>
      </c>
      <c r="D177" t="str">
        <f t="shared" si="26"/>
        <v>1860</v>
      </c>
      <c r="E177" t="str">
        <f t="shared" si="27"/>
        <v>Прочие дебиторы по банковской деятельности</v>
      </c>
      <c r="F177" t="str">
        <f t="shared" si="28"/>
        <v>1</v>
      </c>
      <c r="G177" t="str">
        <f>"4"</f>
        <v>4</v>
      </c>
      <c r="H177" t="str">
        <f>"2"</f>
        <v>2</v>
      </c>
      <c r="I177" s="2">
        <v>26515523.969999999</v>
      </c>
    </row>
    <row r="178" spans="1:9" x14ac:dyDescent="0.25">
      <c r="A178">
        <v>167</v>
      </c>
      <c r="B178" s="1">
        <v>45657</v>
      </c>
      <c r="C178">
        <v>31</v>
      </c>
      <c r="D178" t="str">
        <f t="shared" si="26"/>
        <v>1860</v>
      </c>
      <c r="E178" t="str">
        <f t="shared" si="27"/>
        <v>Прочие дебиторы по банковской деятельности</v>
      </c>
      <c r="F178" t="str">
        <f t="shared" si="28"/>
        <v>1</v>
      </c>
      <c r="G178" t="str">
        <f>"5"</f>
        <v>5</v>
      </c>
      <c r="H178" t="str">
        <f>"1"</f>
        <v>1</v>
      </c>
      <c r="I178" s="2">
        <v>12370469.84</v>
      </c>
    </row>
    <row r="179" spans="1:9" x14ac:dyDescent="0.25">
      <c r="A179">
        <v>168</v>
      </c>
      <c r="B179" s="1">
        <v>45657</v>
      </c>
      <c r="C179">
        <v>31</v>
      </c>
      <c r="D179" t="str">
        <f t="shared" si="26"/>
        <v>1860</v>
      </c>
      <c r="E179" t="str">
        <f t="shared" si="27"/>
        <v>Прочие дебиторы по банковской деятельности</v>
      </c>
      <c r="F179" t="str">
        <f t="shared" si="28"/>
        <v>1</v>
      </c>
      <c r="G179" t="str">
        <f>"6"</f>
        <v>6</v>
      </c>
      <c r="H179" t="str">
        <f>"1"</f>
        <v>1</v>
      </c>
      <c r="I179" s="2">
        <v>7864</v>
      </c>
    </row>
    <row r="180" spans="1:9" x14ac:dyDescent="0.25">
      <c r="A180">
        <v>169</v>
      </c>
      <c r="B180" s="1">
        <v>45657</v>
      </c>
      <c r="C180">
        <v>31</v>
      </c>
      <c r="D180" t="str">
        <f t="shared" si="26"/>
        <v>1860</v>
      </c>
      <c r="E180" t="str">
        <f t="shared" si="27"/>
        <v>Прочие дебиторы по банковской деятельности</v>
      </c>
      <c r="F180" t="str">
        <f t="shared" si="28"/>
        <v>1</v>
      </c>
      <c r="G180" t="str">
        <f>"7"</f>
        <v>7</v>
      </c>
      <c r="H180" t="str">
        <f>"1"</f>
        <v>1</v>
      </c>
      <c r="I180" s="2">
        <v>803059505.63</v>
      </c>
    </row>
    <row r="181" spans="1:9" x14ac:dyDescent="0.25">
      <c r="A181">
        <v>170</v>
      </c>
      <c r="B181" s="1">
        <v>45657</v>
      </c>
      <c r="C181">
        <v>31</v>
      </c>
      <c r="D181" t="str">
        <f t="shared" si="26"/>
        <v>1860</v>
      </c>
      <c r="E181" t="str">
        <f t="shared" si="27"/>
        <v>Прочие дебиторы по банковской деятельности</v>
      </c>
      <c r="F181" t="str">
        <f t="shared" si="28"/>
        <v>1</v>
      </c>
      <c r="G181" t="str">
        <f>"9"</f>
        <v>9</v>
      </c>
      <c r="H181" t="str">
        <f>"1"</f>
        <v>1</v>
      </c>
      <c r="I181" s="2">
        <v>1140180792.22</v>
      </c>
    </row>
    <row r="182" spans="1:9" x14ac:dyDescent="0.25">
      <c r="A182">
        <v>171</v>
      </c>
      <c r="B182" s="1">
        <v>45657</v>
      </c>
      <c r="C182">
        <v>31</v>
      </c>
      <c r="D182" t="str">
        <f t="shared" si="26"/>
        <v>1860</v>
      </c>
      <c r="E182" t="str">
        <f t="shared" si="27"/>
        <v>Прочие дебиторы по банковской деятельности</v>
      </c>
      <c r="F182" t="str">
        <f>"2"</f>
        <v>2</v>
      </c>
      <c r="G182" t="str">
        <f>"9"</f>
        <v>9</v>
      </c>
      <c r="H182" t="str">
        <f>"2"</f>
        <v>2</v>
      </c>
      <c r="I182" s="2">
        <v>935016.69</v>
      </c>
    </row>
    <row r="183" spans="1:9" x14ac:dyDescent="0.25">
      <c r="A183">
        <v>172</v>
      </c>
      <c r="B183" s="1">
        <v>45657</v>
      </c>
      <c r="C183">
        <v>31</v>
      </c>
      <c r="D183" t="str">
        <f t="shared" si="26"/>
        <v>1860</v>
      </c>
      <c r="E183" t="str">
        <f t="shared" si="27"/>
        <v>Прочие дебиторы по банковской деятельности</v>
      </c>
      <c r="F183" t="str">
        <f>"1"</f>
        <v>1</v>
      </c>
      <c r="G183" t="str">
        <f>"9"</f>
        <v>9</v>
      </c>
      <c r="H183" t="str">
        <f>"2"</f>
        <v>2</v>
      </c>
      <c r="I183" s="2">
        <v>6357984.6200000001</v>
      </c>
    </row>
    <row r="184" spans="1:9" x14ac:dyDescent="0.25">
      <c r="A184">
        <v>173</v>
      </c>
      <c r="B184" s="1">
        <v>45657</v>
      </c>
      <c r="C184">
        <v>31</v>
      </c>
      <c r="D184" t="str">
        <f t="shared" si="26"/>
        <v>1860</v>
      </c>
      <c r="E184" t="str">
        <f t="shared" si="27"/>
        <v>Прочие дебиторы по банковской деятельности</v>
      </c>
      <c r="F184" t="str">
        <f>"2"</f>
        <v>2</v>
      </c>
      <c r="G184" t="str">
        <f>"5"</f>
        <v>5</v>
      </c>
      <c r="H184" t="str">
        <f>"2"</f>
        <v>2</v>
      </c>
      <c r="I184" s="2">
        <v>880303031.82000005</v>
      </c>
    </row>
    <row r="185" spans="1:9" x14ac:dyDescent="0.25">
      <c r="A185">
        <v>174</v>
      </c>
      <c r="B185" s="1">
        <v>45657</v>
      </c>
      <c r="C185">
        <v>31</v>
      </c>
      <c r="D185" t="str">
        <f t="shared" si="26"/>
        <v>1860</v>
      </c>
      <c r="E185" t="str">
        <f t="shared" si="27"/>
        <v>Прочие дебиторы по банковской деятельности</v>
      </c>
      <c r="F185" t="str">
        <f>"2"</f>
        <v>2</v>
      </c>
      <c r="G185" t="str">
        <f>"5"</f>
        <v>5</v>
      </c>
      <c r="H185" t="str">
        <f>"1"</f>
        <v>1</v>
      </c>
      <c r="I185" s="2">
        <v>195640676.59</v>
      </c>
    </row>
    <row r="186" spans="1:9" x14ac:dyDescent="0.25">
      <c r="A186">
        <v>175</v>
      </c>
      <c r="B186" s="1">
        <v>45657</v>
      </c>
      <c r="C186">
        <v>31</v>
      </c>
      <c r="D186" t="str">
        <f t="shared" si="26"/>
        <v>1860</v>
      </c>
      <c r="E186" t="str">
        <f t="shared" si="27"/>
        <v>Прочие дебиторы по банковской деятельности</v>
      </c>
      <c r="F186" t="str">
        <f>"2"</f>
        <v>2</v>
      </c>
      <c r="G186" t="str">
        <f>"7"</f>
        <v>7</v>
      </c>
      <c r="H186" t="str">
        <f>"3"</f>
        <v>3</v>
      </c>
      <c r="I186" s="2">
        <v>7485398.8600000003</v>
      </c>
    </row>
    <row r="187" spans="1:9" x14ac:dyDescent="0.25">
      <c r="A187">
        <v>176</v>
      </c>
      <c r="B187" s="1">
        <v>45657</v>
      </c>
      <c r="C187">
        <v>31</v>
      </c>
      <c r="D187" t="str">
        <f t="shared" si="26"/>
        <v>1860</v>
      </c>
      <c r="E187" t="str">
        <f t="shared" si="27"/>
        <v>Прочие дебиторы по банковской деятельности</v>
      </c>
      <c r="F187" t="str">
        <f>"2"</f>
        <v>2</v>
      </c>
      <c r="G187" t="str">
        <f>"5"</f>
        <v>5</v>
      </c>
      <c r="H187" t="str">
        <f>"3"</f>
        <v>3</v>
      </c>
      <c r="I187" s="2">
        <v>144593986.71000001</v>
      </c>
    </row>
    <row r="188" spans="1:9" x14ac:dyDescent="0.25">
      <c r="A188">
        <v>177</v>
      </c>
      <c r="B188" s="1">
        <v>45657</v>
      </c>
      <c r="C188">
        <v>31</v>
      </c>
      <c r="D188" t="str">
        <f>"1861"</f>
        <v>1861</v>
      </c>
      <c r="E188" t="str">
        <f>"Дебиторы по гарантиям"</f>
        <v>Дебиторы по гарантиям</v>
      </c>
      <c r="F188" t="str">
        <f>"1"</f>
        <v>1</v>
      </c>
      <c r="G188" t="str">
        <f>"7"</f>
        <v>7</v>
      </c>
      <c r="H188" t="str">
        <f>"1"</f>
        <v>1</v>
      </c>
      <c r="I188" s="2">
        <v>1412116962.78</v>
      </c>
    </row>
    <row r="189" spans="1:9" x14ac:dyDescent="0.25">
      <c r="A189">
        <v>178</v>
      </c>
      <c r="B189" s="1">
        <v>45657</v>
      </c>
      <c r="C189">
        <v>31</v>
      </c>
      <c r="D189" t="str">
        <f>"1861"</f>
        <v>1861</v>
      </c>
      <c r="E189" t="str">
        <f>"Дебиторы по гарантиям"</f>
        <v>Дебиторы по гарантиям</v>
      </c>
      <c r="F189" t="str">
        <f>"1"</f>
        <v>1</v>
      </c>
      <c r="G189" t="str">
        <f>"7"</f>
        <v>7</v>
      </c>
      <c r="H189" t="str">
        <f>"2"</f>
        <v>2</v>
      </c>
      <c r="I189" s="2">
        <v>4258132.74</v>
      </c>
    </row>
    <row r="190" spans="1:9" x14ac:dyDescent="0.25">
      <c r="A190">
        <v>179</v>
      </c>
      <c r="B190" s="1">
        <v>45657</v>
      </c>
      <c r="C190">
        <v>31</v>
      </c>
      <c r="D190" t="str">
        <f>"1861"</f>
        <v>1861</v>
      </c>
      <c r="E190" t="str">
        <f>"Дебиторы по гарантиям"</f>
        <v>Дебиторы по гарантиям</v>
      </c>
      <c r="F190" t="str">
        <f>"1"</f>
        <v>1</v>
      </c>
      <c r="G190" t="str">
        <f>"7"</f>
        <v>7</v>
      </c>
      <c r="H190" t="str">
        <f>"3"</f>
        <v>3</v>
      </c>
      <c r="I190" s="2">
        <v>951600</v>
      </c>
    </row>
    <row r="191" spans="1:9" x14ac:dyDescent="0.25">
      <c r="A191">
        <v>180</v>
      </c>
      <c r="B191" s="1">
        <v>45657</v>
      </c>
      <c r="C191">
        <v>31</v>
      </c>
      <c r="D191" t="str">
        <f>"1861"</f>
        <v>1861</v>
      </c>
      <c r="E191" t="str">
        <f>"Дебиторы по гарантиям"</f>
        <v>Дебиторы по гарантиям</v>
      </c>
      <c r="F191" t="str">
        <f>"1"</f>
        <v>1</v>
      </c>
      <c r="G191" t="str">
        <f>"9"</f>
        <v>9</v>
      </c>
      <c r="H191" t="str">
        <f>"1"</f>
        <v>1</v>
      </c>
      <c r="I191" s="2">
        <v>365116.81</v>
      </c>
    </row>
    <row r="192" spans="1:9" x14ac:dyDescent="0.25">
      <c r="A192">
        <v>181</v>
      </c>
      <c r="B192" s="1">
        <v>45657</v>
      </c>
      <c r="C192">
        <v>31</v>
      </c>
      <c r="D192" t="str">
        <f>"1861"</f>
        <v>1861</v>
      </c>
      <c r="E192" t="str">
        <f>"Дебиторы по гарантиям"</f>
        <v>Дебиторы по гарантиям</v>
      </c>
      <c r="F192" t="str">
        <f>"2"</f>
        <v>2</v>
      </c>
      <c r="G192" t="str">
        <f>"4"</f>
        <v>4</v>
      </c>
      <c r="H192" t="str">
        <f>"2"</f>
        <v>2</v>
      </c>
      <c r="I192" s="2">
        <v>1465522.37</v>
      </c>
    </row>
    <row r="193" spans="1:9" x14ac:dyDescent="0.25">
      <c r="A193">
        <v>182</v>
      </c>
      <c r="B193" s="1">
        <v>45657</v>
      </c>
      <c r="C193">
        <v>31</v>
      </c>
      <c r="D193" t="str">
        <f t="shared" ref="D193:D199" si="29">"1867"</f>
        <v>1867</v>
      </c>
      <c r="E193" t="str">
        <f t="shared" ref="E193:E199" si="30">"Прочие дебиторы по неосновной деятельности"</f>
        <v>Прочие дебиторы по неосновной деятельности</v>
      </c>
      <c r="F193" t="str">
        <f>"1"</f>
        <v>1</v>
      </c>
      <c r="G193" t="str">
        <f>"7"</f>
        <v>7</v>
      </c>
      <c r="H193" t="str">
        <f t="shared" ref="H193:H200" si="31">"1"</f>
        <v>1</v>
      </c>
      <c r="I193" s="2">
        <v>234730078.34999999</v>
      </c>
    </row>
    <row r="194" spans="1:9" x14ac:dyDescent="0.25">
      <c r="A194">
        <v>183</v>
      </c>
      <c r="B194" s="1">
        <v>45657</v>
      </c>
      <c r="C194">
        <v>31</v>
      </c>
      <c r="D194" t="str">
        <f t="shared" si="29"/>
        <v>1867</v>
      </c>
      <c r="E194" t="str">
        <f t="shared" si="30"/>
        <v>Прочие дебиторы по неосновной деятельности</v>
      </c>
      <c r="F194" t="str">
        <f>"1"</f>
        <v>1</v>
      </c>
      <c r="G194" t="str">
        <f>"1"</f>
        <v>1</v>
      </c>
      <c r="H194" t="str">
        <f t="shared" si="31"/>
        <v>1</v>
      </c>
      <c r="I194" s="2">
        <v>4824836.84</v>
      </c>
    </row>
    <row r="195" spans="1:9" x14ac:dyDescent="0.25">
      <c r="A195">
        <v>184</v>
      </c>
      <c r="B195" s="1">
        <v>45657</v>
      </c>
      <c r="C195">
        <v>31</v>
      </c>
      <c r="D195" t="str">
        <f t="shared" si="29"/>
        <v>1867</v>
      </c>
      <c r="E195" t="str">
        <f t="shared" si="30"/>
        <v>Прочие дебиторы по неосновной деятельности</v>
      </c>
      <c r="F195" t="str">
        <f>"1"</f>
        <v>1</v>
      </c>
      <c r="G195" t="str">
        <f>"6"</f>
        <v>6</v>
      </c>
      <c r="H195" t="str">
        <f t="shared" si="31"/>
        <v>1</v>
      </c>
      <c r="I195" s="2">
        <v>1386190</v>
      </c>
    </row>
    <row r="196" spans="1:9" x14ac:dyDescent="0.25">
      <c r="A196">
        <v>185</v>
      </c>
      <c r="B196" s="1">
        <v>45657</v>
      </c>
      <c r="C196">
        <v>31</v>
      </c>
      <c r="D196" t="str">
        <f t="shared" si="29"/>
        <v>1867</v>
      </c>
      <c r="E196" t="str">
        <f t="shared" si="30"/>
        <v>Прочие дебиторы по неосновной деятельности</v>
      </c>
      <c r="F196" t="str">
        <f>"1"</f>
        <v>1</v>
      </c>
      <c r="G196" t="str">
        <f>"5"</f>
        <v>5</v>
      </c>
      <c r="H196" t="str">
        <f t="shared" si="31"/>
        <v>1</v>
      </c>
      <c r="I196" s="2">
        <v>4790837.6500000004</v>
      </c>
    </row>
    <row r="197" spans="1:9" x14ac:dyDescent="0.25">
      <c r="A197">
        <v>186</v>
      </c>
      <c r="B197" s="1">
        <v>45657</v>
      </c>
      <c r="C197">
        <v>31</v>
      </c>
      <c r="D197" t="str">
        <f t="shared" si="29"/>
        <v>1867</v>
      </c>
      <c r="E197" t="str">
        <f t="shared" si="30"/>
        <v>Прочие дебиторы по неосновной деятельности</v>
      </c>
      <c r="F197" t="str">
        <f>"1"</f>
        <v>1</v>
      </c>
      <c r="G197" t="str">
        <f>"8"</f>
        <v>8</v>
      </c>
      <c r="H197" t="str">
        <f t="shared" si="31"/>
        <v>1</v>
      </c>
      <c r="I197" s="2">
        <v>3502666.67</v>
      </c>
    </row>
    <row r="198" spans="1:9" x14ac:dyDescent="0.25">
      <c r="A198">
        <v>187</v>
      </c>
      <c r="B198" s="1">
        <v>45657</v>
      </c>
      <c r="C198">
        <v>31</v>
      </c>
      <c r="D198" t="str">
        <f t="shared" si="29"/>
        <v>1867</v>
      </c>
      <c r="E198" t="str">
        <f t="shared" si="30"/>
        <v>Прочие дебиторы по неосновной деятельности</v>
      </c>
      <c r="F198" t="str">
        <f>"2"</f>
        <v>2</v>
      </c>
      <c r="G198" t="str">
        <f>"7"</f>
        <v>7</v>
      </c>
      <c r="H198" t="str">
        <f t="shared" si="31"/>
        <v>1</v>
      </c>
      <c r="I198" s="2">
        <v>88036280.480000004</v>
      </c>
    </row>
    <row r="199" spans="1:9" x14ac:dyDescent="0.25">
      <c r="A199">
        <v>188</v>
      </c>
      <c r="B199" s="1">
        <v>45657</v>
      </c>
      <c r="C199">
        <v>31</v>
      </c>
      <c r="D199" t="str">
        <f t="shared" si="29"/>
        <v>1867</v>
      </c>
      <c r="E199" t="str">
        <f t="shared" si="30"/>
        <v>Прочие дебиторы по неосновной деятельности</v>
      </c>
      <c r="F199" t="str">
        <f>"1"</f>
        <v>1</v>
      </c>
      <c r="G199" t="str">
        <f>"9"</f>
        <v>9</v>
      </c>
      <c r="H199" t="str">
        <f t="shared" si="31"/>
        <v>1</v>
      </c>
      <c r="I199" s="2">
        <v>57415415</v>
      </c>
    </row>
    <row r="200" spans="1:9" x14ac:dyDescent="0.25">
      <c r="A200">
        <v>189</v>
      </c>
      <c r="B200" s="1">
        <v>45657</v>
      </c>
      <c r="C200">
        <v>31</v>
      </c>
      <c r="D200" t="str">
        <f>"1870"</f>
        <v>1870</v>
      </c>
      <c r="E200" t="str">
        <f>"Прочие транзитные счета"</f>
        <v>Прочие транзитные счета</v>
      </c>
      <c r="F200" t="str">
        <f>"1"</f>
        <v>1</v>
      </c>
      <c r="G200" t="str">
        <f>"4"</f>
        <v>4</v>
      </c>
      <c r="H200" t="str">
        <f t="shared" si="31"/>
        <v>1</v>
      </c>
      <c r="I200" s="2">
        <v>10247185.4</v>
      </c>
    </row>
    <row r="201" spans="1:9" x14ac:dyDescent="0.25">
      <c r="A201">
        <v>190</v>
      </c>
      <c r="B201" s="1">
        <v>45657</v>
      </c>
      <c r="C201">
        <v>31</v>
      </c>
      <c r="D201" t="str">
        <f>"1870"</f>
        <v>1870</v>
      </c>
      <c r="E201" t="str">
        <f>"Прочие транзитные счета"</f>
        <v>Прочие транзитные счета</v>
      </c>
      <c r="F201" t="str">
        <f>"1"</f>
        <v>1</v>
      </c>
      <c r="G201" t="str">
        <f>"4"</f>
        <v>4</v>
      </c>
      <c r="H201" t="str">
        <f>"2"</f>
        <v>2</v>
      </c>
      <c r="I201" s="2">
        <v>273370</v>
      </c>
    </row>
    <row r="202" spans="1:9" x14ac:dyDescent="0.25">
      <c r="A202">
        <v>191</v>
      </c>
      <c r="B202" s="1">
        <v>45657</v>
      </c>
      <c r="C202">
        <v>31</v>
      </c>
      <c r="D202" t="str">
        <f>"1870"</f>
        <v>1870</v>
      </c>
      <c r="E202" t="str">
        <f>"Прочие транзитные счета"</f>
        <v>Прочие транзитные счета</v>
      </c>
      <c r="F202" t="str">
        <f>"1"</f>
        <v>1</v>
      </c>
      <c r="G202" t="str">
        <f>"5"</f>
        <v>5</v>
      </c>
      <c r="H202" t="str">
        <f>"1"</f>
        <v>1</v>
      </c>
      <c r="I202" s="2">
        <v>35740469.159999996</v>
      </c>
    </row>
    <row r="203" spans="1:9" x14ac:dyDescent="0.25">
      <c r="A203">
        <v>192</v>
      </c>
      <c r="B203" s="1">
        <v>45657</v>
      </c>
      <c r="C203">
        <v>31</v>
      </c>
      <c r="D203" t="str">
        <f>"1870"</f>
        <v>1870</v>
      </c>
      <c r="E203" t="str">
        <f>"Прочие транзитные счета"</f>
        <v>Прочие транзитные счета</v>
      </c>
      <c r="F203" t="str">
        <f>"2"</f>
        <v>2</v>
      </c>
      <c r="G203" t="str">
        <f>"5"</f>
        <v>5</v>
      </c>
      <c r="H203" t="str">
        <f>"1"</f>
        <v>1</v>
      </c>
      <c r="I203" s="2">
        <v>1668405348.21</v>
      </c>
    </row>
    <row r="204" spans="1:9" x14ac:dyDescent="0.25">
      <c r="A204">
        <v>193</v>
      </c>
      <c r="B204" s="1">
        <v>45657</v>
      </c>
      <c r="C204">
        <v>31</v>
      </c>
      <c r="D204" t="str">
        <f>"1870"</f>
        <v>1870</v>
      </c>
      <c r="E204" t="str">
        <f>"Прочие транзитные счета"</f>
        <v>Прочие транзитные счета</v>
      </c>
      <c r="F204" t="str">
        <f>"2"</f>
        <v>2</v>
      </c>
      <c r="G204" t="str">
        <f>"5"</f>
        <v>5</v>
      </c>
      <c r="H204" t="str">
        <f>"2"</f>
        <v>2</v>
      </c>
      <c r="I204" s="2">
        <v>31594436.260000002</v>
      </c>
    </row>
    <row r="205" spans="1:9" x14ac:dyDescent="0.25">
      <c r="A205">
        <v>194</v>
      </c>
      <c r="B205" s="1">
        <v>45657</v>
      </c>
      <c r="C205">
        <v>31</v>
      </c>
      <c r="D205" t="str">
        <f t="shared" ref="D205:D216" si="32">"1877"</f>
        <v>1877</v>
      </c>
      <c r="E205" t="str">
        <f t="shared" ref="E205:E216" si="33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205" t="str">
        <f t="shared" ref="F205:F212" si="34">"1"</f>
        <v>1</v>
      </c>
      <c r="G205" t="str">
        <f>"4"</f>
        <v>4</v>
      </c>
      <c r="H205" t="str">
        <f>"2"</f>
        <v>2</v>
      </c>
      <c r="I205" s="2">
        <v>-26279129.949999999</v>
      </c>
    </row>
    <row r="206" spans="1:9" x14ac:dyDescent="0.25">
      <c r="A206">
        <v>195</v>
      </c>
      <c r="B206" s="1">
        <v>45657</v>
      </c>
      <c r="C206">
        <v>31</v>
      </c>
      <c r="D206" t="str">
        <f t="shared" si="32"/>
        <v>1877</v>
      </c>
      <c r="E206" t="str">
        <f t="shared" si="33"/>
        <v>Резервы (провизии) по дебиторской задолженности, связанной с банковской деятельностью</v>
      </c>
      <c r="F206" t="str">
        <f t="shared" si="34"/>
        <v>1</v>
      </c>
      <c r="G206" t="str">
        <f>"6"</f>
        <v>6</v>
      </c>
      <c r="H206" t="str">
        <f>"1"</f>
        <v>1</v>
      </c>
      <c r="I206" s="2">
        <v>-7864</v>
      </c>
    </row>
    <row r="207" spans="1:9" x14ac:dyDescent="0.25">
      <c r="A207">
        <v>196</v>
      </c>
      <c r="B207" s="1">
        <v>45657</v>
      </c>
      <c r="C207">
        <v>31</v>
      </c>
      <c r="D207" t="str">
        <f t="shared" si="32"/>
        <v>1877</v>
      </c>
      <c r="E207" t="str">
        <f t="shared" si="33"/>
        <v>Резервы (провизии) по дебиторской задолженности, связанной с банковской деятельностью</v>
      </c>
      <c r="F207" t="str">
        <f t="shared" si="34"/>
        <v>1</v>
      </c>
      <c r="G207" t="str">
        <f>"7"</f>
        <v>7</v>
      </c>
      <c r="H207" t="str">
        <f>"2"</f>
        <v>2</v>
      </c>
      <c r="I207" s="2">
        <v>-88843.36</v>
      </c>
    </row>
    <row r="208" spans="1:9" x14ac:dyDescent="0.25">
      <c r="A208">
        <v>197</v>
      </c>
      <c r="B208" s="1">
        <v>45657</v>
      </c>
      <c r="C208">
        <v>31</v>
      </c>
      <c r="D208" t="str">
        <f t="shared" si="32"/>
        <v>1877</v>
      </c>
      <c r="E208" t="str">
        <f t="shared" si="33"/>
        <v>Резервы (провизии) по дебиторской задолженности, связанной с банковской деятельностью</v>
      </c>
      <c r="F208" t="str">
        <f t="shared" si="34"/>
        <v>1</v>
      </c>
      <c r="G208" t="str">
        <f>"7"</f>
        <v>7</v>
      </c>
      <c r="H208" t="str">
        <f>"1"</f>
        <v>1</v>
      </c>
      <c r="I208" s="2">
        <v>-647503595.86000001</v>
      </c>
    </row>
    <row r="209" spans="1:9" x14ac:dyDescent="0.25">
      <c r="A209">
        <v>198</v>
      </c>
      <c r="B209" s="1">
        <v>45657</v>
      </c>
      <c r="C209">
        <v>31</v>
      </c>
      <c r="D209" t="str">
        <f t="shared" si="32"/>
        <v>1877</v>
      </c>
      <c r="E209" t="str">
        <f t="shared" si="33"/>
        <v>Резервы (провизии) по дебиторской задолженности, связанной с банковской деятельностью</v>
      </c>
      <c r="F209" t="str">
        <f t="shared" si="34"/>
        <v>1</v>
      </c>
      <c r="G209" t="str">
        <f>"9"</f>
        <v>9</v>
      </c>
      <c r="H209" t="str">
        <f>"1"</f>
        <v>1</v>
      </c>
      <c r="I209" s="2">
        <v>-1038640974.76</v>
      </c>
    </row>
    <row r="210" spans="1:9" x14ac:dyDescent="0.25">
      <c r="A210">
        <v>199</v>
      </c>
      <c r="B210" s="1">
        <v>45657</v>
      </c>
      <c r="C210">
        <v>31</v>
      </c>
      <c r="D210" t="str">
        <f t="shared" si="32"/>
        <v>1877</v>
      </c>
      <c r="E210" t="str">
        <f t="shared" si="33"/>
        <v>Резервы (провизии) по дебиторской задолженности, связанной с банковской деятельностью</v>
      </c>
      <c r="F210" t="str">
        <f t="shared" si="34"/>
        <v>1</v>
      </c>
      <c r="G210" t="str">
        <f>"9"</f>
        <v>9</v>
      </c>
      <c r="H210" t="str">
        <f>"2"</f>
        <v>2</v>
      </c>
      <c r="I210" s="2">
        <v>-6366386.3799999999</v>
      </c>
    </row>
    <row r="211" spans="1:9" x14ac:dyDescent="0.25">
      <c r="A211">
        <v>200</v>
      </c>
      <c r="B211" s="1">
        <v>45657</v>
      </c>
      <c r="C211">
        <v>31</v>
      </c>
      <c r="D211" t="str">
        <f t="shared" si="32"/>
        <v>1877</v>
      </c>
      <c r="E211" t="str">
        <f t="shared" si="33"/>
        <v>Резервы (провизии) по дебиторской задолженности, связанной с банковской деятельностью</v>
      </c>
      <c r="F211" t="str">
        <f t="shared" si="34"/>
        <v>1</v>
      </c>
      <c r="G211" t="str">
        <f>"7"</f>
        <v>7</v>
      </c>
      <c r="H211" t="str">
        <f>"3"</f>
        <v>3</v>
      </c>
      <c r="I211" s="2">
        <v>-19854.23</v>
      </c>
    </row>
    <row r="212" spans="1:9" x14ac:dyDescent="0.25">
      <c r="A212">
        <v>201</v>
      </c>
      <c r="B212" s="1">
        <v>45657</v>
      </c>
      <c r="C212">
        <v>31</v>
      </c>
      <c r="D212" t="str">
        <f t="shared" si="32"/>
        <v>1877</v>
      </c>
      <c r="E212" t="str">
        <f t="shared" si="33"/>
        <v>Резервы (провизии) по дебиторской задолженности, связанной с банковской деятельностью</v>
      </c>
      <c r="F212" t="str">
        <f t="shared" si="34"/>
        <v>1</v>
      </c>
      <c r="G212" t="str">
        <f>"5"</f>
        <v>5</v>
      </c>
      <c r="H212" t="str">
        <f>"1"</f>
        <v>1</v>
      </c>
      <c r="I212" s="2">
        <v>-8006229.9199999999</v>
      </c>
    </row>
    <row r="213" spans="1:9" x14ac:dyDescent="0.25">
      <c r="A213">
        <v>202</v>
      </c>
      <c r="B213" s="1">
        <v>45657</v>
      </c>
      <c r="C213">
        <v>31</v>
      </c>
      <c r="D213" t="str">
        <f t="shared" si="32"/>
        <v>1877</v>
      </c>
      <c r="E213" t="str">
        <f t="shared" si="33"/>
        <v>Резервы (провизии) по дебиторской задолженности, связанной с банковской деятельностью</v>
      </c>
      <c r="F213" t="str">
        <f>"2"</f>
        <v>2</v>
      </c>
      <c r="G213" t="str">
        <f>"4"</f>
        <v>4</v>
      </c>
      <c r="H213" t="str">
        <f>"2"</f>
        <v>2</v>
      </c>
      <c r="I213" s="2">
        <v>-30577.17</v>
      </c>
    </row>
    <row r="214" spans="1:9" x14ac:dyDescent="0.25">
      <c r="A214">
        <v>203</v>
      </c>
      <c r="B214" s="1">
        <v>45657</v>
      </c>
      <c r="C214">
        <v>31</v>
      </c>
      <c r="D214" t="str">
        <f t="shared" si="32"/>
        <v>1877</v>
      </c>
      <c r="E214" t="str">
        <f t="shared" si="33"/>
        <v>Резервы (провизии) по дебиторской задолженности, связанной с банковской деятельностью</v>
      </c>
      <c r="F214" t="str">
        <f>"2"</f>
        <v>2</v>
      </c>
      <c r="G214" t="str">
        <f>"7"</f>
        <v>7</v>
      </c>
      <c r="H214" t="str">
        <f>"3"</f>
        <v>3</v>
      </c>
      <c r="I214" s="2">
        <v>-7485398.8600000003</v>
      </c>
    </row>
    <row r="215" spans="1:9" x14ac:dyDescent="0.25">
      <c r="A215">
        <v>204</v>
      </c>
      <c r="B215" s="1">
        <v>45657</v>
      </c>
      <c r="C215">
        <v>31</v>
      </c>
      <c r="D215" t="str">
        <f t="shared" si="32"/>
        <v>1877</v>
      </c>
      <c r="E215" t="str">
        <f t="shared" si="33"/>
        <v>Резервы (провизии) по дебиторской задолженности, связанной с банковской деятельностью</v>
      </c>
      <c r="F215" t="str">
        <f>"2"</f>
        <v>2</v>
      </c>
      <c r="G215" t="str">
        <f>"9"</f>
        <v>9</v>
      </c>
      <c r="H215" t="str">
        <f>"2"</f>
        <v>2</v>
      </c>
      <c r="I215" s="2">
        <v>-935016.69</v>
      </c>
    </row>
    <row r="216" spans="1:9" x14ac:dyDescent="0.25">
      <c r="A216">
        <v>205</v>
      </c>
      <c r="B216" s="1">
        <v>45657</v>
      </c>
      <c r="C216">
        <v>31</v>
      </c>
      <c r="D216" t="str">
        <f t="shared" si="32"/>
        <v>1877</v>
      </c>
      <c r="E216" t="str">
        <f t="shared" si="33"/>
        <v>Резервы (провизии) по дебиторской задолженности, связанной с банковской деятельностью</v>
      </c>
      <c r="F216" t="str">
        <f t="shared" ref="F216:F221" si="35">"1"</f>
        <v>1</v>
      </c>
      <c r="G216" t="str">
        <f>"4"</f>
        <v>4</v>
      </c>
      <c r="H216" t="str">
        <f t="shared" ref="H216:H224" si="36">"1"</f>
        <v>1</v>
      </c>
      <c r="I216" s="2">
        <v>-87118834.170000002</v>
      </c>
    </row>
    <row r="217" spans="1:9" x14ac:dyDescent="0.25">
      <c r="A217">
        <v>206</v>
      </c>
      <c r="B217" s="1">
        <v>45657</v>
      </c>
      <c r="C217">
        <v>31</v>
      </c>
      <c r="D217" t="str">
        <f t="shared" ref="D217:D222" si="37">"1878"</f>
        <v>1878</v>
      </c>
      <c r="E217" t="str">
        <f t="shared" ref="E217:E222" si="38"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217" t="str">
        <f t="shared" si="35"/>
        <v>1</v>
      </c>
      <c r="G217" t="str">
        <f>"5"</f>
        <v>5</v>
      </c>
      <c r="H217" t="str">
        <f t="shared" si="36"/>
        <v>1</v>
      </c>
      <c r="I217" s="2">
        <v>-1794000</v>
      </c>
    </row>
    <row r="218" spans="1:9" x14ac:dyDescent="0.25">
      <c r="A218">
        <v>207</v>
      </c>
      <c r="B218" s="1">
        <v>45657</v>
      </c>
      <c r="C218">
        <v>31</v>
      </c>
      <c r="D218" t="str">
        <f t="shared" si="37"/>
        <v>1878</v>
      </c>
      <c r="E218" t="str">
        <f t="shared" si="38"/>
        <v>Резервы (провизии) по дебиторской задолженности, связанной с неосновной деятельностью</v>
      </c>
      <c r="F218" t="str">
        <f t="shared" si="35"/>
        <v>1</v>
      </c>
      <c r="G218" t="str">
        <f>"7"</f>
        <v>7</v>
      </c>
      <c r="H218" t="str">
        <f t="shared" si="36"/>
        <v>1</v>
      </c>
      <c r="I218" s="2">
        <v>-119892635.68000001</v>
      </c>
    </row>
    <row r="219" spans="1:9" x14ac:dyDescent="0.25">
      <c r="A219">
        <v>208</v>
      </c>
      <c r="B219" s="1">
        <v>45657</v>
      </c>
      <c r="C219">
        <v>31</v>
      </c>
      <c r="D219" t="str">
        <f t="shared" si="37"/>
        <v>1878</v>
      </c>
      <c r="E219" t="str">
        <f t="shared" si="38"/>
        <v>Резервы (провизии) по дебиторской задолженности, связанной с неосновной деятельностью</v>
      </c>
      <c r="F219" t="str">
        <f t="shared" si="35"/>
        <v>1</v>
      </c>
      <c r="G219" t="str">
        <f>"1"</f>
        <v>1</v>
      </c>
      <c r="H219" t="str">
        <f t="shared" si="36"/>
        <v>1</v>
      </c>
      <c r="I219" s="2">
        <v>-1993260</v>
      </c>
    </row>
    <row r="220" spans="1:9" x14ac:dyDescent="0.25">
      <c r="A220">
        <v>209</v>
      </c>
      <c r="B220" s="1">
        <v>45657</v>
      </c>
      <c r="C220">
        <v>31</v>
      </c>
      <c r="D220" t="str">
        <f t="shared" si="37"/>
        <v>1878</v>
      </c>
      <c r="E220" t="str">
        <f t="shared" si="38"/>
        <v>Резервы (провизии) по дебиторской задолженности, связанной с неосновной деятельностью</v>
      </c>
      <c r="F220" t="str">
        <f t="shared" si="35"/>
        <v>1</v>
      </c>
      <c r="G220" t="str">
        <f>"6"</f>
        <v>6</v>
      </c>
      <c r="H220" t="str">
        <f t="shared" si="36"/>
        <v>1</v>
      </c>
      <c r="I220" s="2">
        <v>-207373</v>
      </c>
    </row>
    <row r="221" spans="1:9" x14ac:dyDescent="0.25">
      <c r="A221">
        <v>210</v>
      </c>
      <c r="B221" s="1">
        <v>45657</v>
      </c>
      <c r="C221">
        <v>31</v>
      </c>
      <c r="D221" t="str">
        <f t="shared" si="37"/>
        <v>1878</v>
      </c>
      <c r="E221" t="str">
        <f t="shared" si="38"/>
        <v>Резервы (провизии) по дебиторской задолженности, связанной с неосновной деятельностью</v>
      </c>
      <c r="F221" t="str">
        <f t="shared" si="35"/>
        <v>1</v>
      </c>
      <c r="G221" t="str">
        <f>"9"</f>
        <v>9</v>
      </c>
      <c r="H221" t="str">
        <f t="shared" si="36"/>
        <v>1</v>
      </c>
      <c r="I221" s="2">
        <v>-29109945</v>
      </c>
    </row>
    <row r="222" spans="1:9" x14ac:dyDescent="0.25">
      <c r="A222">
        <v>211</v>
      </c>
      <c r="B222" s="1">
        <v>45657</v>
      </c>
      <c r="C222">
        <v>31</v>
      </c>
      <c r="D222" t="str">
        <f t="shared" si="37"/>
        <v>1878</v>
      </c>
      <c r="E222" t="str">
        <f t="shared" si="38"/>
        <v>Резервы (провизии) по дебиторской задолженности, связанной с неосновной деятельностью</v>
      </c>
      <c r="F222" t="str">
        <f>"2"</f>
        <v>2</v>
      </c>
      <c r="G222" t="str">
        <f>"7"</f>
        <v>7</v>
      </c>
      <c r="H222" t="str">
        <f t="shared" si="36"/>
        <v>1</v>
      </c>
      <c r="I222" s="2">
        <v>-104324378.33</v>
      </c>
    </row>
    <row r="223" spans="1:9" x14ac:dyDescent="0.25">
      <c r="A223">
        <v>212</v>
      </c>
      <c r="B223" s="1">
        <v>45657</v>
      </c>
      <c r="C223">
        <v>31</v>
      </c>
      <c r="D223" t="str">
        <f>"1879"</f>
        <v>1879</v>
      </c>
      <c r="E223" t="str">
        <f>"Начисленная неустойка (штраф, пеня)"</f>
        <v>Начисленная неустойка (штраф, пеня)</v>
      </c>
      <c r="F223" t="str">
        <f>"1"</f>
        <v>1</v>
      </c>
      <c r="G223" t="str">
        <f>"9"</f>
        <v>9</v>
      </c>
      <c r="H223" t="str">
        <f t="shared" si="36"/>
        <v>1</v>
      </c>
      <c r="I223" s="2">
        <v>53914670.670000002</v>
      </c>
    </row>
    <row r="224" spans="1:9" x14ac:dyDescent="0.25">
      <c r="A224">
        <v>213</v>
      </c>
      <c r="B224" s="1">
        <v>45657</v>
      </c>
      <c r="C224">
        <v>31</v>
      </c>
      <c r="D224" t="str">
        <f>"1879"</f>
        <v>1879</v>
      </c>
      <c r="E224" t="str">
        <f>"Начисленная неустойка (штраф, пеня)"</f>
        <v>Начисленная неустойка (штраф, пеня)</v>
      </c>
      <c r="F224" t="str">
        <f>"1"</f>
        <v>1</v>
      </c>
      <c r="G224" t="str">
        <f>"7"</f>
        <v>7</v>
      </c>
      <c r="H224" t="str">
        <f t="shared" si="36"/>
        <v>1</v>
      </c>
      <c r="I224" s="2">
        <v>608768168.59000003</v>
      </c>
    </row>
    <row r="225" spans="1:9" x14ac:dyDescent="0.25">
      <c r="A225">
        <v>214</v>
      </c>
      <c r="B225" s="1">
        <v>45657</v>
      </c>
      <c r="C225">
        <v>31</v>
      </c>
      <c r="D225" t="str">
        <f>"1879"</f>
        <v>1879</v>
      </c>
      <c r="E225" t="str">
        <f>"Начисленная неустойка (штраф, пеня)"</f>
        <v>Начисленная неустойка (штраф, пеня)</v>
      </c>
      <c r="F225" t="str">
        <f>"1"</f>
        <v>1</v>
      </c>
      <c r="G225" t="str">
        <f>"9"</f>
        <v>9</v>
      </c>
      <c r="H225" t="str">
        <f>"2"</f>
        <v>2</v>
      </c>
      <c r="I225" s="2">
        <v>12313.83</v>
      </c>
    </row>
    <row r="226" spans="1:9" x14ac:dyDescent="0.25">
      <c r="A226">
        <v>215</v>
      </c>
      <c r="B226" s="1">
        <v>45657</v>
      </c>
      <c r="C226">
        <v>31</v>
      </c>
      <c r="D226" t="str">
        <f>"1892"</f>
        <v>1892</v>
      </c>
      <c r="E226" t="str">
        <f>"Требования по операциям форвард"</f>
        <v>Требования по операциям форвард</v>
      </c>
      <c r="F226" t="str">
        <f>"1"</f>
        <v>1</v>
      </c>
      <c r="G226" t="str">
        <f>"7"</f>
        <v>7</v>
      </c>
      <c r="H226" t="str">
        <f>"1"</f>
        <v>1</v>
      </c>
      <c r="I226" s="2">
        <v>13396378.710000001</v>
      </c>
    </row>
    <row r="227" spans="1:9" x14ac:dyDescent="0.25">
      <c r="A227">
        <v>216</v>
      </c>
      <c r="B227" s="1">
        <v>45657</v>
      </c>
      <c r="C227">
        <v>31</v>
      </c>
      <c r="D227" t="str">
        <f>"2013"</f>
        <v>2013</v>
      </c>
      <c r="E227" t="str">
        <f>"Корреспондентские счета других банков"</f>
        <v>Корреспондентские счета других банков</v>
      </c>
      <c r="F227" t="str">
        <f>"1"</f>
        <v>1</v>
      </c>
      <c r="G227" t="str">
        <f>"4"</f>
        <v>4</v>
      </c>
      <c r="H227" t="str">
        <f>"3"</f>
        <v>3</v>
      </c>
      <c r="I227" s="2">
        <v>45140</v>
      </c>
    </row>
    <row r="228" spans="1:9" x14ac:dyDescent="0.25">
      <c r="A228">
        <v>217</v>
      </c>
      <c r="B228" s="1">
        <v>45657</v>
      </c>
      <c r="C228">
        <v>31</v>
      </c>
      <c r="D228" t="str">
        <f>"2013"</f>
        <v>2013</v>
      </c>
      <c r="E228" t="str">
        <f>"Корреспондентские счета других банков"</f>
        <v>Корреспондентские счета других банков</v>
      </c>
      <c r="F228" t="str">
        <f>"2"</f>
        <v>2</v>
      </c>
      <c r="G228" t="str">
        <f>"4"</f>
        <v>4</v>
      </c>
      <c r="H228" t="str">
        <f>"2"</f>
        <v>2</v>
      </c>
      <c r="I228" s="2">
        <v>5918601.71</v>
      </c>
    </row>
    <row r="229" spans="1:9" x14ac:dyDescent="0.25">
      <c r="A229">
        <v>218</v>
      </c>
      <c r="B229" s="1">
        <v>45657</v>
      </c>
      <c r="C229">
        <v>31</v>
      </c>
      <c r="D229" t="str">
        <f>"2013"</f>
        <v>2013</v>
      </c>
      <c r="E229" t="str">
        <f>"Корреспондентские счета других банков"</f>
        <v>Корреспондентские счета других банков</v>
      </c>
      <c r="F229" t="str">
        <f>"1"</f>
        <v>1</v>
      </c>
      <c r="G229" t="str">
        <f>"4"</f>
        <v>4</v>
      </c>
      <c r="H229" t="str">
        <f>"2"</f>
        <v>2</v>
      </c>
      <c r="I229" s="2">
        <v>2312317.83</v>
      </c>
    </row>
    <row r="230" spans="1:9" x14ac:dyDescent="0.25">
      <c r="A230">
        <v>219</v>
      </c>
      <c r="B230" s="1">
        <v>45657</v>
      </c>
      <c r="C230">
        <v>31</v>
      </c>
      <c r="D230" t="str">
        <f>"2013"</f>
        <v>2013</v>
      </c>
      <c r="E230" t="str">
        <f>"Корреспондентские счета других банков"</f>
        <v>Корреспондентские счета других банков</v>
      </c>
      <c r="F230" t="str">
        <f>"2"</f>
        <v>2</v>
      </c>
      <c r="G230" t="str">
        <f>"4"</f>
        <v>4</v>
      </c>
      <c r="H230" t="str">
        <f>"3"</f>
        <v>3</v>
      </c>
      <c r="I230" s="2">
        <v>560165.54</v>
      </c>
    </row>
    <row r="231" spans="1:9" x14ac:dyDescent="0.25">
      <c r="A231">
        <v>220</v>
      </c>
      <c r="B231" s="1">
        <v>45657</v>
      </c>
      <c r="C231">
        <v>31</v>
      </c>
      <c r="D231" t="str">
        <f>"2013"</f>
        <v>2013</v>
      </c>
      <c r="E231" t="str">
        <f>"Корреспондентские счета других банков"</f>
        <v>Корреспондентские счета других банков</v>
      </c>
      <c r="F231" t="str">
        <f>"2"</f>
        <v>2</v>
      </c>
      <c r="G231" t="str">
        <f>"4"</f>
        <v>4</v>
      </c>
      <c r="H231" t="str">
        <f>"1"</f>
        <v>1</v>
      </c>
      <c r="I231" s="2">
        <v>677671.27</v>
      </c>
    </row>
    <row r="232" spans="1:9" x14ac:dyDescent="0.25">
      <c r="A232">
        <v>221</v>
      </c>
      <c r="B232" s="1">
        <v>45657</v>
      </c>
      <c r="C232">
        <v>31</v>
      </c>
      <c r="D232" t="str">
        <f>"2014"</f>
        <v>2014</v>
      </c>
      <c r="E23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232" t="str">
        <f>"2"</f>
        <v>2</v>
      </c>
      <c r="G232" t="str">
        <f>"5"</f>
        <v>5</v>
      </c>
      <c r="H232" t="str">
        <f>"2"</f>
        <v>2</v>
      </c>
      <c r="I232" s="2">
        <v>631143611.53999996</v>
      </c>
    </row>
    <row r="233" spans="1:9" x14ac:dyDescent="0.25">
      <c r="A233">
        <v>222</v>
      </c>
      <c r="B233" s="1">
        <v>45657</v>
      </c>
      <c r="C233">
        <v>31</v>
      </c>
      <c r="D233" t="str">
        <f>"2036"</f>
        <v>2036</v>
      </c>
      <c r="E233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233" t="str">
        <f t="shared" ref="F233:F246" si="39">"1"</f>
        <v>1</v>
      </c>
      <c r="G233" t="str">
        <f>"5"</f>
        <v>5</v>
      </c>
      <c r="H233" t="str">
        <f>"1"</f>
        <v>1</v>
      </c>
      <c r="I233" s="2">
        <v>716937172.87</v>
      </c>
    </row>
    <row r="234" spans="1:9" x14ac:dyDescent="0.25">
      <c r="A234">
        <v>223</v>
      </c>
      <c r="B234" s="1">
        <v>45657</v>
      </c>
      <c r="C234">
        <v>31</v>
      </c>
      <c r="D234" t="str">
        <f>"2056"</f>
        <v>2056</v>
      </c>
      <c r="E234" t="str">
        <f>"Долгосрочные займы, полученные от других банков"</f>
        <v>Долгосрочные займы, полученные от других банков</v>
      </c>
      <c r="F234" t="str">
        <f t="shared" si="39"/>
        <v>1</v>
      </c>
      <c r="G234" t="str">
        <f>"4"</f>
        <v>4</v>
      </c>
      <c r="H234" t="str">
        <f>"1"</f>
        <v>1</v>
      </c>
      <c r="I234" s="2">
        <v>6172635524.2299995</v>
      </c>
    </row>
    <row r="235" spans="1:9" x14ac:dyDescent="0.25">
      <c r="A235">
        <v>224</v>
      </c>
      <c r="B235" s="1">
        <v>45657</v>
      </c>
      <c r="C235">
        <v>31</v>
      </c>
      <c r="D235" t="str">
        <f t="shared" ref="D235:D255" si="40">"2203"</f>
        <v>2203</v>
      </c>
      <c r="E235" t="str">
        <f t="shared" ref="E235:E255" si="41">"Текущие счета юридических лиц"</f>
        <v>Текущие счета юридических лиц</v>
      </c>
      <c r="F235" t="str">
        <f t="shared" si="39"/>
        <v>1</v>
      </c>
      <c r="G235" t="str">
        <f>"1"</f>
        <v>1</v>
      </c>
      <c r="H235" t="str">
        <f>"1"</f>
        <v>1</v>
      </c>
      <c r="I235" s="2">
        <v>591.35</v>
      </c>
    </row>
    <row r="236" spans="1:9" x14ac:dyDescent="0.25">
      <c r="A236">
        <v>225</v>
      </c>
      <c r="B236" s="1">
        <v>45657</v>
      </c>
      <c r="C236">
        <v>31</v>
      </c>
      <c r="D236" t="str">
        <f t="shared" si="40"/>
        <v>2203</v>
      </c>
      <c r="E236" t="str">
        <f t="shared" si="41"/>
        <v>Текущие счета юридических лиц</v>
      </c>
      <c r="F236" t="str">
        <f t="shared" si="39"/>
        <v>1</v>
      </c>
      <c r="G236" t="str">
        <f>"2"</f>
        <v>2</v>
      </c>
      <c r="H236" t="str">
        <f>"1"</f>
        <v>1</v>
      </c>
      <c r="I236" s="2">
        <v>66210</v>
      </c>
    </row>
    <row r="237" spans="1:9" x14ac:dyDescent="0.25">
      <c r="A237">
        <v>226</v>
      </c>
      <c r="B237" s="1">
        <v>45657</v>
      </c>
      <c r="C237">
        <v>31</v>
      </c>
      <c r="D237" t="str">
        <f t="shared" si="40"/>
        <v>2203</v>
      </c>
      <c r="E237" t="str">
        <f t="shared" si="41"/>
        <v>Текущие счета юридических лиц</v>
      </c>
      <c r="F237" t="str">
        <f t="shared" si="39"/>
        <v>1</v>
      </c>
      <c r="G237" t="str">
        <f>"5"</f>
        <v>5</v>
      </c>
      <c r="H237" t="str">
        <f>"2"</f>
        <v>2</v>
      </c>
      <c r="I237" s="2">
        <v>469490589.31999999</v>
      </c>
    </row>
    <row r="238" spans="1:9" x14ac:dyDescent="0.25">
      <c r="A238">
        <v>227</v>
      </c>
      <c r="B238" s="1">
        <v>45657</v>
      </c>
      <c r="C238">
        <v>31</v>
      </c>
      <c r="D238" t="str">
        <f t="shared" si="40"/>
        <v>2203</v>
      </c>
      <c r="E238" t="str">
        <f t="shared" si="41"/>
        <v>Текущие счета юридических лиц</v>
      </c>
      <c r="F238" t="str">
        <f t="shared" si="39"/>
        <v>1</v>
      </c>
      <c r="G238" t="str">
        <f>"5"</f>
        <v>5</v>
      </c>
      <c r="H238" t="str">
        <f>"3"</f>
        <v>3</v>
      </c>
      <c r="I238" s="2">
        <v>17682521.789999999</v>
      </c>
    </row>
    <row r="239" spans="1:9" x14ac:dyDescent="0.25">
      <c r="A239">
        <v>228</v>
      </c>
      <c r="B239" s="1">
        <v>45657</v>
      </c>
      <c r="C239">
        <v>31</v>
      </c>
      <c r="D239" t="str">
        <f t="shared" si="40"/>
        <v>2203</v>
      </c>
      <c r="E239" t="str">
        <f t="shared" si="41"/>
        <v>Текущие счета юридических лиц</v>
      </c>
      <c r="F239" t="str">
        <f t="shared" si="39"/>
        <v>1</v>
      </c>
      <c r="G239" t="str">
        <f>"6"</f>
        <v>6</v>
      </c>
      <c r="H239" t="str">
        <f>"1"</f>
        <v>1</v>
      </c>
      <c r="I239" s="2">
        <v>2275761682.9400001</v>
      </c>
    </row>
    <row r="240" spans="1:9" x14ac:dyDescent="0.25">
      <c r="A240">
        <v>229</v>
      </c>
      <c r="B240" s="1">
        <v>45657</v>
      </c>
      <c r="C240">
        <v>31</v>
      </c>
      <c r="D240" t="str">
        <f t="shared" si="40"/>
        <v>2203</v>
      </c>
      <c r="E240" t="str">
        <f t="shared" si="41"/>
        <v>Текущие счета юридических лиц</v>
      </c>
      <c r="F240" t="str">
        <f t="shared" si="39"/>
        <v>1</v>
      </c>
      <c r="G240" t="str">
        <f>"5"</f>
        <v>5</v>
      </c>
      <c r="H240" t="str">
        <f>"1"</f>
        <v>1</v>
      </c>
      <c r="I240" s="2">
        <v>3017344162.5700002</v>
      </c>
    </row>
    <row r="241" spans="1:9" x14ac:dyDescent="0.25">
      <c r="A241">
        <v>230</v>
      </c>
      <c r="B241" s="1">
        <v>45657</v>
      </c>
      <c r="C241">
        <v>31</v>
      </c>
      <c r="D241" t="str">
        <f t="shared" si="40"/>
        <v>2203</v>
      </c>
      <c r="E241" t="str">
        <f t="shared" si="41"/>
        <v>Текущие счета юридических лиц</v>
      </c>
      <c r="F241" t="str">
        <f t="shared" si="39"/>
        <v>1</v>
      </c>
      <c r="G241" t="str">
        <f>"6"</f>
        <v>6</v>
      </c>
      <c r="H241" t="str">
        <f>"3"</f>
        <v>3</v>
      </c>
      <c r="I241" s="2">
        <v>61305808.909999996</v>
      </c>
    </row>
    <row r="242" spans="1:9" x14ac:dyDescent="0.25">
      <c r="A242">
        <v>231</v>
      </c>
      <c r="B242" s="1">
        <v>45657</v>
      </c>
      <c r="C242">
        <v>31</v>
      </c>
      <c r="D242" t="str">
        <f t="shared" si="40"/>
        <v>2203</v>
      </c>
      <c r="E242" t="str">
        <f t="shared" si="41"/>
        <v>Текущие счета юридических лиц</v>
      </c>
      <c r="F242" t="str">
        <f t="shared" si="39"/>
        <v>1</v>
      </c>
      <c r="G242" t="str">
        <f>"7"</f>
        <v>7</v>
      </c>
      <c r="H242" t="str">
        <f>"1"</f>
        <v>1</v>
      </c>
      <c r="I242" s="2">
        <v>44591405959.220001</v>
      </c>
    </row>
    <row r="243" spans="1:9" x14ac:dyDescent="0.25">
      <c r="A243">
        <v>232</v>
      </c>
      <c r="B243" s="1">
        <v>45657</v>
      </c>
      <c r="C243">
        <v>31</v>
      </c>
      <c r="D243" t="str">
        <f t="shared" si="40"/>
        <v>2203</v>
      </c>
      <c r="E243" t="str">
        <f t="shared" si="41"/>
        <v>Текущие счета юридических лиц</v>
      </c>
      <c r="F243" t="str">
        <f t="shared" si="39"/>
        <v>1</v>
      </c>
      <c r="G243" t="str">
        <f>"7"</f>
        <v>7</v>
      </c>
      <c r="H243" t="str">
        <f>"2"</f>
        <v>2</v>
      </c>
      <c r="I243" s="2">
        <v>11182652152.209999</v>
      </c>
    </row>
    <row r="244" spans="1:9" x14ac:dyDescent="0.25">
      <c r="A244">
        <v>233</v>
      </c>
      <c r="B244" s="1">
        <v>45657</v>
      </c>
      <c r="C244">
        <v>31</v>
      </c>
      <c r="D244" t="str">
        <f t="shared" si="40"/>
        <v>2203</v>
      </c>
      <c r="E244" t="str">
        <f t="shared" si="41"/>
        <v>Текущие счета юридических лиц</v>
      </c>
      <c r="F244" t="str">
        <f t="shared" si="39"/>
        <v>1</v>
      </c>
      <c r="G244" t="str">
        <f>"7"</f>
        <v>7</v>
      </c>
      <c r="H244" t="str">
        <f>"3"</f>
        <v>3</v>
      </c>
      <c r="I244" s="2">
        <v>6708917690.1400003</v>
      </c>
    </row>
    <row r="245" spans="1:9" x14ac:dyDescent="0.25">
      <c r="A245">
        <v>234</v>
      </c>
      <c r="B245" s="1">
        <v>45657</v>
      </c>
      <c r="C245">
        <v>31</v>
      </c>
      <c r="D245" t="str">
        <f t="shared" si="40"/>
        <v>2203</v>
      </c>
      <c r="E245" t="str">
        <f t="shared" si="41"/>
        <v>Текущие счета юридических лиц</v>
      </c>
      <c r="F245" t="str">
        <f t="shared" si="39"/>
        <v>1</v>
      </c>
      <c r="G245" t="str">
        <f>"8"</f>
        <v>8</v>
      </c>
      <c r="H245" t="str">
        <f>"1"</f>
        <v>1</v>
      </c>
      <c r="I245" s="2">
        <v>586144342.53999996</v>
      </c>
    </row>
    <row r="246" spans="1:9" x14ac:dyDescent="0.25">
      <c r="A246">
        <v>235</v>
      </c>
      <c r="B246" s="1">
        <v>45657</v>
      </c>
      <c r="C246">
        <v>31</v>
      </c>
      <c r="D246" t="str">
        <f t="shared" si="40"/>
        <v>2203</v>
      </c>
      <c r="E246" t="str">
        <f t="shared" si="41"/>
        <v>Текущие счета юридических лиц</v>
      </c>
      <c r="F246" t="str">
        <f t="shared" si="39"/>
        <v>1</v>
      </c>
      <c r="G246" t="str">
        <f>"8"</f>
        <v>8</v>
      </c>
      <c r="H246" t="str">
        <f>"2"</f>
        <v>2</v>
      </c>
      <c r="I246" s="2">
        <v>154626644.56</v>
      </c>
    </row>
    <row r="247" spans="1:9" x14ac:dyDescent="0.25">
      <c r="A247">
        <v>236</v>
      </c>
      <c r="B247" s="1">
        <v>45657</v>
      </c>
      <c r="C247">
        <v>31</v>
      </c>
      <c r="D247" t="str">
        <f t="shared" si="40"/>
        <v>2203</v>
      </c>
      <c r="E247" t="str">
        <f t="shared" si="41"/>
        <v>Текущие счета юридических лиц</v>
      </c>
      <c r="F247" t="str">
        <f>"2"</f>
        <v>2</v>
      </c>
      <c r="G247" t="str">
        <f>"5"</f>
        <v>5</v>
      </c>
      <c r="H247" t="str">
        <f>"1"</f>
        <v>1</v>
      </c>
      <c r="I247" s="2">
        <v>6532744.7599999998</v>
      </c>
    </row>
    <row r="248" spans="1:9" x14ac:dyDescent="0.25">
      <c r="A248">
        <v>237</v>
      </c>
      <c r="B248" s="1">
        <v>45657</v>
      </c>
      <c r="C248">
        <v>31</v>
      </c>
      <c r="D248" t="str">
        <f t="shared" si="40"/>
        <v>2203</v>
      </c>
      <c r="E248" t="str">
        <f t="shared" si="41"/>
        <v>Текущие счета юридических лиц</v>
      </c>
      <c r="F248" t="str">
        <f>"1"</f>
        <v>1</v>
      </c>
      <c r="G248" t="str">
        <f>"8"</f>
        <v>8</v>
      </c>
      <c r="H248" t="str">
        <f>"3"</f>
        <v>3</v>
      </c>
      <c r="I248" s="2">
        <v>79880946.430000007</v>
      </c>
    </row>
    <row r="249" spans="1:9" x14ac:dyDescent="0.25">
      <c r="A249">
        <v>238</v>
      </c>
      <c r="B249" s="1">
        <v>45657</v>
      </c>
      <c r="C249">
        <v>31</v>
      </c>
      <c r="D249" t="str">
        <f t="shared" si="40"/>
        <v>2203</v>
      </c>
      <c r="E249" t="str">
        <f t="shared" si="41"/>
        <v>Текущие счета юридических лиц</v>
      </c>
      <c r="F249" t="str">
        <f>"2"</f>
        <v>2</v>
      </c>
      <c r="G249" t="str">
        <f>"5"</f>
        <v>5</v>
      </c>
      <c r="H249" t="str">
        <f>"2"</f>
        <v>2</v>
      </c>
      <c r="I249" s="2">
        <v>7274731.3300000001</v>
      </c>
    </row>
    <row r="250" spans="1:9" x14ac:dyDescent="0.25">
      <c r="A250">
        <v>239</v>
      </c>
      <c r="B250" s="1">
        <v>45657</v>
      </c>
      <c r="C250">
        <v>31</v>
      </c>
      <c r="D250" t="str">
        <f t="shared" si="40"/>
        <v>2203</v>
      </c>
      <c r="E250" t="str">
        <f t="shared" si="41"/>
        <v>Текущие счета юридических лиц</v>
      </c>
      <c r="F250" t="str">
        <f>"2"</f>
        <v>2</v>
      </c>
      <c r="G250" t="str">
        <f>"7"</f>
        <v>7</v>
      </c>
      <c r="H250" t="str">
        <f>"2"</f>
        <v>2</v>
      </c>
      <c r="I250" s="2">
        <v>2261425399.1300001</v>
      </c>
    </row>
    <row r="251" spans="1:9" x14ac:dyDescent="0.25">
      <c r="A251">
        <v>240</v>
      </c>
      <c r="B251" s="1">
        <v>45657</v>
      </c>
      <c r="C251">
        <v>31</v>
      </c>
      <c r="D251" t="str">
        <f t="shared" si="40"/>
        <v>2203</v>
      </c>
      <c r="E251" t="str">
        <f t="shared" si="41"/>
        <v>Текущие счета юридических лиц</v>
      </c>
      <c r="F251" t="str">
        <f>"2"</f>
        <v>2</v>
      </c>
      <c r="G251" t="str">
        <f>"7"</f>
        <v>7</v>
      </c>
      <c r="H251" t="str">
        <f>"3"</f>
        <v>3</v>
      </c>
      <c r="I251" s="2">
        <v>364384708.68000001</v>
      </c>
    </row>
    <row r="252" spans="1:9" x14ac:dyDescent="0.25">
      <c r="A252">
        <v>241</v>
      </c>
      <c r="B252" s="1">
        <v>45657</v>
      </c>
      <c r="C252">
        <v>31</v>
      </c>
      <c r="D252" t="str">
        <f t="shared" si="40"/>
        <v>2203</v>
      </c>
      <c r="E252" t="str">
        <f t="shared" si="41"/>
        <v>Текущие счета юридических лиц</v>
      </c>
      <c r="F252" t="str">
        <f>"2"</f>
        <v>2</v>
      </c>
      <c r="G252" t="str">
        <f>"1"</f>
        <v>1</v>
      </c>
      <c r="H252" t="str">
        <f>"1"</f>
        <v>1</v>
      </c>
      <c r="I252" s="2">
        <v>183298</v>
      </c>
    </row>
    <row r="253" spans="1:9" x14ac:dyDescent="0.25">
      <c r="A253">
        <v>242</v>
      </c>
      <c r="B253" s="1">
        <v>45657</v>
      </c>
      <c r="C253">
        <v>31</v>
      </c>
      <c r="D253" t="str">
        <f t="shared" si="40"/>
        <v>2203</v>
      </c>
      <c r="E253" t="str">
        <f t="shared" si="41"/>
        <v>Текущие счета юридических лиц</v>
      </c>
      <c r="F253" t="str">
        <f>"1"</f>
        <v>1</v>
      </c>
      <c r="G253" t="str">
        <f>"6"</f>
        <v>6</v>
      </c>
      <c r="H253" t="str">
        <f>"2"</f>
        <v>2</v>
      </c>
      <c r="I253" s="2">
        <v>224416680.78</v>
      </c>
    </row>
    <row r="254" spans="1:9" x14ac:dyDescent="0.25">
      <c r="A254">
        <v>243</v>
      </c>
      <c r="B254" s="1">
        <v>45657</v>
      </c>
      <c r="C254">
        <v>31</v>
      </c>
      <c r="D254" t="str">
        <f t="shared" si="40"/>
        <v>2203</v>
      </c>
      <c r="E254" t="str">
        <f t="shared" si="41"/>
        <v>Текущие счета юридических лиц</v>
      </c>
      <c r="F254" t="str">
        <f>"2"</f>
        <v>2</v>
      </c>
      <c r="G254" t="str">
        <f>"8"</f>
        <v>8</v>
      </c>
      <c r="H254" t="str">
        <f>"1"</f>
        <v>1</v>
      </c>
      <c r="I254" s="2">
        <v>2540</v>
      </c>
    </row>
    <row r="255" spans="1:9" x14ac:dyDescent="0.25">
      <c r="A255">
        <v>244</v>
      </c>
      <c r="B255" s="1">
        <v>45657</v>
      </c>
      <c r="C255">
        <v>31</v>
      </c>
      <c r="D255" t="str">
        <f t="shared" si="40"/>
        <v>2203</v>
      </c>
      <c r="E255" t="str">
        <f t="shared" si="41"/>
        <v>Текущие счета юридических лиц</v>
      </c>
      <c r="F255" t="str">
        <f>"2"</f>
        <v>2</v>
      </c>
      <c r="G255" t="str">
        <f>"7"</f>
        <v>7</v>
      </c>
      <c r="H255" t="str">
        <f>"1"</f>
        <v>1</v>
      </c>
      <c r="I255" s="2">
        <v>519124266.00999999</v>
      </c>
    </row>
    <row r="256" spans="1:9" x14ac:dyDescent="0.25">
      <c r="A256">
        <v>245</v>
      </c>
      <c r="B256" s="1">
        <v>45657</v>
      </c>
      <c r="C256">
        <v>31</v>
      </c>
      <c r="D256" t="str">
        <f t="shared" ref="D256:D261" si="42">"2204"</f>
        <v>2204</v>
      </c>
      <c r="E256" t="str">
        <f t="shared" ref="E256:E261" si="43">"Текущие счета физических лиц"</f>
        <v>Текущие счета физических лиц</v>
      </c>
      <c r="F256" t="str">
        <f>"1"</f>
        <v>1</v>
      </c>
      <c r="G256" t="str">
        <f t="shared" ref="G256:G275" si="44">"9"</f>
        <v>9</v>
      </c>
      <c r="H256" t="str">
        <f>"2"</f>
        <v>2</v>
      </c>
      <c r="I256" s="2">
        <v>2895079847.0300002</v>
      </c>
    </row>
    <row r="257" spans="1:9" x14ac:dyDescent="0.25">
      <c r="A257">
        <v>246</v>
      </c>
      <c r="B257" s="1">
        <v>45657</v>
      </c>
      <c r="C257">
        <v>31</v>
      </c>
      <c r="D257" t="str">
        <f t="shared" si="42"/>
        <v>2204</v>
      </c>
      <c r="E257" t="str">
        <f t="shared" si="43"/>
        <v>Текущие счета физических лиц</v>
      </c>
      <c r="F257" t="str">
        <f>"1"</f>
        <v>1</v>
      </c>
      <c r="G257" t="str">
        <f t="shared" si="44"/>
        <v>9</v>
      </c>
      <c r="H257" t="str">
        <f>"1"</f>
        <v>1</v>
      </c>
      <c r="I257" s="2">
        <v>18804516684.68</v>
      </c>
    </row>
    <row r="258" spans="1:9" x14ac:dyDescent="0.25">
      <c r="A258">
        <v>247</v>
      </c>
      <c r="B258" s="1">
        <v>45657</v>
      </c>
      <c r="C258">
        <v>31</v>
      </c>
      <c r="D258" t="str">
        <f t="shared" si="42"/>
        <v>2204</v>
      </c>
      <c r="E258" t="str">
        <f t="shared" si="43"/>
        <v>Текущие счета физических лиц</v>
      </c>
      <c r="F258" t="str">
        <f>"1"</f>
        <v>1</v>
      </c>
      <c r="G258" t="str">
        <f t="shared" si="44"/>
        <v>9</v>
      </c>
      <c r="H258" t="str">
        <f>"3"</f>
        <v>3</v>
      </c>
      <c r="I258" s="2">
        <v>48359877.579999998</v>
      </c>
    </row>
    <row r="259" spans="1:9" x14ac:dyDescent="0.25">
      <c r="A259">
        <v>248</v>
      </c>
      <c r="B259" s="1">
        <v>45657</v>
      </c>
      <c r="C259">
        <v>31</v>
      </c>
      <c r="D259" t="str">
        <f t="shared" si="42"/>
        <v>2204</v>
      </c>
      <c r="E259" t="str">
        <f t="shared" si="43"/>
        <v>Текущие счета физических лиц</v>
      </c>
      <c r="F259" t="str">
        <f>"2"</f>
        <v>2</v>
      </c>
      <c r="G259" t="str">
        <f t="shared" si="44"/>
        <v>9</v>
      </c>
      <c r="H259" t="str">
        <f>"3"</f>
        <v>3</v>
      </c>
      <c r="I259" s="2">
        <v>2439257.31</v>
      </c>
    </row>
    <row r="260" spans="1:9" x14ac:dyDescent="0.25">
      <c r="A260">
        <v>249</v>
      </c>
      <c r="B260" s="1">
        <v>45657</v>
      </c>
      <c r="C260">
        <v>31</v>
      </c>
      <c r="D260" t="str">
        <f t="shared" si="42"/>
        <v>2204</v>
      </c>
      <c r="E260" t="str">
        <f t="shared" si="43"/>
        <v>Текущие счета физических лиц</v>
      </c>
      <c r="F260" t="str">
        <f>"2"</f>
        <v>2</v>
      </c>
      <c r="G260" t="str">
        <f t="shared" si="44"/>
        <v>9</v>
      </c>
      <c r="H260" t="str">
        <f>"1"</f>
        <v>1</v>
      </c>
      <c r="I260" s="2">
        <v>207446450.43000001</v>
      </c>
    </row>
    <row r="261" spans="1:9" x14ac:dyDescent="0.25">
      <c r="A261">
        <v>250</v>
      </c>
      <c r="B261" s="1">
        <v>45657</v>
      </c>
      <c r="C261">
        <v>31</v>
      </c>
      <c r="D261" t="str">
        <f t="shared" si="42"/>
        <v>2204</v>
      </c>
      <c r="E261" t="str">
        <f t="shared" si="43"/>
        <v>Текущие счета физических лиц</v>
      </c>
      <c r="F261" t="str">
        <f>"2"</f>
        <v>2</v>
      </c>
      <c r="G261" t="str">
        <f t="shared" si="44"/>
        <v>9</v>
      </c>
      <c r="H261" t="str">
        <f>"2"</f>
        <v>2</v>
      </c>
      <c r="I261" s="2">
        <v>907469189.90999997</v>
      </c>
    </row>
    <row r="262" spans="1:9" x14ac:dyDescent="0.25">
      <c r="A262">
        <v>251</v>
      </c>
      <c r="B262" s="1">
        <v>45657</v>
      </c>
      <c r="C262">
        <v>31</v>
      </c>
      <c r="D262" t="str">
        <f>"2205"</f>
        <v>2205</v>
      </c>
      <c r="E262" t="str">
        <f>"Вклады до востребования физических лиц"</f>
        <v>Вклады до востребования физических лиц</v>
      </c>
      <c r="F262" t="str">
        <f>"1"</f>
        <v>1</v>
      </c>
      <c r="G262" t="str">
        <f t="shared" si="44"/>
        <v>9</v>
      </c>
      <c r="H262" t="str">
        <f>"2"</f>
        <v>2</v>
      </c>
      <c r="I262" s="2">
        <v>35405128.780000001</v>
      </c>
    </row>
    <row r="263" spans="1:9" x14ac:dyDescent="0.25">
      <c r="A263">
        <v>252</v>
      </c>
      <c r="B263" s="1">
        <v>45657</v>
      </c>
      <c r="C263">
        <v>31</v>
      </c>
      <c r="D263" t="str">
        <f>"2205"</f>
        <v>2205</v>
      </c>
      <c r="E263" t="str">
        <f>"Вклады до востребования физических лиц"</f>
        <v>Вклады до востребования физических лиц</v>
      </c>
      <c r="F263" t="str">
        <f>"1"</f>
        <v>1</v>
      </c>
      <c r="G263" t="str">
        <f t="shared" si="44"/>
        <v>9</v>
      </c>
      <c r="H263" t="str">
        <f>"1"</f>
        <v>1</v>
      </c>
      <c r="I263" s="2">
        <v>59859250.810000002</v>
      </c>
    </row>
    <row r="264" spans="1:9" x14ac:dyDescent="0.25">
      <c r="A264">
        <v>253</v>
      </c>
      <c r="B264" s="1">
        <v>45657</v>
      </c>
      <c r="C264">
        <v>31</v>
      </c>
      <c r="D264" t="str">
        <f>"2205"</f>
        <v>2205</v>
      </c>
      <c r="E264" t="str">
        <f>"Вклады до востребования физических лиц"</f>
        <v>Вклады до востребования физических лиц</v>
      </c>
      <c r="F264" t="str">
        <f>"1"</f>
        <v>1</v>
      </c>
      <c r="G264" t="str">
        <f t="shared" si="44"/>
        <v>9</v>
      </c>
      <c r="H264" t="str">
        <f>"3"</f>
        <v>3</v>
      </c>
      <c r="I264" s="2">
        <v>28279.02</v>
      </c>
    </row>
    <row r="265" spans="1:9" x14ac:dyDescent="0.25">
      <c r="A265">
        <v>254</v>
      </c>
      <c r="B265" s="1">
        <v>45657</v>
      </c>
      <c r="C265">
        <v>31</v>
      </c>
      <c r="D265" t="str">
        <f>"2205"</f>
        <v>2205</v>
      </c>
      <c r="E265" t="str">
        <f>"Вклады до востребования физических лиц"</f>
        <v>Вклады до востребования физических лиц</v>
      </c>
      <c r="F265" t="str">
        <f>"2"</f>
        <v>2</v>
      </c>
      <c r="G265" t="str">
        <f t="shared" si="44"/>
        <v>9</v>
      </c>
      <c r="H265" t="str">
        <f>"2"</f>
        <v>2</v>
      </c>
      <c r="I265" s="2">
        <v>1246118.97</v>
      </c>
    </row>
    <row r="266" spans="1:9" x14ac:dyDescent="0.25">
      <c r="A266">
        <v>255</v>
      </c>
      <c r="B266" s="1">
        <v>45657</v>
      </c>
      <c r="C266">
        <v>31</v>
      </c>
      <c r="D266" t="str">
        <f>"2205"</f>
        <v>2205</v>
      </c>
      <c r="E266" t="str">
        <f>"Вклады до востребования физических лиц"</f>
        <v>Вклады до востребования физических лиц</v>
      </c>
      <c r="F266" t="str">
        <f>"2"</f>
        <v>2</v>
      </c>
      <c r="G266" t="str">
        <f t="shared" si="44"/>
        <v>9</v>
      </c>
      <c r="H266" t="str">
        <f>"1"</f>
        <v>1</v>
      </c>
      <c r="I266" s="2">
        <v>725380.3</v>
      </c>
    </row>
    <row r="267" spans="1:9" x14ac:dyDescent="0.25">
      <c r="A267">
        <v>256</v>
      </c>
      <c r="B267" s="1">
        <v>45657</v>
      </c>
      <c r="C267">
        <v>31</v>
      </c>
      <c r="D267" t="str">
        <f>"2206"</f>
        <v>2206</v>
      </c>
      <c r="E267" t="str">
        <f>"Краткосрочные вклады физических лиц"</f>
        <v>Краткосрочные вклады физических лиц</v>
      </c>
      <c r="F267" t="str">
        <f>"2"</f>
        <v>2</v>
      </c>
      <c r="G267" t="str">
        <f t="shared" si="44"/>
        <v>9</v>
      </c>
      <c r="H267" t="str">
        <f>"1"</f>
        <v>1</v>
      </c>
      <c r="I267" s="2">
        <v>210061993.05000001</v>
      </c>
    </row>
    <row r="268" spans="1:9" x14ac:dyDescent="0.25">
      <c r="A268">
        <v>257</v>
      </c>
      <c r="B268" s="1">
        <v>45657</v>
      </c>
      <c r="C268">
        <v>31</v>
      </c>
      <c r="D268" t="str">
        <f>"2206"</f>
        <v>2206</v>
      </c>
      <c r="E268" t="str">
        <f>"Краткосрочные вклады физических лиц"</f>
        <v>Краткосрочные вклады физических лиц</v>
      </c>
      <c r="F268" t="str">
        <f>"2"</f>
        <v>2</v>
      </c>
      <c r="G268" t="str">
        <f t="shared" si="44"/>
        <v>9</v>
      </c>
      <c r="H268" t="str">
        <f>"2"</f>
        <v>2</v>
      </c>
      <c r="I268" s="2">
        <v>5269767868.04</v>
      </c>
    </row>
    <row r="269" spans="1:9" x14ac:dyDescent="0.25">
      <c r="A269">
        <v>258</v>
      </c>
      <c r="B269" s="1">
        <v>45657</v>
      </c>
      <c r="C269">
        <v>31</v>
      </c>
      <c r="D269" t="str">
        <f>"2206"</f>
        <v>2206</v>
      </c>
      <c r="E269" t="str">
        <f>"Краткосрочные вклады физических лиц"</f>
        <v>Краткосрочные вклады физических лиц</v>
      </c>
      <c r="F269" t="str">
        <f>"1"</f>
        <v>1</v>
      </c>
      <c r="G269" t="str">
        <f t="shared" si="44"/>
        <v>9</v>
      </c>
      <c r="H269" t="str">
        <f>"1"</f>
        <v>1</v>
      </c>
      <c r="I269" s="2">
        <v>36169803178.699997</v>
      </c>
    </row>
    <row r="270" spans="1:9" x14ac:dyDescent="0.25">
      <c r="A270">
        <v>259</v>
      </c>
      <c r="B270" s="1">
        <v>45657</v>
      </c>
      <c r="C270">
        <v>31</v>
      </c>
      <c r="D270" t="str">
        <f>"2206"</f>
        <v>2206</v>
      </c>
      <c r="E270" t="str">
        <f>"Краткосрочные вклады физических лиц"</f>
        <v>Краткосрочные вклады физических лиц</v>
      </c>
      <c r="F270" t="str">
        <f>"1"</f>
        <v>1</v>
      </c>
      <c r="G270" t="str">
        <f t="shared" si="44"/>
        <v>9</v>
      </c>
      <c r="H270" t="str">
        <f>"2"</f>
        <v>2</v>
      </c>
      <c r="I270" s="2">
        <v>34194639521.540001</v>
      </c>
    </row>
    <row r="271" spans="1:9" x14ac:dyDescent="0.25">
      <c r="A271">
        <v>260</v>
      </c>
      <c r="B271" s="1">
        <v>45657</v>
      </c>
      <c r="C271">
        <v>31</v>
      </c>
      <c r="D271" t="str">
        <f>"2207"</f>
        <v>2207</v>
      </c>
      <c r="E271" t="str">
        <f>"Долгосрочные вклады физических лиц"</f>
        <v>Долгосрочные вклады физических лиц</v>
      </c>
      <c r="F271" t="str">
        <f>"1"</f>
        <v>1</v>
      </c>
      <c r="G271" t="str">
        <f t="shared" si="44"/>
        <v>9</v>
      </c>
      <c r="H271" t="str">
        <f>"2"</f>
        <v>2</v>
      </c>
      <c r="I271" s="2">
        <v>829461417.38</v>
      </c>
    </row>
    <row r="272" spans="1:9" x14ac:dyDescent="0.25">
      <c r="A272">
        <v>261</v>
      </c>
      <c r="B272" s="1">
        <v>45657</v>
      </c>
      <c r="C272">
        <v>31</v>
      </c>
      <c r="D272" t="str">
        <f>"2207"</f>
        <v>2207</v>
      </c>
      <c r="E272" t="str">
        <f>"Долгосрочные вклады физических лиц"</f>
        <v>Долгосрочные вклады физических лиц</v>
      </c>
      <c r="F272" t="str">
        <f>"1"</f>
        <v>1</v>
      </c>
      <c r="G272" t="str">
        <f t="shared" si="44"/>
        <v>9</v>
      </c>
      <c r="H272" t="str">
        <f>"1"</f>
        <v>1</v>
      </c>
      <c r="I272" s="2">
        <v>892711618.16999996</v>
      </c>
    </row>
    <row r="273" spans="1:9" x14ac:dyDescent="0.25">
      <c r="A273">
        <v>262</v>
      </c>
      <c r="B273" s="1">
        <v>45657</v>
      </c>
      <c r="C273">
        <v>31</v>
      </c>
      <c r="D273" t="str">
        <f>"2207"</f>
        <v>2207</v>
      </c>
      <c r="E273" t="str">
        <f>"Долгосрочные вклады физических лиц"</f>
        <v>Долгосрочные вклады физических лиц</v>
      </c>
      <c r="F273" t="str">
        <f>"2"</f>
        <v>2</v>
      </c>
      <c r="G273" t="str">
        <f t="shared" si="44"/>
        <v>9</v>
      </c>
      <c r="H273" t="str">
        <f>"1"</f>
        <v>1</v>
      </c>
      <c r="I273" s="2">
        <v>7388.47</v>
      </c>
    </row>
    <row r="274" spans="1:9" x14ac:dyDescent="0.25">
      <c r="A274">
        <v>263</v>
      </c>
      <c r="B274" s="1">
        <v>45657</v>
      </c>
      <c r="C274">
        <v>31</v>
      </c>
      <c r="D274" t="str">
        <f>"2208"</f>
        <v>2208</v>
      </c>
      <c r="E274" t="str">
        <f>"Условные вклады физических лиц"</f>
        <v>Условные вклады физических лиц</v>
      </c>
      <c r="F274" t="str">
        <f t="shared" ref="F274:F280" si="45">"1"</f>
        <v>1</v>
      </c>
      <c r="G274" t="str">
        <f t="shared" si="44"/>
        <v>9</v>
      </c>
      <c r="H274" t="str">
        <f>"1"</f>
        <v>1</v>
      </c>
      <c r="I274" s="2">
        <v>1190323216.99</v>
      </c>
    </row>
    <row r="275" spans="1:9" x14ac:dyDescent="0.25">
      <c r="A275">
        <v>264</v>
      </c>
      <c r="B275" s="1">
        <v>45657</v>
      </c>
      <c r="C275">
        <v>31</v>
      </c>
      <c r="D275" t="str">
        <f>"2208"</f>
        <v>2208</v>
      </c>
      <c r="E275" t="str">
        <f>"Условные вклады физических лиц"</f>
        <v>Условные вклады физических лиц</v>
      </c>
      <c r="F275" t="str">
        <f t="shared" si="45"/>
        <v>1</v>
      </c>
      <c r="G275" t="str">
        <f t="shared" si="44"/>
        <v>9</v>
      </c>
      <c r="H275" t="str">
        <f>"2"</f>
        <v>2</v>
      </c>
      <c r="I275" s="2">
        <v>30808.2</v>
      </c>
    </row>
    <row r="276" spans="1:9" x14ac:dyDescent="0.25">
      <c r="A276">
        <v>265</v>
      </c>
      <c r="B276" s="1">
        <v>45657</v>
      </c>
      <c r="C276">
        <v>31</v>
      </c>
      <c r="D276" t="str">
        <f>"2211"</f>
        <v>2211</v>
      </c>
      <c r="E276" t="str">
        <f>"Вклады до востребования юридических лиц"</f>
        <v>Вклады до востребования юридических лиц</v>
      </c>
      <c r="F276" t="str">
        <f t="shared" si="45"/>
        <v>1</v>
      </c>
      <c r="G276" t="str">
        <f>"7"</f>
        <v>7</v>
      </c>
      <c r="H276" t="str">
        <f>"2"</f>
        <v>2</v>
      </c>
      <c r="I276" s="2">
        <v>1009418.95</v>
      </c>
    </row>
    <row r="277" spans="1:9" x14ac:dyDescent="0.25">
      <c r="A277">
        <v>266</v>
      </c>
      <c r="B277" s="1">
        <v>45657</v>
      </c>
      <c r="C277">
        <v>31</v>
      </c>
      <c r="D277" t="str">
        <f>"2211"</f>
        <v>2211</v>
      </c>
      <c r="E277" t="str">
        <f>"Вклады до востребования юридических лиц"</f>
        <v>Вклады до востребования юридических лиц</v>
      </c>
      <c r="F277" t="str">
        <f t="shared" si="45"/>
        <v>1</v>
      </c>
      <c r="G277" t="str">
        <f>"7"</f>
        <v>7</v>
      </c>
      <c r="H277" t="str">
        <f>"1"</f>
        <v>1</v>
      </c>
      <c r="I277" s="2">
        <v>359599.54</v>
      </c>
    </row>
    <row r="278" spans="1:9" x14ac:dyDescent="0.25">
      <c r="A278">
        <v>267</v>
      </c>
      <c r="B278" s="1">
        <v>45657</v>
      </c>
      <c r="C278">
        <v>31</v>
      </c>
      <c r="D278" t="str">
        <f>"2213"</f>
        <v>2213</v>
      </c>
      <c r="E278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278" t="str">
        <f t="shared" si="45"/>
        <v>1</v>
      </c>
      <c r="G278" t="str">
        <f>"9"</f>
        <v>9</v>
      </c>
      <c r="H278" t="str">
        <f>"2"</f>
        <v>2</v>
      </c>
      <c r="I278" s="2">
        <v>630132000</v>
      </c>
    </row>
    <row r="279" spans="1:9" x14ac:dyDescent="0.25">
      <c r="A279">
        <v>268</v>
      </c>
      <c r="B279" s="1">
        <v>45657</v>
      </c>
      <c r="C279">
        <v>31</v>
      </c>
      <c r="D279" t="str">
        <f>"2214"</f>
        <v>2214</v>
      </c>
      <c r="E27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79" t="str">
        <f t="shared" si="45"/>
        <v>1</v>
      </c>
      <c r="G279" t="str">
        <f>"9"</f>
        <v>9</v>
      </c>
      <c r="H279" t="str">
        <f>"2"</f>
        <v>2</v>
      </c>
      <c r="I279" s="2">
        <v>970106204.26999998</v>
      </c>
    </row>
    <row r="280" spans="1:9" x14ac:dyDescent="0.25">
      <c r="A280">
        <v>269</v>
      </c>
      <c r="B280" s="1">
        <v>45657</v>
      </c>
      <c r="C280">
        <v>31</v>
      </c>
      <c r="D280" t="str">
        <f>"2214"</f>
        <v>2214</v>
      </c>
      <c r="E28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0" t="str">
        <f t="shared" si="45"/>
        <v>1</v>
      </c>
      <c r="G280" t="str">
        <f>"9"</f>
        <v>9</v>
      </c>
      <c r="H280" t="str">
        <f>"1"</f>
        <v>1</v>
      </c>
      <c r="I280" s="2">
        <v>45872912995.400002</v>
      </c>
    </row>
    <row r="281" spans="1:9" x14ac:dyDescent="0.25">
      <c r="A281">
        <v>270</v>
      </c>
      <c r="B281" s="1">
        <v>45657</v>
      </c>
      <c r="C281">
        <v>31</v>
      </c>
      <c r="D281" t="str">
        <f>"2214"</f>
        <v>2214</v>
      </c>
      <c r="E281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1" t="str">
        <f>"2"</f>
        <v>2</v>
      </c>
      <c r="G281" t="str">
        <f>"9"</f>
        <v>9</v>
      </c>
      <c r="H281" t="str">
        <f>"1"</f>
        <v>1</v>
      </c>
      <c r="I281" s="2">
        <v>33813399.829999998</v>
      </c>
    </row>
    <row r="282" spans="1:9" x14ac:dyDescent="0.25">
      <c r="A282">
        <v>271</v>
      </c>
      <c r="B282" s="1">
        <v>45657</v>
      </c>
      <c r="C282">
        <v>31</v>
      </c>
      <c r="D282" t="str">
        <f>"2214"</f>
        <v>2214</v>
      </c>
      <c r="E28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282" t="str">
        <f>"2"</f>
        <v>2</v>
      </c>
      <c r="G282" t="str">
        <f>"9"</f>
        <v>9</v>
      </c>
      <c r="H282" t="str">
        <f>"2"</f>
        <v>2</v>
      </c>
      <c r="I282" s="2">
        <v>50740423.600000001</v>
      </c>
    </row>
    <row r="283" spans="1:9" x14ac:dyDescent="0.25">
      <c r="A283">
        <v>272</v>
      </c>
      <c r="B283" s="1">
        <v>45657</v>
      </c>
      <c r="C283">
        <v>31</v>
      </c>
      <c r="D283" t="str">
        <f t="shared" ref="D283:D292" si="46">"2215"</f>
        <v>2215</v>
      </c>
      <c r="E283" t="str">
        <f t="shared" ref="E283:E292" si="47">"Краткосрочные вклады юридических лиц"</f>
        <v>Краткосрочные вклады юридических лиц</v>
      </c>
      <c r="F283" t="str">
        <f>"1"</f>
        <v>1</v>
      </c>
      <c r="G283" t="str">
        <f>"5"</f>
        <v>5</v>
      </c>
      <c r="H283" t="str">
        <f>"1"</f>
        <v>1</v>
      </c>
      <c r="I283" s="2">
        <v>2207395330.1399999</v>
      </c>
    </row>
    <row r="284" spans="1:9" x14ac:dyDescent="0.25">
      <c r="A284">
        <v>273</v>
      </c>
      <c r="B284" s="1">
        <v>45657</v>
      </c>
      <c r="C284">
        <v>31</v>
      </c>
      <c r="D284" t="str">
        <f t="shared" si="46"/>
        <v>2215</v>
      </c>
      <c r="E284" t="str">
        <f t="shared" si="47"/>
        <v>Краткосрочные вклады юридических лиц</v>
      </c>
      <c r="F284" t="str">
        <f>"1"</f>
        <v>1</v>
      </c>
      <c r="G284" t="str">
        <f>"6"</f>
        <v>6</v>
      </c>
      <c r="H284" t="str">
        <f>"2"</f>
        <v>2</v>
      </c>
      <c r="I284" s="2">
        <v>321338412.69</v>
      </c>
    </row>
    <row r="285" spans="1:9" x14ac:dyDescent="0.25">
      <c r="A285">
        <v>274</v>
      </c>
      <c r="B285" s="1">
        <v>45657</v>
      </c>
      <c r="C285">
        <v>31</v>
      </c>
      <c r="D285" t="str">
        <f t="shared" si="46"/>
        <v>2215</v>
      </c>
      <c r="E285" t="str">
        <f t="shared" si="47"/>
        <v>Краткосрочные вклады юридических лиц</v>
      </c>
      <c r="F285" t="str">
        <f>"1"</f>
        <v>1</v>
      </c>
      <c r="G285" t="str">
        <f>"6"</f>
        <v>6</v>
      </c>
      <c r="H285" t="str">
        <f>"1"</f>
        <v>1</v>
      </c>
      <c r="I285" s="2">
        <v>9544846839.25</v>
      </c>
    </row>
    <row r="286" spans="1:9" x14ac:dyDescent="0.25">
      <c r="A286">
        <v>275</v>
      </c>
      <c r="B286" s="1">
        <v>45657</v>
      </c>
      <c r="C286">
        <v>31</v>
      </c>
      <c r="D286" t="str">
        <f t="shared" si="46"/>
        <v>2215</v>
      </c>
      <c r="E286" t="str">
        <f t="shared" si="47"/>
        <v>Краткосрочные вклады юридических лиц</v>
      </c>
      <c r="F286" t="str">
        <f>"1"</f>
        <v>1</v>
      </c>
      <c r="G286" t="str">
        <f>"8"</f>
        <v>8</v>
      </c>
      <c r="H286" t="str">
        <f>"1"</f>
        <v>1</v>
      </c>
      <c r="I286" s="2">
        <v>15375250687.709999</v>
      </c>
    </row>
    <row r="287" spans="1:9" x14ac:dyDescent="0.25">
      <c r="A287">
        <v>276</v>
      </c>
      <c r="B287" s="1">
        <v>45657</v>
      </c>
      <c r="C287">
        <v>31</v>
      </c>
      <c r="D287" t="str">
        <f t="shared" si="46"/>
        <v>2215</v>
      </c>
      <c r="E287" t="str">
        <f t="shared" si="47"/>
        <v>Краткосрочные вклады юридических лиц</v>
      </c>
      <c r="F287" t="str">
        <f>"1"</f>
        <v>1</v>
      </c>
      <c r="G287" t="str">
        <f>"7"</f>
        <v>7</v>
      </c>
      <c r="H287" t="str">
        <f>"1"</f>
        <v>1</v>
      </c>
      <c r="I287" s="2">
        <v>94804183146.970001</v>
      </c>
    </row>
    <row r="288" spans="1:9" x14ac:dyDescent="0.25">
      <c r="A288">
        <v>277</v>
      </c>
      <c r="B288" s="1">
        <v>45657</v>
      </c>
      <c r="C288">
        <v>31</v>
      </c>
      <c r="D288" t="str">
        <f t="shared" si="46"/>
        <v>2215</v>
      </c>
      <c r="E288" t="str">
        <f t="shared" si="47"/>
        <v>Краткосрочные вклады юридических лиц</v>
      </c>
      <c r="F288" t="str">
        <f>"2"</f>
        <v>2</v>
      </c>
      <c r="G288" t="str">
        <f>"7"</f>
        <v>7</v>
      </c>
      <c r="H288" t="str">
        <f>"1"</f>
        <v>1</v>
      </c>
      <c r="I288" s="2">
        <v>3000000</v>
      </c>
    </row>
    <row r="289" spans="1:9" x14ac:dyDescent="0.25">
      <c r="A289">
        <v>278</v>
      </c>
      <c r="B289" s="1">
        <v>45657</v>
      </c>
      <c r="C289">
        <v>31</v>
      </c>
      <c r="D289" t="str">
        <f t="shared" si="46"/>
        <v>2215</v>
      </c>
      <c r="E289" t="str">
        <f t="shared" si="47"/>
        <v>Краткосрочные вклады юридических лиц</v>
      </c>
      <c r="F289" t="str">
        <f>"1"</f>
        <v>1</v>
      </c>
      <c r="G289" t="str">
        <f>"7"</f>
        <v>7</v>
      </c>
      <c r="H289" t="str">
        <f>"2"</f>
        <v>2</v>
      </c>
      <c r="I289" s="2">
        <v>4752032394.6000004</v>
      </c>
    </row>
    <row r="290" spans="1:9" x14ac:dyDescent="0.25">
      <c r="A290">
        <v>279</v>
      </c>
      <c r="B290" s="1">
        <v>45657</v>
      </c>
      <c r="C290">
        <v>31</v>
      </c>
      <c r="D290" t="str">
        <f t="shared" si="46"/>
        <v>2215</v>
      </c>
      <c r="E290" t="str">
        <f t="shared" si="47"/>
        <v>Краткосрочные вклады юридических лиц</v>
      </c>
      <c r="F290" t="str">
        <f>"1"</f>
        <v>1</v>
      </c>
      <c r="G290" t="str">
        <f>"8"</f>
        <v>8</v>
      </c>
      <c r="H290" t="str">
        <f>"2"</f>
        <v>2</v>
      </c>
      <c r="I290" s="2">
        <v>105022000</v>
      </c>
    </row>
    <row r="291" spans="1:9" x14ac:dyDescent="0.25">
      <c r="A291">
        <v>280</v>
      </c>
      <c r="B291" s="1">
        <v>45657</v>
      </c>
      <c r="C291">
        <v>31</v>
      </c>
      <c r="D291" t="str">
        <f t="shared" si="46"/>
        <v>2215</v>
      </c>
      <c r="E291" t="str">
        <f t="shared" si="47"/>
        <v>Краткосрочные вклады юридических лиц</v>
      </c>
      <c r="F291" t="str">
        <f>"1"</f>
        <v>1</v>
      </c>
      <c r="G291" t="str">
        <f>"5"</f>
        <v>5</v>
      </c>
      <c r="H291" t="str">
        <f>"2"</f>
        <v>2</v>
      </c>
      <c r="I291" s="2">
        <v>506251756.07999998</v>
      </c>
    </row>
    <row r="292" spans="1:9" x14ac:dyDescent="0.25">
      <c r="A292">
        <v>281</v>
      </c>
      <c r="B292" s="1">
        <v>45657</v>
      </c>
      <c r="C292">
        <v>31</v>
      </c>
      <c r="D292" t="str">
        <f t="shared" si="46"/>
        <v>2215</v>
      </c>
      <c r="E292" t="str">
        <f t="shared" si="47"/>
        <v>Краткосрочные вклады юридических лиц</v>
      </c>
      <c r="F292" t="str">
        <f>"2"</f>
        <v>2</v>
      </c>
      <c r="G292" t="str">
        <f>"7"</f>
        <v>7</v>
      </c>
      <c r="H292" t="str">
        <f>"2"</f>
        <v>2</v>
      </c>
      <c r="I292" s="2">
        <v>99284915.950000003</v>
      </c>
    </row>
    <row r="293" spans="1:9" x14ac:dyDescent="0.25">
      <c r="A293">
        <v>282</v>
      </c>
      <c r="B293" s="1">
        <v>45657</v>
      </c>
      <c r="C293">
        <v>31</v>
      </c>
      <c r="D293" t="str">
        <f>"2217"</f>
        <v>2217</v>
      </c>
      <c r="E293" t="str">
        <f>"Долгосрочные вклады юридических лиц"</f>
        <v>Долгосрочные вклады юридических лиц</v>
      </c>
      <c r="F293" t="str">
        <f t="shared" ref="F293:F301" si="48">"1"</f>
        <v>1</v>
      </c>
      <c r="G293" t="str">
        <f>"5"</f>
        <v>5</v>
      </c>
      <c r="H293" t="str">
        <f>"1"</f>
        <v>1</v>
      </c>
      <c r="I293" s="2">
        <v>2564790913.98</v>
      </c>
    </row>
    <row r="294" spans="1:9" x14ac:dyDescent="0.25">
      <c r="A294">
        <v>283</v>
      </c>
      <c r="B294" s="1">
        <v>45657</v>
      </c>
      <c r="C294">
        <v>31</v>
      </c>
      <c r="D294" t="str">
        <f>"2217"</f>
        <v>2217</v>
      </c>
      <c r="E294" t="str">
        <f>"Долгосрочные вклады юридических лиц"</f>
        <v>Долгосрочные вклады юридических лиц</v>
      </c>
      <c r="F294" t="str">
        <f t="shared" si="48"/>
        <v>1</v>
      </c>
      <c r="G294" t="str">
        <f>"7"</f>
        <v>7</v>
      </c>
      <c r="H294" t="str">
        <f>"1"</f>
        <v>1</v>
      </c>
      <c r="I294" s="2">
        <v>626309916.03999996</v>
      </c>
    </row>
    <row r="295" spans="1:9" x14ac:dyDescent="0.25">
      <c r="A295">
        <v>284</v>
      </c>
      <c r="B295" s="1">
        <v>45657</v>
      </c>
      <c r="C295">
        <v>31</v>
      </c>
      <c r="D295" t="str">
        <f>"2217"</f>
        <v>2217</v>
      </c>
      <c r="E295" t="str">
        <f>"Долгосрочные вклады юридических лиц"</f>
        <v>Долгосрочные вклады юридических лиц</v>
      </c>
      <c r="F295" t="str">
        <f t="shared" si="48"/>
        <v>1</v>
      </c>
      <c r="G295" t="str">
        <f>"6"</f>
        <v>6</v>
      </c>
      <c r="H295" t="str">
        <f>"1"</f>
        <v>1</v>
      </c>
      <c r="I295" s="2">
        <v>1289212159.0699999</v>
      </c>
    </row>
    <row r="296" spans="1:9" x14ac:dyDescent="0.25">
      <c r="A296">
        <v>285</v>
      </c>
      <c r="B296" s="1">
        <v>45657</v>
      </c>
      <c r="C296">
        <v>31</v>
      </c>
      <c r="D296" t="str">
        <f>"2217"</f>
        <v>2217</v>
      </c>
      <c r="E296" t="str">
        <f>"Долгосрочные вклады юридических лиц"</f>
        <v>Долгосрочные вклады юридических лиц</v>
      </c>
      <c r="F296" t="str">
        <f t="shared" si="48"/>
        <v>1</v>
      </c>
      <c r="G296" t="str">
        <f>"8"</f>
        <v>8</v>
      </c>
      <c r="H296" t="str">
        <f>"1"</f>
        <v>1</v>
      </c>
      <c r="I296" s="2">
        <v>267000000</v>
      </c>
    </row>
    <row r="297" spans="1:9" x14ac:dyDescent="0.25">
      <c r="A297">
        <v>286</v>
      </c>
      <c r="B297" s="1">
        <v>45657</v>
      </c>
      <c r="C297">
        <v>31</v>
      </c>
      <c r="D297" t="str">
        <f>"2217"</f>
        <v>2217</v>
      </c>
      <c r="E297" t="str">
        <f>"Долгосрочные вклады юридических лиц"</f>
        <v>Долгосрочные вклады юридических лиц</v>
      </c>
      <c r="F297" t="str">
        <f t="shared" si="48"/>
        <v>1</v>
      </c>
      <c r="G297" t="str">
        <f>"7"</f>
        <v>7</v>
      </c>
      <c r="H297" t="str">
        <f>"2"</f>
        <v>2</v>
      </c>
      <c r="I297" s="2">
        <v>364949323.30000001</v>
      </c>
    </row>
    <row r="298" spans="1:9" x14ac:dyDescent="0.25">
      <c r="A298">
        <v>287</v>
      </c>
      <c r="B298" s="1">
        <v>45657</v>
      </c>
      <c r="C298">
        <v>31</v>
      </c>
      <c r="D298" t="str">
        <f>"2218"</f>
        <v>2218</v>
      </c>
      <c r="E298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F298" t="str">
        <f t="shared" si="48"/>
        <v>1</v>
      </c>
      <c r="G298" t="str">
        <f>"7"</f>
        <v>7</v>
      </c>
      <c r="H298" t="str">
        <f>"2"</f>
        <v>2</v>
      </c>
      <c r="I298" s="2">
        <v>1057755.33</v>
      </c>
    </row>
    <row r="299" spans="1:9" x14ac:dyDescent="0.25">
      <c r="A299">
        <v>288</v>
      </c>
      <c r="B299" s="1">
        <v>45657</v>
      </c>
      <c r="C299">
        <v>31</v>
      </c>
      <c r="D299" t="str">
        <f>"2219"</f>
        <v>2219</v>
      </c>
      <c r="E299" t="str">
        <f>"Условные вклады юридических лиц"</f>
        <v>Условные вклады юридических лиц</v>
      </c>
      <c r="F299" t="str">
        <f t="shared" si="48"/>
        <v>1</v>
      </c>
      <c r="G299" t="str">
        <f>"6"</f>
        <v>6</v>
      </c>
      <c r="H299" t="str">
        <f>"1"</f>
        <v>1</v>
      </c>
      <c r="I299" s="2">
        <v>390216</v>
      </c>
    </row>
    <row r="300" spans="1:9" x14ac:dyDescent="0.25">
      <c r="A300">
        <v>289</v>
      </c>
      <c r="B300" s="1">
        <v>45657</v>
      </c>
      <c r="C300">
        <v>31</v>
      </c>
      <c r="D300" t="str">
        <f>"2219"</f>
        <v>2219</v>
      </c>
      <c r="E300" t="str">
        <f>"Условные вклады юридических лиц"</f>
        <v>Условные вклады юридических лиц</v>
      </c>
      <c r="F300" t="str">
        <f t="shared" si="48"/>
        <v>1</v>
      </c>
      <c r="G300" t="str">
        <f>"7"</f>
        <v>7</v>
      </c>
      <c r="H300" t="str">
        <f>"1"</f>
        <v>1</v>
      </c>
      <c r="I300" s="2">
        <v>1167564468.3099999</v>
      </c>
    </row>
    <row r="301" spans="1:9" x14ac:dyDescent="0.25">
      <c r="A301">
        <v>290</v>
      </c>
      <c r="B301" s="1">
        <v>45657</v>
      </c>
      <c r="C301">
        <v>31</v>
      </c>
      <c r="D301" t="str">
        <f>"2219"</f>
        <v>2219</v>
      </c>
      <c r="E301" t="str">
        <f>"Условные вклады юридических лиц"</f>
        <v>Условные вклады юридических лиц</v>
      </c>
      <c r="F301" t="str">
        <f t="shared" si="48"/>
        <v>1</v>
      </c>
      <c r="G301" t="str">
        <f>"7"</f>
        <v>7</v>
      </c>
      <c r="H301" t="str">
        <f>"2"</f>
        <v>2</v>
      </c>
      <c r="I301" s="2">
        <v>3702765947.1100001</v>
      </c>
    </row>
    <row r="302" spans="1:9" x14ac:dyDescent="0.25">
      <c r="A302">
        <v>291</v>
      </c>
      <c r="B302" s="1">
        <v>45657</v>
      </c>
      <c r="C302">
        <v>31</v>
      </c>
      <c r="D302" t="str">
        <f>"2219"</f>
        <v>2219</v>
      </c>
      <c r="E302" t="str">
        <f>"Условные вклады юридических лиц"</f>
        <v>Условные вклады юридических лиц</v>
      </c>
      <c r="F302" t="str">
        <f>"2"</f>
        <v>2</v>
      </c>
      <c r="G302" t="str">
        <f>"7"</f>
        <v>7</v>
      </c>
      <c r="H302" t="str">
        <f>"1"</f>
        <v>1</v>
      </c>
      <c r="I302" s="2">
        <v>584768.74</v>
      </c>
    </row>
    <row r="303" spans="1:9" x14ac:dyDescent="0.25">
      <c r="A303">
        <v>292</v>
      </c>
      <c r="B303" s="1">
        <v>45657</v>
      </c>
      <c r="C303">
        <v>31</v>
      </c>
      <c r="D303" t="str">
        <f>"2220"</f>
        <v>2220</v>
      </c>
      <c r="E303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303" t="str">
        <f t="shared" ref="F303:F308" si="49">"1"</f>
        <v>1</v>
      </c>
      <c r="G303" t="str">
        <f>"7"</f>
        <v>7</v>
      </c>
      <c r="H303" t="str">
        <f>"1"</f>
        <v>1</v>
      </c>
      <c r="I303" s="2">
        <v>150000000</v>
      </c>
    </row>
    <row r="304" spans="1:9" x14ac:dyDescent="0.25">
      <c r="A304">
        <v>293</v>
      </c>
      <c r="B304" s="1">
        <v>45657</v>
      </c>
      <c r="C304">
        <v>31</v>
      </c>
      <c r="D304" t="str">
        <f>"2223"</f>
        <v>2223</v>
      </c>
      <c r="E30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04" t="str">
        <f t="shared" si="49"/>
        <v>1</v>
      </c>
      <c r="G304" t="str">
        <f>"5"</f>
        <v>5</v>
      </c>
      <c r="H304" t="str">
        <f>"1"</f>
        <v>1</v>
      </c>
      <c r="I304" s="2">
        <v>63000000</v>
      </c>
    </row>
    <row r="305" spans="1:9" x14ac:dyDescent="0.25">
      <c r="A305">
        <v>294</v>
      </c>
      <c r="B305" s="1">
        <v>45657</v>
      </c>
      <c r="C305">
        <v>31</v>
      </c>
      <c r="D305" t="str">
        <f>"2223"</f>
        <v>2223</v>
      </c>
      <c r="E305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05" t="str">
        <f t="shared" si="49"/>
        <v>1</v>
      </c>
      <c r="G305" t="str">
        <f>"7"</f>
        <v>7</v>
      </c>
      <c r="H305" t="str">
        <f>"2"</f>
        <v>2</v>
      </c>
      <c r="I305" s="2">
        <v>553097900.89999998</v>
      </c>
    </row>
    <row r="306" spans="1:9" x14ac:dyDescent="0.25">
      <c r="A306">
        <v>295</v>
      </c>
      <c r="B306" s="1">
        <v>45657</v>
      </c>
      <c r="C306">
        <v>31</v>
      </c>
      <c r="D306" t="str">
        <f>"2223"</f>
        <v>2223</v>
      </c>
      <c r="E306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306" t="str">
        <f t="shared" si="49"/>
        <v>1</v>
      </c>
      <c r="G306" t="str">
        <f>"7"</f>
        <v>7</v>
      </c>
      <c r="H306" t="str">
        <f t="shared" ref="H306:H311" si="50">"1"</f>
        <v>1</v>
      </c>
      <c r="I306" s="2">
        <v>7201222590.1499996</v>
      </c>
    </row>
    <row r="307" spans="1:9" x14ac:dyDescent="0.25">
      <c r="A307">
        <v>296</v>
      </c>
      <c r="B307" s="1">
        <v>45657</v>
      </c>
      <c r="C307">
        <v>31</v>
      </c>
      <c r="D307" t="str">
        <f>"2227"</f>
        <v>2227</v>
      </c>
      <c r="E307" t="str">
        <f>"Обязательства по аренде"</f>
        <v>Обязательства по аренде</v>
      </c>
      <c r="F307" t="str">
        <f t="shared" si="49"/>
        <v>1</v>
      </c>
      <c r="G307" t="str">
        <f>"7"</f>
        <v>7</v>
      </c>
      <c r="H307" t="str">
        <f t="shared" si="50"/>
        <v>1</v>
      </c>
      <c r="I307" s="2">
        <v>573831619.36000001</v>
      </c>
    </row>
    <row r="308" spans="1:9" x14ac:dyDescent="0.25">
      <c r="A308">
        <v>297</v>
      </c>
      <c r="B308" s="1">
        <v>45657</v>
      </c>
      <c r="C308">
        <v>31</v>
      </c>
      <c r="D308" t="str">
        <f>"2227"</f>
        <v>2227</v>
      </c>
      <c r="E308" t="str">
        <f>"Обязательства по аренде"</f>
        <v>Обязательства по аренде</v>
      </c>
      <c r="F308" t="str">
        <f t="shared" si="49"/>
        <v>1</v>
      </c>
      <c r="G308" t="str">
        <f>"9"</f>
        <v>9</v>
      </c>
      <c r="H308" t="str">
        <f t="shared" si="50"/>
        <v>1</v>
      </c>
      <c r="I308" s="2">
        <v>433486929.60000002</v>
      </c>
    </row>
    <row r="309" spans="1:9" x14ac:dyDescent="0.25">
      <c r="A309">
        <v>298</v>
      </c>
      <c r="B309" s="1">
        <v>45657</v>
      </c>
      <c r="C309">
        <v>31</v>
      </c>
      <c r="D309" t="str">
        <f>"2229"</f>
        <v>2229</v>
      </c>
      <c r="E309" t="str">
        <f>"Сберегательные вклады физических лиц (более одного года)"</f>
        <v>Сберегательные вклады физических лиц (более одного года)</v>
      </c>
      <c r="F309" t="str">
        <f>"2"</f>
        <v>2</v>
      </c>
      <c r="G309" t="str">
        <f>"9"</f>
        <v>9</v>
      </c>
      <c r="H309" t="str">
        <f t="shared" si="50"/>
        <v>1</v>
      </c>
      <c r="I309" s="2">
        <v>34206.57</v>
      </c>
    </row>
    <row r="310" spans="1:9" x14ac:dyDescent="0.25">
      <c r="A310">
        <v>299</v>
      </c>
      <c r="B310" s="1">
        <v>45657</v>
      </c>
      <c r="C310">
        <v>31</v>
      </c>
      <c r="D310" t="str">
        <f>"2229"</f>
        <v>2229</v>
      </c>
      <c r="E310" t="str">
        <f>"Сберегательные вклады физических лиц (более одного года)"</f>
        <v>Сберегательные вклады физических лиц (более одного года)</v>
      </c>
      <c r="F310" t="str">
        <f t="shared" ref="F310:F316" si="51">"1"</f>
        <v>1</v>
      </c>
      <c r="G310" t="str">
        <f>"9"</f>
        <v>9</v>
      </c>
      <c r="H310" t="str">
        <f t="shared" si="50"/>
        <v>1</v>
      </c>
      <c r="I310" s="2">
        <v>651048032.46000004</v>
      </c>
    </row>
    <row r="311" spans="1:9" x14ac:dyDescent="0.25">
      <c r="A311">
        <v>300</v>
      </c>
      <c r="B311" s="1">
        <v>45657</v>
      </c>
      <c r="C311">
        <v>31</v>
      </c>
      <c r="D311" t="str">
        <f t="shared" ref="D311:D323" si="52">"2237"</f>
        <v>2237</v>
      </c>
      <c r="E311" t="str">
        <f t="shared" ref="E311:E323" si="53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311" t="str">
        <f t="shared" si="51"/>
        <v>1</v>
      </c>
      <c r="G311" t="str">
        <f>"5"</f>
        <v>5</v>
      </c>
      <c r="H311" t="str">
        <f t="shared" si="50"/>
        <v>1</v>
      </c>
      <c r="I311" s="2">
        <v>30000</v>
      </c>
    </row>
    <row r="312" spans="1:9" x14ac:dyDescent="0.25">
      <c r="A312">
        <v>301</v>
      </c>
      <c r="B312" s="1">
        <v>45657</v>
      </c>
      <c r="C312">
        <v>31</v>
      </c>
      <c r="D312" t="str">
        <f t="shared" si="52"/>
        <v>2237</v>
      </c>
      <c r="E312" t="str">
        <f t="shared" si="53"/>
        <v>Счет хранения указаний отправителя в соответствии с валютным законодательством Республики Казахстан</v>
      </c>
      <c r="F312" t="str">
        <f t="shared" si="51"/>
        <v>1</v>
      </c>
      <c r="G312" t="str">
        <f>"5"</f>
        <v>5</v>
      </c>
      <c r="H312" t="str">
        <f>"2"</f>
        <v>2</v>
      </c>
      <c r="I312" s="2">
        <v>6563110.5099999998</v>
      </c>
    </row>
    <row r="313" spans="1:9" x14ac:dyDescent="0.25">
      <c r="A313">
        <v>302</v>
      </c>
      <c r="B313" s="1">
        <v>45657</v>
      </c>
      <c r="C313">
        <v>31</v>
      </c>
      <c r="D313" t="str">
        <f t="shared" si="52"/>
        <v>2237</v>
      </c>
      <c r="E313" t="str">
        <f t="shared" si="53"/>
        <v>Счет хранения указаний отправителя в соответствии с валютным законодательством Республики Казахстан</v>
      </c>
      <c r="F313" t="str">
        <f t="shared" si="51"/>
        <v>1</v>
      </c>
      <c r="G313" t="str">
        <f>"7"</f>
        <v>7</v>
      </c>
      <c r="H313" t="str">
        <f>"1"</f>
        <v>1</v>
      </c>
      <c r="I313" s="2">
        <v>206609810.66999999</v>
      </c>
    </row>
    <row r="314" spans="1:9" x14ac:dyDescent="0.25">
      <c r="A314">
        <v>303</v>
      </c>
      <c r="B314" s="1">
        <v>45657</v>
      </c>
      <c r="C314">
        <v>31</v>
      </c>
      <c r="D314" t="str">
        <f t="shared" si="52"/>
        <v>2237</v>
      </c>
      <c r="E314" t="str">
        <f t="shared" si="53"/>
        <v>Счет хранения указаний отправителя в соответствии с валютным законодательством Республики Казахстан</v>
      </c>
      <c r="F314" t="str">
        <f t="shared" si="51"/>
        <v>1</v>
      </c>
      <c r="G314" t="str">
        <f>"7"</f>
        <v>7</v>
      </c>
      <c r="H314" t="str">
        <f>"2"</f>
        <v>2</v>
      </c>
      <c r="I314" s="2">
        <v>482479007.56999999</v>
      </c>
    </row>
    <row r="315" spans="1:9" x14ac:dyDescent="0.25">
      <c r="A315">
        <v>304</v>
      </c>
      <c r="B315" s="1">
        <v>45657</v>
      </c>
      <c r="C315">
        <v>31</v>
      </c>
      <c r="D315" t="str">
        <f t="shared" si="52"/>
        <v>2237</v>
      </c>
      <c r="E315" t="str">
        <f t="shared" si="53"/>
        <v>Счет хранения указаний отправителя в соответствии с валютным законодательством Республики Казахстан</v>
      </c>
      <c r="F315" t="str">
        <f t="shared" si="51"/>
        <v>1</v>
      </c>
      <c r="G315" t="str">
        <f>"7"</f>
        <v>7</v>
      </c>
      <c r="H315" t="str">
        <f>"3"</f>
        <v>3</v>
      </c>
      <c r="I315" s="2">
        <v>710637201.27999997</v>
      </c>
    </row>
    <row r="316" spans="1:9" x14ac:dyDescent="0.25">
      <c r="A316">
        <v>305</v>
      </c>
      <c r="B316" s="1">
        <v>45657</v>
      </c>
      <c r="C316">
        <v>31</v>
      </c>
      <c r="D316" t="str">
        <f t="shared" si="52"/>
        <v>2237</v>
      </c>
      <c r="E316" t="str">
        <f t="shared" si="53"/>
        <v>Счет хранения указаний отправителя в соответствии с валютным законодательством Республики Казахстан</v>
      </c>
      <c r="F316" t="str">
        <f t="shared" si="51"/>
        <v>1</v>
      </c>
      <c r="G316" t="str">
        <f>"6"</f>
        <v>6</v>
      </c>
      <c r="H316" t="str">
        <f>"1"</f>
        <v>1</v>
      </c>
      <c r="I316" s="2">
        <v>200000</v>
      </c>
    </row>
    <row r="317" spans="1:9" x14ac:dyDescent="0.25">
      <c r="A317">
        <v>306</v>
      </c>
      <c r="B317" s="1">
        <v>45657</v>
      </c>
      <c r="C317">
        <v>31</v>
      </c>
      <c r="D317" t="str">
        <f t="shared" si="52"/>
        <v>2237</v>
      </c>
      <c r="E317" t="str">
        <f t="shared" si="53"/>
        <v>Счет хранения указаний отправителя в соответствии с валютным законодательством Республики Казахстан</v>
      </c>
      <c r="F317" t="str">
        <f>"2"</f>
        <v>2</v>
      </c>
      <c r="G317" t="str">
        <f>"7"</f>
        <v>7</v>
      </c>
      <c r="H317" t="str">
        <f>"2"</f>
        <v>2</v>
      </c>
      <c r="I317" s="2">
        <v>33145332.5</v>
      </c>
    </row>
    <row r="318" spans="1:9" x14ac:dyDescent="0.25">
      <c r="A318">
        <v>307</v>
      </c>
      <c r="B318" s="1">
        <v>45657</v>
      </c>
      <c r="C318">
        <v>31</v>
      </c>
      <c r="D318" t="str">
        <f t="shared" si="52"/>
        <v>2237</v>
      </c>
      <c r="E318" t="str">
        <f t="shared" si="53"/>
        <v>Счет хранения указаний отправителя в соответствии с валютным законодательством Республики Казахстан</v>
      </c>
      <c r="F318" t="str">
        <f>"1"</f>
        <v>1</v>
      </c>
      <c r="G318" t="str">
        <f>"9"</f>
        <v>9</v>
      </c>
      <c r="H318" t="str">
        <f>"3"</f>
        <v>3</v>
      </c>
      <c r="I318" s="2">
        <v>2986560</v>
      </c>
    </row>
    <row r="319" spans="1:9" x14ac:dyDescent="0.25">
      <c r="A319">
        <v>308</v>
      </c>
      <c r="B319" s="1">
        <v>45657</v>
      </c>
      <c r="C319">
        <v>31</v>
      </c>
      <c r="D319" t="str">
        <f t="shared" si="52"/>
        <v>2237</v>
      </c>
      <c r="E319" t="str">
        <f t="shared" si="53"/>
        <v>Счет хранения указаний отправителя в соответствии с валютным законодательством Республики Казахстан</v>
      </c>
      <c r="F319" t="str">
        <f>"1"</f>
        <v>1</v>
      </c>
      <c r="G319" t="str">
        <f>"9"</f>
        <v>9</v>
      </c>
      <c r="H319" t="str">
        <f>"1"</f>
        <v>1</v>
      </c>
      <c r="I319" s="2">
        <v>52850700</v>
      </c>
    </row>
    <row r="320" spans="1:9" x14ac:dyDescent="0.25">
      <c r="A320">
        <v>309</v>
      </c>
      <c r="B320" s="1">
        <v>45657</v>
      </c>
      <c r="C320">
        <v>31</v>
      </c>
      <c r="D320" t="str">
        <f t="shared" si="52"/>
        <v>2237</v>
      </c>
      <c r="E320" t="str">
        <f t="shared" si="53"/>
        <v>Счет хранения указаний отправителя в соответствии с валютным законодательством Республики Казахстан</v>
      </c>
      <c r="F320" t="str">
        <f>"2"</f>
        <v>2</v>
      </c>
      <c r="G320" t="str">
        <f>"7"</f>
        <v>7</v>
      </c>
      <c r="H320" t="str">
        <f>"3"</f>
        <v>3</v>
      </c>
      <c r="I320" s="2">
        <v>71200334.450000003</v>
      </c>
    </row>
    <row r="321" spans="1:9" x14ac:dyDescent="0.25">
      <c r="A321">
        <v>310</v>
      </c>
      <c r="B321" s="1">
        <v>45657</v>
      </c>
      <c r="C321">
        <v>31</v>
      </c>
      <c r="D321" t="str">
        <f t="shared" si="52"/>
        <v>2237</v>
      </c>
      <c r="E321" t="str">
        <f t="shared" si="53"/>
        <v>Счет хранения указаний отправителя в соответствии с валютным законодательством Республики Казахстан</v>
      </c>
      <c r="F321" t="str">
        <f>"1"</f>
        <v>1</v>
      </c>
      <c r="G321" t="str">
        <f>"9"</f>
        <v>9</v>
      </c>
      <c r="H321" t="str">
        <f>"2"</f>
        <v>2</v>
      </c>
      <c r="I321" s="2">
        <v>62087054.799999997</v>
      </c>
    </row>
    <row r="322" spans="1:9" x14ac:dyDescent="0.25">
      <c r="A322">
        <v>311</v>
      </c>
      <c r="B322" s="1">
        <v>45657</v>
      </c>
      <c r="C322">
        <v>31</v>
      </c>
      <c r="D322" t="str">
        <f t="shared" si="52"/>
        <v>2237</v>
      </c>
      <c r="E322" t="str">
        <f t="shared" si="53"/>
        <v>Счет хранения указаний отправителя в соответствии с валютным законодательством Республики Казахстан</v>
      </c>
      <c r="F322" t="str">
        <f>"2"</f>
        <v>2</v>
      </c>
      <c r="G322" t="str">
        <f>"9"</f>
        <v>9</v>
      </c>
      <c r="H322" t="str">
        <f>"3"</f>
        <v>3</v>
      </c>
      <c r="I322" s="2">
        <v>983346.94</v>
      </c>
    </row>
    <row r="323" spans="1:9" x14ac:dyDescent="0.25">
      <c r="A323">
        <v>312</v>
      </c>
      <c r="B323" s="1">
        <v>45657</v>
      </c>
      <c r="C323">
        <v>31</v>
      </c>
      <c r="D323" t="str">
        <f t="shared" si="52"/>
        <v>2237</v>
      </c>
      <c r="E323" t="str">
        <f t="shared" si="53"/>
        <v>Счет хранения указаний отправителя в соответствии с валютным законодательством Республики Казахстан</v>
      </c>
      <c r="F323" t="str">
        <f>"2"</f>
        <v>2</v>
      </c>
      <c r="G323" t="str">
        <f>"9"</f>
        <v>9</v>
      </c>
      <c r="H323" t="str">
        <f>"2"</f>
        <v>2</v>
      </c>
      <c r="I323" s="2">
        <v>5318387.6500000004</v>
      </c>
    </row>
    <row r="324" spans="1:9" x14ac:dyDescent="0.25">
      <c r="A324">
        <v>313</v>
      </c>
      <c r="B324" s="1">
        <v>45657</v>
      </c>
      <c r="C324">
        <v>31</v>
      </c>
      <c r="D324" t="str">
        <f>"2240"</f>
        <v>2240</v>
      </c>
      <c r="E32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24" t="str">
        <f t="shared" ref="F324:F332" si="54">"1"</f>
        <v>1</v>
      </c>
      <c r="G324" t="str">
        <f>"7"</f>
        <v>7</v>
      </c>
      <c r="H324" t="str">
        <f>"1"</f>
        <v>1</v>
      </c>
      <c r="I324" s="2">
        <v>3771548263.4899998</v>
      </c>
    </row>
    <row r="325" spans="1:9" x14ac:dyDescent="0.25">
      <c r="A325">
        <v>314</v>
      </c>
      <c r="B325" s="1">
        <v>45657</v>
      </c>
      <c r="C325">
        <v>31</v>
      </c>
      <c r="D325" t="str">
        <f>"2240"</f>
        <v>2240</v>
      </c>
      <c r="E32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25" t="str">
        <f t="shared" si="54"/>
        <v>1</v>
      </c>
      <c r="G325" t="str">
        <f>"5"</f>
        <v>5</v>
      </c>
      <c r="H325" t="str">
        <f>"1"</f>
        <v>1</v>
      </c>
      <c r="I325" s="2">
        <v>11000000</v>
      </c>
    </row>
    <row r="326" spans="1:9" x14ac:dyDescent="0.25">
      <c r="A326">
        <v>315</v>
      </c>
      <c r="B326" s="1">
        <v>45657</v>
      </c>
      <c r="C326">
        <v>31</v>
      </c>
      <c r="D326" t="str">
        <f>"2240"</f>
        <v>2240</v>
      </c>
      <c r="E32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326" t="str">
        <f t="shared" si="54"/>
        <v>1</v>
      </c>
      <c r="G326" t="str">
        <f>"9"</f>
        <v>9</v>
      </c>
      <c r="H326" t="str">
        <f>"1"</f>
        <v>1</v>
      </c>
      <c r="I326" s="2">
        <v>2593189947.8899999</v>
      </c>
    </row>
    <row r="327" spans="1:9" x14ac:dyDescent="0.25">
      <c r="A327">
        <v>316</v>
      </c>
      <c r="B327" s="1">
        <v>45657</v>
      </c>
      <c r="C327">
        <v>31</v>
      </c>
      <c r="D327" t="str">
        <f>"2241"</f>
        <v>2241</v>
      </c>
      <c r="E32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27" t="str">
        <f t="shared" si="54"/>
        <v>1</v>
      </c>
      <c r="G327" t="str">
        <f>"9"</f>
        <v>9</v>
      </c>
      <c r="H327" t="str">
        <f>"1"</f>
        <v>1</v>
      </c>
      <c r="I327" s="2">
        <v>10706028220.6</v>
      </c>
    </row>
    <row r="328" spans="1:9" x14ac:dyDescent="0.25">
      <c r="A328">
        <v>317</v>
      </c>
      <c r="B328" s="1">
        <v>45657</v>
      </c>
      <c r="C328">
        <v>31</v>
      </c>
      <c r="D328" t="str">
        <f>"2241"</f>
        <v>2241</v>
      </c>
      <c r="E32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328" t="str">
        <f t="shared" si="54"/>
        <v>1</v>
      </c>
      <c r="G328" t="str">
        <f>"9"</f>
        <v>9</v>
      </c>
      <c r="H328" t="str">
        <f>"2"</f>
        <v>2</v>
      </c>
      <c r="I328" s="2">
        <v>5324930466</v>
      </c>
    </row>
    <row r="329" spans="1:9" x14ac:dyDescent="0.25">
      <c r="A329">
        <v>318</v>
      </c>
      <c r="B329" s="1">
        <v>45657</v>
      </c>
      <c r="C329">
        <v>31</v>
      </c>
      <c r="D329" t="str">
        <f>"2301"</f>
        <v>2301</v>
      </c>
      <c r="E329" t="str">
        <f>"Выпущенные в обращение облигации"</f>
        <v>Выпущенные в обращение облигации</v>
      </c>
      <c r="F329" t="str">
        <f t="shared" si="54"/>
        <v>1</v>
      </c>
      <c r="G329" t="str">
        <f>"4"</f>
        <v>4</v>
      </c>
      <c r="H329" t="str">
        <f>"1"</f>
        <v>1</v>
      </c>
      <c r="I329" s="2">
        <v>15000000000</v>
      </c>
    </row>
    <row r="330" spans="1:9" x14ac:dyDescent="0.25">
      <c r="A330">
        <v>319</v>
      </c>
      <c r="B330" s="1">
        <v>45657</v>
      </c>
      <c r="C330">
        <v>31</v>
      </c>
      <c r="D330" t="str">
        <f>"2306"</f>
        <v>2306</v>
      </c>
      <c r="E330" t="str">
        <f>"Выкупленные облигации"</f>
        <v>Выкупленные облигации</v>
      </c>
      <c r="F330" t="str">
        <f t="shared" si="54"/>
        <v>1</v>
      </c>
      <c r="G330" t="str">
        <f>"4"</f>
        <v>4</v>
      </c>
      <c r="H330" t="str">
        <f>"1"</f>
        <v>1</v>
      </c>
      <c r="I330" s="2">
        <v>-5000000000</v>
      </c>
    </row>
    <row r="331" spans="1:9" x14ac:dyDescent="0.25">
      <c r="A331">
        <v>320</v>
      </c>
      <c r="B331" s="1">
        <v>45657</v>
      </c>
      <c r="C331">
        <v>31</v>
      </c>
      <c r="D331" t="str">
        <f>"2404"</f>
        <v>2404</v>
      </c>
      <c r="E331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331" t="str">
        <f t="shared" si="54"/>
        <v>1</v>
      </c>
      <c r="G331" t="str">
        <f>"4"</f>
        <v>4</v>
      </c>
      <c r="H331" t="str">
        <f>"1"</f>
        <v>1</v>
      </c>
      <c r="I331" s="2">
        <v>-26391678322.560001</v>
      </c>
    </row>
    <row r="332" spans="1:9" x14ac:dyDescent="0.25">
      <c r="A332">
        <v>321</v>
      </c>
      <c r="B332" s="1">
        <v>45657</v>
      </c>
      <c r="C332">
        <v>31</v>
      </c>
      <c r="D332" t="str">
        <f>"2406"</f>
        <v>2406</v>
      </c>
      <c r="E332" t="str">
        <f>"Субординированные облигации"</f>
        <v>Субординированные облигации</v>
      </c>
      <c r="F332" t="str">
        <f t="shared" si="54"/>
        <v>1</v>
      </c>
      <c r="G332" t="str">
        <f>"4"</f>
        <v>4</v>
      </c>
      <c r="H332" t="str">
        <f>"1"</f>
        <v>1</v>
      </c>
      <c r="I332" s="2">
        <v>56311674975</v>
      </c>
    </row>
    <row r="333" spans="1:9" x14ac:dyDescent="0.25">
      <c r="A333">
        <v>322</v>
      </c>
      <c r="B333" s="1">
        <v>45657</v>
      </c>
      <c r="C333">
        <v>31</v>
      </c>
      <c r="D333" t="str">
        <f>"2701"</f>
        <v>2701</v>
      </c>
      <c r="E333" t="str">
        <f>"Начисленные расходы по корреспондентским счетам"</f>
        <v>Начисленные расходы по корреспондентским счетам</v>
      </c>
      <c r="F333" t="str">
        <f>"2"</f>
        <v>2</v>
      </c>
      <c r="G333" t="str">
        <f>"4"</f>
        <v>4</v>
      </c>
      <c r="H333" t="str">
        <f>"2"</f>
        <v>2</v>
      </c>
      <c r="I333" s="2">
        <v>191250.19</v>
      </c>
    </row>
    <row r="334" spans="1:9" x14ac:dyDescent="0.25">
      <c r="A334">
        <v>323</v>
      </c>
      <c r="B334" s="1">
        <v>45657</v>
      </c>
      <c r="C334">
        <v>31</v>
      </c>
      <c r="D334" t="str">
        <f>"2703"</f>
        <v>2703</v>
      </c>
      <c r="E334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334" t="str">
        <f t="shared" ref="F334:F346" si="55">"1"</f>
        <v>1</v>
      </c>
      <c r="G334" t="str">
        <f>"5"</f>
        <v>5</v>
      </c>
      <c r="H334" t="str">
        <f>"1"</f>
        <v>1</v>
      </c>
      <c r="I334" s="2">
        <v>4178469.48</v>
      </c>
    </row>
    <row r="335" spans="1:9" x14ac:dyDescent="0.25">
      <c r="A335">
        <v>324</v>
      </c>
      <c r="B335" s="1">
        <v>45657</v>
      </c>
      <c r="C335">
        <v>31</v>
      </c>
      <c r="D335" t="str">
        <f>"2705"</f>
        <v>2705</v>
      </c>
      <c r="E335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335" t="str">
        <f t="shared" si="55"/>
        <v>1</v>
      </c>
      <c r="G335" t="str">
        <f>"4"</f>
        <v>4</v>
      </c>
      <c r="H335" t="str">
        <f>"1"</f>
        <v>1</v>
      </c>
      <c r="I335" s="2">
        <v>26445957.670000002</v>
      </c>
    </row>
    <row r="336" spans="1:9" x14ac:dyDescent="0.25">
      <c r="A336">
        <v>325</v>
      </c>
      <c r="B336" s="1">
        <v>45657</v>
      </c>
      <c r="C336">
        <v>31</v>
      </c>
      <c r="D336" t="str">
        <f>"2719"</f>
        <v>2719</v>
      </c>
      <c r="E336" t="str">
        <f>"Начисленные расходы по условным вкладам клиентов"</f>
        <v>Начисленные расходы по условным вкладам клиентов</v>
      </c>
      <c r="F336" t="str">
        <f t="shared" si="55"/>
        <v>1</v>
      </c>
      <c r="G336" t="str">
        <f>"7"</f>
        <v>7</v>
      </c>
      <c r="H336" t="str">
        <f>"1"</f>
        <v>1</v>
      </c>
      <c r="I336" s="2">
        <v>4462630.33</v>
      </c>
    </row>
    <row r="337" spans="1:9" x14ac:dyDescent="0.25">
      <c r="A337">
        <v>326</v>
      </c>
      <c r="B337" s="1">
        <v>45657</v>
      </c>
      <c r="C337">
        <v>31</v>
      </c>
      <c r="D337" t="str">
        <f>"2719"</f>
        <v>2719</v>
      </c>
      <c r="E337" t="str">
        <f>"Начисленные расходы по условным вкладам клиентов"</f>
        <v>Начисленные расходы по условным вкладам клиентов</v>
      </c>
      <c r="F337" t="str">
        <f t="shared" si="55"/>
        <v>1</v>
      </c>
      <c r="G337" t="str">
        <f>"9"</f>
        <v>9</v>
      </c>
      <c r="H337" t="str">
        <f>"1"</f>
        <v>1</v>
      </c>
      <c r="I337" s="2">
        <v>60593727.969999999</v>
      </c>
    </row>
    <row r="338" spans="1:9" x14ac:dyDescent="0.25">
      <c r="A338">
        <v>327</v>
      </c>
      <c r="B338" s="1">
        <v>45657</v>
      </c>
      <c r="C338">
        <v>31</v>
      </c>
      <c r="D338" t="str">
        <f>"2719"</f>
        <v>2719</v>
      </c>
      <c r="E338" t="str">
        <f>"Начисленные расходы по условным вкладам клиентов"</f>
        <v>Начисленные расходы по условным вкладам клиентов</v>
      </c>
      <c r="F338" t="str">
        <f t="shared" si="55"/>
        <v>1</v>
      </c>
      <c r="G338" t="str">
        <f>"6"</f>
        <v>6</v>
      </c>
      <c r="H338" t="str">
        <f>"1"</f>
        <v>1</v>
      </c>
      <c r="I338" s="2">
        <v>346.86</v>
      </c>
    </row>
    <row r="339" spans="1:9" x14ac:dyDescent="0.25">
      <c r="A339">
        <v>328</v>
      </c>
      <c r="B339" s="1">
        <v>45657</v>
      </c>
      <c r="C339">
        <v>31</v>
      </c>
      <c r="D339" t="str">
        <f>"2719"</f>
        <v>2719</v>
      </c>
      <c r="E339" t="str">
        <f>"Начисленные расходы по условным вкладам клиентов"</f>
        <v>Начисленные расходы по условным вкладам клиентов</v>
      </c>
      <c r="F339" t="str">
        <f t="shared" si="55"/>
        <v>1</v>
      </c>
      <c r="G339" t="str">
        <f>"7"</f>
        <v>7</v>
      </c>
      <c r="H339" t="str">
        <f>"2"</f>
        <v>2</v>
      </c>
      <c r="I339" s="2">
        <v>1470806.85</v>
      </c>
    </row>
    <row r="340" spans="1:9" x14ac:dyDescent="0.25">
      <c r="A340">
        <v>329</v>
      </c>
      <c r="B340" s="1">
        <v>45657</v>
      </c>
      <c r="C340">
        <v>31</v>
      </c>
      <c r="D340" t="str">
        <f t="shared" ref="D340:D352" si="56">"2721"</f>
        <v>2721</v>
      </c>
      <c r="E340" t="str">
        <f t="shared" ref="E340:E352" si="57">"Начисленные расходы по срочным вкладам клиентов"</f>
        <v>Начисленные расходы по срочным вкладам клиентов</v>
      </c>
      <c r="F340" t="str">
        <f t="shared" si="55"/>
        <v>1</v>
      </c>
      <c r="G340" t="str">
        <f>"5"</f>
        <v>5</v>
      </c>
      <c r="H340" t="str">
        <f>"1"</f>
        <v>1</v>
      </c>
      <c r="I340" s="2">
        <v>40870297.990000002</v>
      </c>
    </row>
    <row r="341" spans="1:9" x14ac:dyDescent="0.25">
      <c r="A341">
        <v>330</v>
      </c>
      <c r="B341" s="1">
        <v>45657</v>
      </c>
      <c r="C341">
        <v>31</v>
      </c>
      <c r="D341" t="str">
        <f t="shared" si="56"/>
        <v>2721</v>
      </c>
      <c r="E341" t="str">
        <f t="shared" si="57"/>
        <v>Начисленные расходы по срочным вкладам клиентов</v>
      </c>
      <c r="F341" t="str">
        <f t="shared" si="55"/>
        <v>1</v>
      </c>
      <c r="G341" t="str">
        <f>"5"</f>
        <v>5</v>
      </c>
      <c r="H341" t="str">
        <f>"2"</f>
        <v>2</v>
      </c>
      <c r="I341" s="2">
        <v>421847.12</v>
      </c>
    </row>
    <row r="342" spans="1:9" x14ac:dyDescent="0.25">
      <c r="A342">
        <v>331</v>
      </c>
      <c r="B342" s="1">
        <v>45657</v>
      </c>
      <c r="C342">
        <v>31</v>
      </c>
      <c r="D342" t="str">
        <f t="shared" si="56"/>
        <v>2721</v>
      </c>
      <c r="E342" t="str">
        <f t="shared" si="57"/>
        <v>Начисленные расходы по срочным вкладам клиентов</v>
      </c>
      <c r="F342" t="str">
        <f t="shared" si="55"/>
        <v>1</v>
      </c>
      <c r="G342" t="str">
        <f>"7"</f>
        <v>7</v>
      </c>
      <c r="H342" t="str">
        <f>"1"</f>
        <v>1</v>
      </c>
      <c r="I342" s="2">
        <v>925595758.11000001</v>
      </c>
    </row>
    <row r="343" spans="1:9" x14ac:dyDescent="0.25">
      <c r="A343">
        <v>332</v>
      </c>
      <c r="B343" s="1">
        <v>45657</v>
      </c>
      <c r="C343">
        <v>31</v>
      </c>
      <c r="D343" t="str">
        <f t="shared" si="56"/>
        <v>2721</v>
      </c>
      <c r="E343" t="str">
        <f t="shared" si="57"/>
        <v>Начисленные расходы по срочным вкладам клиентов</v>
      </c>
      <c r="F343" t="str">
        <f t="shared" si="55"/>
        <v>1</v>
      </c>
      <c r="G343" t="str">
        <f>"8"</f>
        <v>8</v>
      </c>
      <c r="H343" t="str">
        <f>"1"</f>
        <v>1</v>
      </c>
      <c r="I343" s="2">
        <v>195485029.94999999</v>
      </c>
    </row>
    <row r="344" spans="1:9" x14ac:dyDescent="0.25">
      <c r="A344">
        <v>333</v>
      </c>
      <c r="B344" s="1">
        <v>45657</v>
      </c>
      <c r="C344">
        <v>31</v>
      </c>
      <c r="D344" t="str">
        <f t="shared" si="56"/>
        <v>2721</v>
      </c>
      <c r="E344" t="str">
        <f t="shared" si="57"/>
        <v>Начисленные расходы по срочным вкладам клиентов</v>
      </c>
      <c r="F344" t="str">
        <f t="shared" si="55"/>
        <v>1</v>
      </c>
      <c r="G344" t="str">
        <f>"7"</f>
        <v>7</v>
      </c>
      <c r="H344" t="str">
        <f>"2"</f>
        <v>2</v>
      </c>
      <c r="I344" s="2">
        <v>7380552.3200000003</v>
      </c>
    </row>
    <row r="345" spans="1:9" x14ac:dyDescent="0.25">
      <c r="A345">
        <v>334</v>
      </c>
      <c r="B345" s="1">
        <v>45657</v>
      </c>
      <c r="C345">
        <v>31</v>
      </c>
      <c r="D345" t="str">
        <f t="shared" si="56"/>
        <v>2721</v>
      </c>
      <c r="E345" t="str">
        <f t="shared" si="57"/>
        <v>Начисленные расходы по срочным вкладам клиентов</v>
      </c>
      <c r="F345" t="str">
        <f t="shared" si="55"/>
        <v>1</v>
      </c>
      <c r="G345" t="str">
        <f>"9"</f>
        <v>9</v>
      </c>
      <c r="H345" t="str">
        <f>"2"</f>
        <v>2</v>
      </c>
      <c r="I345" s="2">
        <v>26094850.23</v>
      </c>
    </row>
    <row r="346" spans="1:9" x14ac:dyDescent="0.25">
      <c r="A346">
        <v>335</v>
      </c>
      <c r="B346" s="1">
        <v>45657</v>
      </c>
      <c r="C346">
        <v>31</v>
      </c>
      <c r="D346" t="str">
        <f t="shared" si="56"/>
        <v>2721</v>
      </c>
      <c r="E346" t="str">
        <f t="shared" si="57"/>
        <v>Начисленные расходы по срочным вкладам клиентов</v>
      </c>
      <c r="F346" t="str">
        <f t="shared" si="55"/>
        <v>1</v>
      </c>
      <c r="G346" t="str">
        <f>"9"</f>
        <v>9</v>
      </c>
      <c r="H346" t="str">
        <f>"1"</f>
        <v>1</v>
      </c>
      <c r="I346" s="2">
        <v>383635050.63</v>
      </c>
    </row>
    <row r="347" spans="1:9" x14ac:dyDescent="0.25">
      <c r="A347">
        <v>336</v>
      </c>
      <c r="B347" s="1">
        <v>45657</v>
      </c>
      <c r="C347">
        <v>31</v>
      </c>
      <c r="D347" t="str">
        <f t="shared" si="56"/>
        <v>2721</v>
      </c>
      <c r="E347" t="str">
        <f t="shared" si="57"/>
        <v>Начисленные расходы по срочным вкладам клиентов</v>
      </c>
      <c r="F347" t="str">
        <f>"2"</f>
        <v>2</v>
      </c>
      <c r="G347" t="str">
        <f>"7"</f>
        <v>7</v>
      </c>
      <c r="H347" t="str">
        <f>"1"</f>
        <v>1</v>
      </c>
      <c r="I347" s="2">
        <v>26944.44</v>
      </c>
    </row>
    <row r="348" spans="1:9" x14ac:dyDescent="0.25">
      <c r="A348">
        <v>337</v>
      </c>
      <c r="B348" s="1">
        <v>45657</v>
      </c>
      <c r="C348">
        <v>31</v>
      </c>
      <c r="D348" t="str">
        <f t="shared" si="56"/>
        <v>2721</v>
      </c>
      <c r="E348" t="str">
        <f t="shared" si="57"/>
        <v>Начисленные расходы по срочным вкладам клиентов</v>
      </c>
      <c r="F348" t="str">
        <f>"1"</f>
        <v>1</v>
      </c>
      <c r="G348" t="str">
        <f>"8"</f>
        <v>8</v>
      </c>
      <c r="H348" t="str">
        <f>"2"</f>
        <v>2</v>
      </c>
      <c r="I348" s="2">
        <v>5833.97</v>
      </c>
    </row>
    <row r="349" spans="1:9" x14ac:dyDescent="0.25">
      <c r="A349">
        <v>338</v>
      </c>
      <c r="B349" s="1">
        <v>45657</v>
      </c>
      <c r="C349">
        <v>31</v>
      </c>
      <c r="D349" t="str">
        <f t="shared" si="56"/>
        <v>2721</v>
      </c>
      <c r="E349" t="str">
        <f t="shared" si="57"/>
        <v>Начисленные расходы по срочным вкладам клиентов</v>
      </c>
      <c r="F349" t="str">
        <f>"2"</f>
        <v>2</v>
      </c>
      <c r="G349" t="str">
        <f>"9"</f>
        <v>9</v>
      </c>
      <c r="H349" t="str">
        <f>"2"</f>
        <v>2</v>
      </c>
      <c r="I349" s="2">
        <v>3759173.1</v>
      </c>
    </row>
    <row r="350" spans="1:9" x14ac:dyDescent="0.25">
      <c r="A350">
        <v>339</v>
      </c>
      <c r="B350" s="1">
        <v>45657</v>
      </c>
      <c r="C350">
        <v>31</v>
      </c>
      <c r="D350" t="str">
        <f t="shared" si="56"/>
        <v>2721</v>
      </c>
      <c r="E350" t="str">
        <f t="shared" si="57"/>
        <v>Начисленные расходы по срочным вкладам клиентов</v>
      </c>
      <c r="F350" t="str">
        <f>"2"</f>
        <v>2</v>
      </c>
      <c r="G350" t="str">
        <f>"9"</f>
        <v>9</v>
      </c>
      <c r="H350" t="str">
        <f>"1"</f>
        <v>1</v>
      </c>
      <c r="I350" s="2">
        <v>2219741.12</v>
      </c>
    </row>
    <row r="351" spans="1:9" x14ac:dyDescent="0.25">
      <c r="A351">
        <v>340</v>
      </c>
      <c r="B351" s="1">
        <v>45657</v>
      </c>
      <c r="C351">
        <v>31</v>
      </c>
      <c r="D351" t="str">
        <f t="shared" si="56"/>
        <v>2721</v>
      </c>
      <c r="E351" t="str">
        <f t="shared" si="57"/>
        <v>Начисленные расходы по срочным вкладам клиентов</v>
      </c>
      <c r="F351" t="str">
        <f t="shared" ref="F351:F359" si="58">"1"</f>
        <v>1</v>
      </c>
      <c r="G351" t="str">
        <f>"6"</f>
        <v>6</v>
      </c>
      <c r="H351" t="str">
        <f>"1"</f>
        <v>1</v>
      </c>
      <c r="I351" s="2">
        <v>113233942.43000001</v>
      </c>
    </row>
    <row r="352" spans="1:9" x14ac:dyDescent="0.25">
      <c r="A352">
        <v>341</v>
      </c>
      <c r="B352" s="1">
        <v>45657</v>
      </c>
      <c r="C352">
        <v>31</v>
      </c>
      <c r="D352" t="str">
        <f t="shared" si="56"/>
        <v>2721</v>
      </c>
      <c r="E352" t="str">
        <f t="shared" si="57"/>
        <v>Начисленные расходы по срочным вкладам клиентов</v>
      </c>
      <c r="F352" t="str">
        <f t="shared" si="58"/>
        <v>1</v>
      </c>
      <c r="G352" t="str">
        <f>"6"</f>
        <v>6</v>
      </c>
      <c r="H352" t="str">
        <f>"2"</f>
        <v>2</v>
      </c>
      <c r="I352" s="2">
        <v>489187.22</v>
      </c>
    </row>
    <row r="353" spans="1:9" x14ac:dyDescent="0.25">
      <c r="A353">
        <v>342</v>
      </c>
      <c r="B353" s="1">
        <v>45657</v>
      </c>
      <c r="C353">
        <v>31</v>
      </c>
      <c r="D353" t="str">
        <f>"2723"</f>
        <v>2723</v>
      </c>
      <c r="E353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3" t="str">
        <f t="shared" si="58"/>
        <v>1</v>
      </c>
      <c r="G353" t="str">
        <f>"5"</f>
        <v>5</v>
      </c>
      <c r="H353" t="str">
        <f>"1"</f>
        <v>1</v>
      </c>
      <c r="I353" s="2">
        <v>787500</v>
      </c>
    </row>
    <row r="354" spans="1:9" x14ac:dyDescent="0.25">
      <c r="A354">
        <v>343</v>
      </c>
      <c r="B354" s="1">
        <v>45657</v>
      </c>
      <c r="C354">
        <v>31</v>
      </c>
      <c r="D354" t="str">
        <f>"2723"</f>
        <v>2723</v>
      </c>
      <c r="E35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4" t="str">
        <f t="shared" si="58"/>
        <v>1</v>
      </c>
      <c r="G354" t="str">
        <f>"9"</f>
        <v>9</v>
      </c>
      <c r="H354" t="str">
        <f>"2"</f>
        <v>2</v>
      </c>
      <c r="I354" s="2">
        <v>4402170.41</v>
      </c>
    </row>
    <row r="355" spans="1:9" x14ac:dyDescent="0.25">
      <c r="A355">
        <v>344</v>
      </c>
      <c r="B355" s="1">
        <v>45657</v>
      </c>
      <c r="C355">
        <v>31</v>
      </c>
      <c r="D355" t="str">
        <f>"2723"</f>
        <v>2723</v>
      </c>
      <c r="E35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5" t="str">
        <f t="shared" si="58"/>
        <v>1</v>
      </c>
      <c r="G355" t="str">
        <f>"7"</f>
        <v>7</v>
      </c>
      <c r="H355" t="str">
        <f>"1"</f>
        <v>1</v>
      </c>
      <c r="I355" s="2">
        <v>106737189.44</v>
      </c>
    </row>
    <row r="356" spans="1:9" x14ac:dyDescent="0.25">
      <c r="A356">
        <v>345</v>
      </c>
      <c r="B356" s="1">
        <v>45657</v>
      </c>
      <c r="C356">
        <v>31</v>
      </c>
      <c r="D356" t="str">
        <f>"2723"</f>
        <v>2723</v>
      </c>
      <c r="E35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6" t="str">
        <f t="shared" si="58"/>
        <v>1</v>
      </c>
      <c r="G356" t="str">
        <f>"9"</f>
        <v>9</v>
      </c>
      <c r="H356" t="str">
        <f>"1"</f>
        <v>1</v>
      </c>
      <c r="I356" s="2">
        <v>131499739.79000001</v>
      </c>
    </row>
    <row r="357" spans="1:9" x14ac:dyDescent="0.25">
      <c r="A357">
        <v>346</v>
      </c>
      <c r="B357" s="1">
        <v>45657</v>
      </c>
      <c r="C357">
        <v>31</v>
      </c>
      <c r="D357" t="str">
        <f>"2723"</f>
        <v>2723</v>
      </c>
      <c r="E35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357" t="str">
        <f t="shared" si="58"/>
        <v>1</v>
      </c>
      <c r="G357" t="str">
        <f>"7"</f>
        <v>7</v>
      </c>
      <c r="H357" t="str">
        <f>"2"</f>
        <v>2</v>
      </c>
      <c r="I357" s="2">
        <v>304001.93</v>
      </c>
    </row>
    <row r="358" spans="1:9" x14ac:dyDescent="0.25">
      <c r="A358">
        <v>347</v>
      </c>
      <c r="B358" s="1">
        <v>45657</v>
      </c>
      <c r="C358">
        <v>31</v>
      </c>
      <c r="D358" t="str">
        <f>"2724"</f>
        <v>2724</v>
      </c>
      <c r="E358" t="str">
        <f>"Начисленные расходы по сберегательным вкладам клиентов"</f>
        <v>Начисленные расходы по сберегательным вкладам клиентов</v>
      </c>
      <c r="F358" t="str">
        <f t="shared" si="58"/>
        <v>1</v>
      </c>
      <c r="G358" t="str">
        <f>"7"</f>
        <v>7</v>
      </c>
      <c r="H358" t="str">
        <f>"1"</f>
        <v>1</v>
      </c>
      <c r="I358" s="2">
        <v>4010694.44</v>
      </c>
    </row>
    <row r="359" spans="1:9" x14ac:dyDescent="0.25">
      <c r="A359">
        <v>348</v>
      </c>
      <c r="B359" s="1">
        <v>45657</v>
      </c>
      <c r="C359">
        <v>31</v>
      </c>
      <c r="D359" t="str">
        <f>"2724"</f>
        <v>2724</v>
      </c>
      <c r="E359" t="str">
        <f>"Начисленные расходы по сберегательным вкладам клиентов"</f>
        <v>Начисленные расходы по сберегательным вкладам клиентов</v>
      </c>
      <c r="F359" t="str">
        <f t="shared" si="58"/>
        <v>1</v>
      </c>
      <c r="G359" t="str">
        <f>"9"</f>
        <v>9</v>
      </c>
      <c r="H359" t="str">
        <f>"1"</f>
        <v>1</v>
      </c>
      <c r="I359" s="2">
        <v>510388259.17000002</v>
      </c>
    </row>
    <row r="360" spans="1:9" x14ac:dyDescent="0.25">
      <c r="A360">
        <v>349</v>
      </c>
      <c r="B360" s="1">
        <v>45657</v>
      </c>
      <c r="C360">
        <v>31</v>
      </c>
      <c r="D360" t="str">
        <f>"2724"</f>
        <v>2724</v>
      </c>
      <c r="E360" t="str">
        <f>"Начисленные расходы по сберегательным вкладам клиентов"</f>
        <v>Начисленные расходы по сберегательным вкладам клиентов</v>
      </c>
      <c r="F360" t="str">
        <f>"2"</f>
        <v>2</v>
      </c>
      <c r="G360" t="str">
        <f>"9"</f>
        <v>9</v>
      </c>
      <c r="H360" t="str">
        <f>"1"</f>
        <v>1</v>
      </c>
      <c r="I360" s="2">
        <v>391943.8</v>
      </c>
    </row>
    <row r="361" spans="1:9" x14ac:dyDescent="0.25">
      <c r="A361">
        <v>350</v>
      </c>
      <c r="B361" s="1">
        <v>45657</v>
      </c>
      <c r="C361">
        <v>31</v>
      </c>
      <c r="D361" t="str">
        <f>"2724"</f>
        <v>2724</v>
      </c>
      <c r="E361" t="str">
        <f>"Начисленные расходы по сберегательным вкладам клиентов"</f>
        <v>Начисленные расходы по сберегательным вкладам клиентов</v>
      </c>
      <c r="F361" t="str">
        <f>"2"</f>
        <v>2</v>
      </c>
      <c r="G361" t="str">
        <f>"9"</f>
        <v>9</v>
      </c>
      <c r="H361" t="str">
        <f>"2"</f>
        <v>2</v>
      </c>
      <c r="I361" s="2">
        <v>1407.29</v>
      </c>
    </row>
    <row r="362" spans="1:9" x14ac:dyDescent="0.25">
      <c r="A362">
        <v>351</v>
      </c>
      <c r="B362" s="1">
        <v>45657</v>
      </c>
      <c r="C362">
        <v>31</v>
      </c>
      <c r="D362" t="str">
        <f>"2724"</f>
        <v>2724</v>
      </c>
      <c r="E362" t="str">
        <f>"Начисленные расходы по сберегательным вкладам клиентов"</f>
        <v>Начисленные расходы по сберегательным вкладам клиентов</v>
      </c>
      <c r="F362" t="str">
        <f t="shared" ref="F362:F370" si="59">"1"</f>
        <v>1</v>
      </c>
      <c r="G362" t="str">
        <f>"9"</f>
        <v>9</v>
      </c>
      <c r="H362" t="str">
        <f>"2"</f>
        <v>2</v>
      </c>
      <c r="I362" s="2">
        <v>795347.38</v>
      </c>
    </row>
    <row r="363" spans="1:9" x14ac:dyDescent="0.25">
      <c r="A363">
        <v>352</v>
      </c>
      <c r="B363" s="1">
        <v>45657</v>
      </c>
      <c r="C363">
        <v>31</v>
      </c>
      <c r="D363" t="str">
        <f>"2730"</f>
        <v>2730</v>
      </c>
      <c r="E363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363" t="str">
        <f t="shared" si="59"/>
        <v>1</v>
      </c>
      <c r="G363" t="str">
        <f>"4"</f>
        <v>4</v>
      </c>
      <c r="H363" t="str">
        <f t="shared" ref="H363:H375" si="60">"1"</f>
        <v>1</v>
      </c>
      <c r="I363" s="2">
        <v>374125000</v>
      </c>
    </row>
    <row r="364" spans="1:9" x14ac:dyDescent="0.25">
      <c r="A364">
        <v>353</v>
      </c>
      <c r="B364" s="1">
        <v>45657</v>
      </c>
      <c r="C364">
        <v>31</v>
      </c>
      <c r="D364" t="str">
        <f>"2745"</f>
        <v>2745</v>
      </c>
      <c r="E364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64" t="str">
        <f t="shared" si="59"/>
        <v>1</v>
      </c>
      <c r="G364" t="str">
        <f>"9"</f>
        <v>9</v>
      </c>
      <c r="H364" t="str">
        <f t="shared" si="60"/>
        <v>1</v>
      </c>
      <c r="I364" s="2">
        <v>2339040.35</v>
      </c>
    </row>
    <row r="365" spans="1:9" x14ac:dyDescent="0.25">
      <c r="A365">
        <v>354</v>
      </c>
      <c r="B365" s="1">
        <v>45657</v>
      </c>
      <c r="C365">
        <v>31</v>
      </c>
      <c r="D365" t="str">
        <f>"2745"</f>
        <v>2745</v>
      </c>
      <c r="E365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365" t="str">
        <f t="shared" si="59"/>
        <v>1</v>
      </c>
      <c r="G365" t="str">
        <f>"7"</f>
        <v>7</v>
      </c>
      <c r="H365" t="str">
        <f t="shared" si="60"/>
        <v>1</v>
      </c>
      <c r="I365" s="2">
        <v>7396515.46</v>
      </c>
    </row>
    <row r="366" spans="1:9" x14ac:dyDescent="0.25">
      <c r="A366">
        <v>355</v>
      </c>
      <c r="B366" s="1">
        <v>45657</v>
      </c>
      <c r="C366">
        <v>31</v>
      </c>
      <c r="D366" t="str">
        <f>"2756"</f>
        <v>2756</v>
      </c>
      <c r="E366" t="str">
        <f>"Начисленные расходы по субординированным облигациям"</f>
        <v>Начисленные расходы по субординированным облигациям</v>
      </c>
      <c r="F366" t="str">
        <f t="shared" si="59"/>
        <v>1</v>
      </c>
      <c r="G366" t="str">
        <f>"4"</f>
        <v>4</v>
      </c>
      <c r="H366" t="str">
        <f t="shared" si="60"/>
        <v>1</v>
      </c>
      <c r="I366" s="2">
        <v>1415182333.25</v>
      </c>
    </row>
    <row r="367" spans="1:9" x14ac:dyDescent="0.25">
      <c r="A367">
        <v>356</v>
      </c>
      <c r="B367" s="1">
        <v>45657</v>
      </c>
      <c r="C367">
        <v>31</v>
      </c>
      <c r="D367" t="str">
        <f t="shared" ref="D367:D374" si="61">"2770"</f>
        <v>2770</v>
      </c>
      <c r="E367" t="str">
        <f t="shared" ref="E367:E374" si="62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367" t="str">
        <f t="shared" si="59"/>
        <v>1</v>
      </c>
      <c r="G367" t="str">
        <f>"1"</f>
        <v>1</v>
      </c>
      <c r="H367" t="str">
        <f t="shared" si="60"/>
        <v>1</v>
      </c>
      <c r="I367" s="2">
        <v>197349.6</v>
      </c>
    </row>
    <row r="368" spans="1:9" x14ac:dyDescent="0.25">
      <c r="A368">
        <v>357</v>
      </c>
      <c r="B368" s="1">
        <v>45657</v>
      </c>
      <c r="C368">
        <v>31</v>
      </c>
      <c r="D368" t="str">
        <f t="shared" si="61"/>
        <v>2770</v>
      </c>
      <c r="E368" t="str">
        <f t="shared" si="62"/>
        <v>Начисленные расходы по административно-хозяйственной деятельности</v>
      </c>
      <c r="F368" t="str">
        <f t="shared" si="59"/>
        <v>1</v>
      </c>
      <c r="G368" t="str">
        <f>"4"</f>
        <v>4</v>
      </c>
      <c r="H368" t="str">
        <f t="shared" si="60"/>
        <v>1</v>
      </c>
      <c r="I368" s="2">
        <v>4568423.37</v>
      </c>
    </row>
    <row r="369" spans="1:9" x14ac:dyDescent="0.25">
      <c r="A369">
        <v>358</v>
      </c>
      <c r="B369" s="1">
        <v>45657</v>
      </c>
      <c r="C369">
        <v>31</v>
      </c>
      <c r="D369" t="str">
        <f t="shared" si="61"/>
        <v>2770</v>
      </c>
      <c r="E369" t="str">
        <f t="shared" si="62"/>
        <v>Начисленные расходы по административно-хозяйственной деятельности</v>
      </c>
      <c r="F369" t="str">
        <f t="shared" si="59"/>
        <v>1</v>
      </c>
      <c r="G369" t="str">
        <f>"5"</f>
        <v>5</v>
      </c>
      <c r="H369" t="str">
        <f t="shared" si="60"/>
        <v>1</v>
      </c>
      <c r="I369" s="2">
        <v>13011866.640000001</v>
      </c>
    </row>
    <row r="370" spans="1:9" x14ac:dyDescent="0.25">
      <c r="A370">
        <v>359</v>
      </c>
      <c r="B370" s="1">
        <v>45657</v>
      </c>
      <c r="C370">
        <v>31</v>
      </c>
      <c r="D370" t="str">
        <f t="shared" si="61"/>
        <v>2770</v>
      </c>
      <c r="E370" t="str">
        <f t="shared" si="62"/>
        <v>Начисленные расходы по административно-хозяйственной деятельности</v>
      </c>
      <c r="F370" t="str">
        <f t="shared" si="59"/>
        <v>1</v>
      </c>
      <c r="G370" t="str">
        <f>"7"</f>
        <v>7</v>
      </c>
      <c r="H370" t="str">
        <f t="shared" si="60"/>
        <v>1</v>
      </c>
      <c r="I370" s="2">
        <v>133169230.59</v>
      </c>
    </row>
    <row r="371" spans="1:9" x14ac:dyDescent="0.25">
      <c r="A371">
        <v>360</v>
      </c>
      <c r="B371" s="1">
        <v>45657</v>
      </c>
      <c r="C371">
        <v>31</v>
      </c>
      <c r="D371" t="str">
        <f t="shared" si="61"/>
        <v>2770</v>
      </c>
      <c r="E371" t="str">
        <f t="shared" si="62"/>
        <v>Начисленные расходы по административно-хозяйственной деятельности</v>
      </c>
      <c r="F371" t="str">
        <f>"2"</f>
        <v>2</v>
      </c>
      <c r="G371" t="str">
        <f>"7"</f>
        <v>7</v>
      </c>
      <c r="H371" t="str">
        <f t="shared" si="60"/>
        <v>1</v>
      </c>
      <c r="I371" s="2">
        <v>54141480.020000003</v>
      </c>
    </row>
    <row r="372" spans="1:9" x14ac:dyDescent="0.25">
      <c r="A372">
        <v>361</v>
      </c>
      <c r="B372" s="1">
        <v>45657</v>
      </c>
      <c r="C372">
        <v>31</v>
      </c>
      <c r="D372" t="str">
        <f t="shared" si="61"/>
        <v>2770</v>
      </c>
      <c r="E372" t="str">
        <f t="shared" si="62"/>
        <v>Начисленные расходы по административно-хозяйственной деятельности</v>
      </c>
      <c r="F372" t="str">
        <f>"1"</f>
        <v>1</v>
      </c>
      <c r="G372" t="str">
        <f>"9"</f>
        <v>9</v>
      </c>
      <c r="H372" t="str">
        <f t="shared" si="60"/>
        <v>1</v>
      </c>
      <c r="I372" s="2">
        <v>16188502.359999999</v>
      </c>
    </row>
    <row r="373" spans="1:9" x14ac:dyDescent="0.25">
      <c r="A373">
        <v>362</v>
      </c>
      <c r="B373" s="1">
        <v>45657</v>
      </c>
      <c r="C373">
        <v>31</v>
      </c>
      <c r="D373" t="str">
        <f t="shared" si="61"/>
        <v>2770</v>
      </c>
      <c r="E373" t="str">
        <f t="shared" si="62"/>
        <v>Начисленные расходы по административно-хозяйственной деятельности</v>
      </c>
      <c r="F373" t="str">
        <f>"1"</f>
        <v>1</v>
      </c>
      <c r="G373" t="str">
        <f>"8"</f>
        <v>8</v>
      </c>
      <c r="H373" t="str">
        <f t="shared" si="60"/>
        <v>1</v>
      </c>
      <c r="I373" s="2">
        <v>4207979.46</v>
      </c>
    </row>
    <row r="374" spans="1:9" x14ac:dyDescent="0.25">
      <c r="A374">
        <v>363</v>
      </c>
      <c r="B374" s="1">
        <v>45657</v>
      </c>
      <c r="C374">
        <v>31</v>
      </c>
      <c r="D374" t="str">
        <f t="shared" si="61"/>
        <v>2770</v>
      </c>
      <c r="E374" t="str">
        <f t="shared" si="62"/>
        <v>Начисленные расходы по административно-хозяйственной деятельности</v>
      </c>
      <c r="F374" t="str">
        <f>"1"</f>
        <v>1</v>
      </c>
      <c r="G374" t="str">
        <f>"6"</f>
        <v>6</v>
      </c>
      <c r="H374" t="str">
        <f t="shared" si="60"/>
        <v>1</v>
      </c>
      <c r="I374" s="2">
        <v>17277803.129999999</v>
      </c>
    </row>
    <row r="375" spans="1:9" x14ac:dyDescent="0.25">
      <c r="A375">
        <v>364</v>
      </c>
      <c r="B375" s="1">
        <v>45657</v>
      </c>
      <c r="C375">
        <v>31</v>
      </c>
      <c r="D375" t="str">
        <f>"2792"</f>
        <v>2792</v>
      </c>
      <c r="E375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75" t="str">
        <f>"1"</f>
        <v>1</v>
      </c>
      <c r="G375" t="str">
        <f>"9"</f>
        <v>9</v>
      </c>
      <c r="H375" t="str">
        <f t="shared" si="60"/>
        <v>1</v>
      </c>
      <c r="I375" s="2">
        <v>285023.23</v>
      </c>
    </row>
    <row r="376" spans="1:9" x14ac:dyDescent="0.25">
      <c r="A376">
        <v>365</v>
      </c>
      <c r="B376" s="1">
        <v>45657</v>
      </c>
      <c r="C376">
        <v>31</v>
      </c>
      <c r="D376" t="str">
        <f>"2792"</f>
        <v>2792</v>
      </c>
      <c r="E376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76" t="str">
        <f>"2"</f>
        <v>2</v>
      </c>
      <c r="G376" t="str">
        <f>"4"</f>
        <v>4</v>
      </c>
      <c r="H376" t="str">
        <f>"2"</f>
        <v>2</v>
      </c>
      <c r="I376" s="2">
        <v>1465522.37</v>
      </c>
    </row>
    <row r="377" spans="1:9" x14ac:dyDescent="0.25">
      <c r="A377">
        <v>366</v>
      </c>
      <c r="B377" s="1">
        <v>45657</v>
      </c>
      <c r="C377">
        <v>31</v>
      </c>
      <c r="D377" t="str">
        <f>"2792"</f>
        <v>2792</v>
      </c>
      <c r="E37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377" t="str">
        <f>"1"</f>
        <v>1</v>
      </c>
      <c r="G377" t="str">
        <f>"7"</f>
        <v>7</v>
      </c>
      <c r="H377" t="str">
        <f t="shared" ref="H377:H384" si="63">"1"</f>
        <v>1</v>
      </c>
      <c r="I377" s="2">
        <v>249444.75</v>
      </c>
    </row>
    <row r="378" spans="1:9" x14ac:dyDescent="0.25">
      <c r="A378">
        <v>367</v>
      </c>
      <c r="B378" s="1">
        <v>45657</v>
      </c>
      <c r="C378">
        <v>31</v>
      </c>
      <c r="D378" t="str">
        <f>"2794"</f>
        <v>2794</v>
      </c>
      <c r="E378" t="str">
        <f>"Доходы будущих периодов"</f>
        <v>Доходы будущих периодов</v>
      </c>
      <c r="F378" t="str">
        <f>"1"</f>
        <v>1</v>
      </c>
      <c r="G378" t="str">
        <f>"9"</f>
        <v>9</v>
      </c>
      <c r="H378" t="str">
        <f t="shared" si="63"/>
        <v>1</v>
      </c>
      <c r="I378" s="2">
        <v>80741002.569999993</v>
      </c>
    </row>
    <row r="379" spans="1:9" x14ac:dyDescent="0.25">
      <c r="A379">
        <v>368</v>
      </c>
      <c r="B379" s="1">
        <v>45657</v>
      </c>
      <c r="C379">
        <v>31</v>
      </c>
      <c r="D379" t="str">
        <f>"2794"</f>
        <v>2794</v>
      </c>
      <c r="E379" t="str">
        <f>"Доходы будущих периодов"</f>
        <v>Доходы будущих периодов</v>
      </c>
      <c r="F379" t="str">
        <f>"1"</f>
        <v>1</v>
      </c>
      <c r="G379" t="str">
        <f>"7"</f>
        <v>7</v>
      </c>
      <c r="H379" t="str">
        <f t="shared" si="63"/>
        <v>1</v>
      </c>
      <c r="I379" s="2">
        <v>16433982.380000001</v>
      </c>
    </row>
    <row r="380" spans="1:9" x14ac:dyDescent="0.25">
      <c r="A380">
        <v>369</v>
      </c>
      <c r="B380" s="1">
        <v>45657</v>
      </c>
      <c r="C380">
        <v>31</v>
      </c>
      <c r="D380" t="str">
        <f>"2799"</f>
        <v>2799</v>
      </c>
      <c r="E380" t="str">
        <f>"Прочие предоплаты"</f>
        <v>Прочие предоплаты</v>
      </c>
      <c r="F380" t="str">
        <f>"1"</f>
        <v>1</v>
      </c>
      <c r="G380" t="str">
        <f>"5"</f>
        <v>5</v>
      </c>
      <c r="H380" t="str">
        <f t="shared" si="63"/>
        <v>1</v>
      </c>
      <c r="I380" s="2">
        <v>304201.15999999997</v>
      </c>
    </row>
    <row r="381" spans="1:9" x14ac:dyDescent="0.25">
      <c r="A381">
        <v>370</v>
      </c>
      <c r="B381" s="1">
        <v>45657</v>
      </c>
      <c r="C381">
        <v>31</v>
      </c>
      <c r="D381" t="str">
        <f>"2799"</f>
        <v>2799</v>
      </c>
      <c r="E381" t="str">
        <f>"Прочие предоплаты"</f>
        <v>Прочие предоплаты</v>
      </c>
      <c r="F381" t="str">
        <f>"1"</f>
        <v>1</v>
      </c>
      <c r="G381" t="str">
        <f>"6"</f>
        <v>6</v>
      </c>
      <c r="H381" t="str">
        <f t="shared" si="63"/>
        <v>1</v>
      </c>
      <c r="I381" s="2">
        <v>4097.82</v>
      </c>
    </row>
    <row r="382" spans="1:9" x14ac:dyDescent="0.25">
      <c r="A382">
        <v>371</v>
      </c>
      <c r="B382" s="1">
        <v>45657</v>
      </c>
      <c r="C382">
        <v>31</v>
      </c>
      <c r="D382" t="str">
        <f>"2799"</f>
        <v>2799</v>
      </c>
      <c r="E382" t="str">
        <f>"Прочие предоплаты"</f>
        <v>Прочие предоплаты</v>
      </c>
      <c r="F382" t="str">
        <f>"2"</f>
        <v>2</v>
      </c>
      <c r="G382" t="str">
        <f>"9"</f>
        <v>9</v>
      </c>
      <c r="H382" t="str">
        <f t="shared" si="63"/>
        <v>1</v>
      </c>
      <c r="I382" s="2">
        <v>158730.63</v>
      </c>
    </row>
    <row r="383" spans="1:9" x14ac:dyDescent="0.25">
      <c r="A383">
        <v>372</v>
      </c>
      <c r="B383" s="1">
        <v>45657</v>
      </c>
      <c r="C383">
        <v>31</v>
      </c>
      <c r="D383" t="str">
        <f>"2799"</f>
        <v>2799</v>
      </c>
      <c r="E383" t="str">
        <f>"Прочие предоплаты"</f>
        <v>Прочие предоплаты</v>
      </c>
      <c r="F383" t="str">
        <f t="shared" ref="F383:F388" si="64">"1"</f>
        <v>1</v>
      </c>
      <c r="G383" t="str">
        <f>"9"</f>
        <v>9</v>
      </c>
      <c r="H383" t="str">
        <f t="shared" si="63"/>
        <v>1</v>
      </c>
      <c r="I383" s="2">
        <v>6013991.9199999999</v>
      </c>
    </row>
    <row r="384" spans="1:9" x14ac:dyDescent="0.25">
      <c r="A384">
        <v>373</v>
      </c>
      <c r="B384" s="1">
        <v>45657</v>
      </c>
      <c r="C384">
        <v>31</v>
      </c>
      <c r="D384" t="str">
        <f>"2799"</f>
        <v>2799</v>
      </c>
      <c r="E384" t="str">
        <f>"Прочие предоплаты"</f>
        <v>Прочие предоплаты</v>
      </c>
      <c r="F384" t="str">
        <f t="shared" si="64"/>
        <v>1</v>
      </c>
      <c r="G384" t="str">
        <f>"7"</f>
        <v>7</v>
      </c>
      <c r="H384" t="str">
        <f t="shared" si="63"/>
        <v>1</v>
      </c>
      <c r="I384" s="2">
        <v>97425.29</v>
      </c>
    </row>
    <row r="385" spans="1:9" x14ac:dyDescent="0.25">
      <c r="A385">
        <v>374</v>
      </c>
      <c r="B385" s="1">
        <v>45657</v>
      </c>
      <c r="C385">
        <v>31</v>
      </c>
      <c r="D385" t="str">
        <f>"2811"</f>
        <v>2811</v>
      </c>
      <c r="E385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F385" t="str">
        <f t="shared" si="64"/>
        <v>1</v>
      </c>
      <c r="G385" t="str">
        <f>""</f>
        <v/>
      </c>
      <c r="H385" t="str">
        <f>"2"</f>
        <v>2</v>
      </c>
      <c r="I385" s="2">
        <v>395305.26</v>
      </c>
    </row>
    <row r="386" spans="1:9" x14ac:dyDescent="0.25">
      <c r="A386">
        <v>375</v>
      </c>
      <c r="B386" s="1">
        <v>45657</v>
      </c>
      <c r="C386">
        <v>31</v>
      </c>
      <c r="D386" t="str">
        <f>"2816"</f>
        <v>2816</v>
      </c>
      <c r="E386" t="str">
        <f>"Начисленные комиссионные расходы по услугам  по полученным гарантиям"</f>
        <v>Начисленные комиссионные расходы по услугам  по полученным гарантиям</v>
      </c>
      <c r="F386" t="str">
        <f t="shared" si="64"/>
        <v>1</v>
      </c>
      <c r="G386" t="str">
        <f>""</f>
        <v/>
      </c>
      <c r="H386" t="str">
        <f>"1"</f>
        <v>1</v>
      </c>
      <c r="I386" s="2">
        <v>934618026.70000005</v>
      </c>
    </row>
    <row r="387" spans="1:9" x14ac:dyDescent="0.25">
      <c r="A387">
        <v>376</v>
      </c>
      <c r="B387" s="1">
        <v>45657</v>
      </c>
      <c r="C387">
        <v>31</v>
      </c>
      <c r="D387" t="str">
        <f>"2819"</f>
        <v>2819</v>
      </c>
      <c r="E387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387" t="str">
        <f t="shared" si="64"/>
        <v>1</v>
      </c>
      <c r="G387" t="str">
        <f>""</f>
        <v/>
      </c>
      <c r="H387" t="str">
        <f>"1"</f>
        <v>1</v>
      </c>
      <c r="I387" s="2">
        <v>266987.63</v>
      </c>
    </row>
    <row r="388" spans="1:9" x14ac:dyDescent="0.25">
      <c r="A388">
        <v>377</v>
      </c>
      <c r="B388" s="1">
        <v>45657</v>
      </c>
      <c r="C388">
        <v>31</v>
      </c>
      <c r="D388" t="str">
        <f>"2851"</f>
        <v>2851</v>
      </c>
      <c r="E38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88" t="str">
        <f t="shared" si="64"/>
        <v>1</v>
      </c>
      <c r="G388" t="str">
        <f>"1"</f>
        <v>1</v>
      </c>
      <c r="H388" t="str">
        <f>"1"</f>
        <v>1</v>
      </c>
      <c r="I388" s="2">
        <v>22075913.530000001</v>
      </c>
    </row>
    <row r="389" spans="1:9" x14ac:dyDescent="0.25">
      <c r="A389">
        <v>378</v>
      </c>
      <c r="B389" s="1">
        <v>45657</v>
      </c>
      <c r="C389">
        <v>31</v>
      </c>
      <c r="D389" t="str">
        <f>"2854"</f>
        <v>2854</v>
      </c>
      <c r="E389" t="str">
        <f>"Расчеты с работниками"</f>
        <v>Расчеты с работниками</v>
      </c>
      <c r="F389" t="str">
        <f>""</f>
        <v/>
      </c>
      <c r="G389" t="str">
        <f>""</f>
        <v/>
      </c>
      <c r="H389" t="str">
        <f>""</f>
        <v/>
      </c>
      <c r="I389" s="2">
        <v>311000.40999999997</v>
      </c>
    </row>
    <row r="390" spans="1:9" x14ac:dyDescent="0.25">
      <c r="A390">
        <v>379</v>
      </c>
      <c r="B390" s="1">
        <v>45657</v>
      </c>
      <c r="C390">
        <v>31</v>
      </c>
      <c r="D390" t="str">
        <f>"2855"</f>
        <v>2855</v>
      </c>
      <c r="E390" t="str">
        <f>"Кредиторы по документарным расчетам"</f>
        <v>Кредиторы по документарным расчетам</v>
      </c>
      <c r="F390" t="str">
        <f>"1"</f>
        <v>1</v>
      </c>
      <c r="G390" t="str">
        <f>"7"</f>
        <v>7</v>
      </c>
      <c r="H390" t="str">
        <f>"2"</f>
        <v>2</v>
      </c>
      <c r="I390" s="2">
        <v>218828529.78</v>
      </c>
    </row>
    <row r="391" spans="1:9" x14ac:dyDescent="0.25">
      <c r="A391">
        <v>380</v>
      </c>
      <c r="B391" s="1">
        <v>45657</v>
      </c>
      <c r="C391">
        <v>31</v>
      </c>
      <c r="D391" t="str">
        <f>"2857"</f>
        <v>2857</v>
      </c>
      <c r="E391" t="str">
        <f>"Отложенные налоговые обязательства"</f>
        <v>Отложенные налоговые обязательства</v>
      </c>
      <c r="F391" t="str">
        <f>""</f>
        <v/>
      </c>
      <c r="G391" t="str">
        <f>""</f>
        <v/>
      </c>
      <c r="H391" t="str">
        <f>""</f>
        <v/>
      </c>
      <c r="I391" s="2">
        <v>6705584656.29</v>
      </c>
    </row>
    <row r="392" spans="1:9" x14ac:dyDescent="0.25">
      <c r="A392">
        <v>381</v>
      </c>
      <c r="B392" s="1">
        <v>45657</v>
      </c>
      <c r="C392">
        <v>31</v>
      </c>
      <c r="D392" t="str">
        <f t="shared" ref="D392:D404" si="65">"2860"</f>
        <v>2860</v>
      </c>
      <c r="E392" t="str">
        <f t="shared" ref="E392:E404" si="66">"Прочие кредиторы по банковской деятельности"</f>
        <v>Прочие кредиторы по банковской деятельности</v>
      </c>
      <c r="F392" t="str">
        <f t="shared" ref="F392:F397" si="67">"1"</f>
        <v>1</v>
      </c>
      <c r="G392" t="str">
        <f>"4"</f>
        <v>4</v>
      </c>
      <c r="H392" t="str">
        <f>"1"</f>
        <v>1</v>
      </c>
      <c r="I392" s="2">
        <v>473111878.51999998</v>
      </c>
    </row>
    <row r="393" spans="1:9" x14ac:dyDescent="0.25">
      <c r="A393">
        <v>382</v>
      </c>
      <c r="B393" s="1">
        <v>45657</v>
      </c>
      <c r="C393">
        <v>31</v>
      </c>
      <c r="D393" t="str">
        <f t="shared" si="65"/>
        <v>2860</v>
      </c>
      <c r="E393" t="str">
        <f t="shared" si="66"/>
        <v>Прочие кредиторы по банковской деятельности</v>
      </c>
      <c r="F393" t="str">
        <f t="shared" si="67"/>
        <v>1</v>
      </c>
      <c r="G393" t="str">
        <f>"4"</f>
        <v>4</v>
      </c>
      <c r="H393" t="str">
        <f>"3"</f>
        <v>3</v>
      </c>
      <c r="I393" s="2">
        <v>4.88</v>
      </c>
    </row>
    <row r="394" spans="1:9" x14ac:dyDescent="0.25">
      <c r="A394">
        <v>383</v>
      </c>
      <c r="B394" s="1">
        <v>45657</v>
      </c>
      <c r="C394">
        <v>31</v>
      </c>
      <c r="D394" t="str">
        <f t="shared" si="65"/>
        <v>2860</v>
      </c>
      <c r="E394" t="str">
        <f t="shared" si="66"/>
        <v>Прочие кредиторы по банковской деятельности</v>
      </c>
      <c r="F394" t="str">
        <f t="shared" si="67"/>
        <v>1</v>
      </c>
      <c r="G394" t="str">
        <f>"4"</f>
        <v>4</v>
      </c>
      <c r="H394" t="str">
        <f>"2"</f>
        <v>2</v>
      </c>
      <c r="I394" s="2">
        <v>1489075.43</v>
      </c>
    </row>
    <row r="395" spans="1:9" x14ac:dyDescent="0.25">
      <c r="A395">
        <v>384</v>
      </c>
      <c r="B395" s="1">
        <v>45657</v>
      </c>
      <c r="C395">
        <v>31</v>
      </c>
      <c r="D395" t="str">
        <f t="shared" si="65"/>
        <v>2860</v>
      </c>
      <c r="E395" t="str">
        <f t="shared" si="66"/>
        <v>Прочие кредиторы по банковской деятельности</v>
      </c>
      <c r="F395" t="str">
        <f t="shared" si="67"/>
        <v>1</v>
      </c>
      <c r="G395" t="str">
        <f>"7"</f>
        <v>7</v>
      </c>
      <c r="H395" t="str">
        <f>"1"</f>
        <v>1</v>
      </c>
      <c r="I395" s="2">
        <v>148</v>
      </c>
    </row>
    <row r="396" spans="1:9" x14ac:dyDescent="0.25">
      <c r="A396">
        <v>385</v>
      </c>
      <c r="B396" s="1">
        <v>45657</v>
      </c>
      <c r="C396">
        <v>31</v>
      </c>
      <c r="D396" t="str">
        <f t="shared" si="65"/>
        <v>2860</v>
      </c>
      <c r="E396" t="str">
        <f t="shared" si="66"/>
        <v>Прочие кредиторы по банковской деятельности</v>
      </c>
      <c r="F396" t="str">
        <f t="shared" si="67"/>
        <v>1</v>
      </c>
      <c r="G396" t="str">
        <f>"9"</f>
        <v>9</v>
      </c>
      <c r="H396" t="str">
        <f>"1"</f>
        <v>1</v>
      </c>
      <c r="I396" s="2">
        <v>21708942.600000001</v>
      </c>
    </row>
    <row r="397" spans="1:9" x14ac:dyDescent="0.25">
      <c r="A397">
        <v>386</v>
      </c>
      <c r="B397" s="1">
        <v>45657</v>
      </c>
      <c r="C397">
        <v>31</v>
      </c>
      <c r="D397" t="str">
        <f t="shared" si="65"/>
        <v>2860</v>
      </c>
      <c r="E397" t="str">
        <f t="shared" si="66"/>
        <v>Прочие кредиторы по банковской деятельности</v>
      </c>
      <c r="F397" t="str">
        <f t="shared" si="67"/>
        <v>1</v>
      </c>
      <c r="G397" t="str">
        <f>"9"</f>
        <v>9</v>
      </c>
      <c r="H397" t="str">
        <f>"2"</f>
        <v>2</v>
      </c>
      <c r="I397" s="2">
        <v>15444010.210000001</v>
      </c>
    </row>
    <row r="398" spans="1:9" x14ac:dyDescent="0.25">
      <c r="A398">
        <v>387</v>
      </c>
      <c r="B398" s="1">
        <v>45657</v>
      </c>
      <c r="C398">
        <v>31</v>
      </c>
      <c r="D398" t="str">
        <f t="shared" si="65"/>
        <v>2860</v>
      </c>
      <c r="E398" t="str">
        <f t="shared" si="66"/>
        <v>Прочие кредиторы по банковской деятельности</v>
      </c>
      <c r="F398" t="str">
        <f>"2"</f>
        <v>2</v>
      </c>
      <c r="G398" t="str">
        <f>"4"</f>
        <v>4</v>
      </c>
      <c r="H398" t="str">
        <f>"1"</f>
        <v>1</v>
      </c>
      <c r="I398" s="2">
        <v>12363603.48</v>
      </c>
    </row>
    <row r="399" spans="1:9" x14ac:dyDescent="0.25">
      <c r="A399">
        <v>388</v>
      </c>
      <c r="B399" s="1">
        <v>45657</v>
      </c>
      <c r="C399">
        <v>31</v>
      </c>
      <c r="D399" t="str">
        <f t="shared" si="65"/>
        <v>2860</v>
      </c>
      <c r="E399" t="str">
        <f t="shared" si="66"/>
        <v>Прочие кредиторы по банковской деятельности</v>
      </c>
      <c r="F399" t="str">
        <f>"1"</f>
        <v>1</v>
      </c>
      <c r="G399" t="str">
        <f>"9"</f>
        <v>9</v>
      </c>
      <c r="H399" t="str">
        <f>"3"</f>
        <v>3</v>
      </c>
      <c r="I399" s="2">
        <v>71545.679999999993</v>
      </c>
    </row>
    <row r="400" spans="1:9" x14ac:dyDescent="0.25">
      <c r="A400">
        <v>389</v>
      </c>
      <c r="B400" s="1">
        <v>45657</v>
      </c>
      <c r="C400">
        <v>31</v>
      </c>
      <c r="D400" t="str">
        <f t="shared" si="65"/>
        <v>2860</v>
      </c>
      <c r="E400" t="str">
        <f t="shared" si="66"/>
        <v>Прочие кредиторы по банковской деятельности</v>
      </c>
      <c r="F400" t="str">
        <f>"2"</f>
        <v>2</v>
      </c>
      <c r="G400" t="str">
        <f>"4"</f>
        <v>4</v>
      </c>
      <c r="H400" t="str">
        <f>"2"</f>
        <v>2</v>
      </c>
      <c r="I400" s="2">
        <v>13130963.67</v>
      </c>
    </row>
    <row r="401" spans="1:9" x14ac:dyDescent="0.25">
      <c r="A401">
        <v>390</v>
      </c>
      <c r="B401" s="1">
        <v>45657</v>
      </c>
      <c r="C401">
        <v>31</v>
      </c>
      <c r="D401" t="str">
        <f t="shared" si="65"/>
        <v>2860</v>
      </c>
      <c r="E401" t="str">
        <f t="shared" si="66"/>
        <v>Прочие кредиторы по банковской деятельности</v>
      </c>
      <c r="F401" t="str">
        <f>"2"</f>
        <v>2</v>
      </c>
      <c r="G401" t="str">
        <f>"5"</f>
        <v>5</v>
      </c>
      <c r="H401" t="str">
        <f>"2"</f>
        <v>2</v>
      </c>
      <c r="I401" s="2">
        <v>456069440.38</v>
      </c>
    </row>
    <row r="402" spans="1:9" x14ac:dyDescent="0.25">
      <c r="A402">
        <v>391</v>
      </c>
      <c r="B402" s="1">
        <v>45657</v>
      </c>
      <c r="C402">
        <v>31</v>
      </c>
      <c r="D402" t="str">
        <f t="shared" si="65"/>
        <v>2860</v>
      </c>
      <c r="E402" t="str">
        <f t="shared" si="66"/>
        <v>Прочие кредиторы по банковской деятельности</v>
      </c>
      <c r="F402" t="str">
        <f>"2"</f>
        <v>2</v>
      </c>
      <c r="G402" t="str">
        <f>"4"</f>
        <v>4</v>
      </c>
      <c r="H402" t="str">
        <f>"3"</f>
        <v>3</v>
      </c>
      <c r="I402" s="2">
        <v>2537353.41</v>
      </c>
    </row>
    <row r="403" spans="1:9" x14ac:dyDescent="0.25">
      <c r="A403">
        <v>392</v>
      </c>
      <c r="B403" s="1">
        <v>45657</v>
      </c>
      <c r="C403">
        <v>31</v>
      </c>
      <c r="D403" t="str">
        <f t="shared" si="65"/>
        <v>2860</v>
      </c>
      <c r="E403" t="str">
        <f t="shared" si="66"/>
        <v>Прочие кредиторы по банковской деятельности</v>
      </c>
      <c r="F403" t="str">
        <f>"2"</f>
        <v>2</v>
      </c>
      <c r="G403" t="str">
        <f>"5"</f>
        <v>5</v>
      </c>
      <c r="H403" t="str">
        <f>"1"</f>
        <v>1</v>
      </c>
      <c r="I403" s="2">
        <v>87735546.950000003</v>
      </c>
    </row>
    <row r="404" spans="1:9" x14ac:dyDescent="0.25">
      <c r="A404">
        <v>393</v>
      </c>
      <c r="B404" s="1">
        <v>45657</v>
      </c>
      <c r="C404">
        <v>31</v>
      </c>
      <c r="D404" t="str">
        <f t="shared" si="65"/>
        <v>2860</v>
      </c>
      <c r="E404" t="str">
        <f t="shared" si="66"/>
        <v>Прочие кредиторы по банковской деятельности</v>
      </c>
      <c r="F404" t="str">
        <f>"2"</f>
        <v>2</v>
      </c>
      <c r="G404" t="str">
        <f>"5"</f>
        <v>5</v>
      </c>
      <c r="H404" t="str">
        <f>"3"</f>
        <v>3</v>
      </c>
      <c r="I404" s="2">
        <v>61928016.960000001</v>
      </c>
    </row>
    <row r="405" spans="1:9" x14ac:dyDescent="0.25">
      <c r="A405">
        <v>394</v>
      </c>
      <c r="B405" s="1">
        <v>45657</v>
      </c>
      <c r="C405">
        <v>31</v>
      </c>
      <c r="D405" t="str">
        <f>"2861"</f>
        <v>2861</v>
      </c>
      <c r="E405" t="str">
        <f>"Резерв на отпускные выплаты"</f>
        <v>Резерв на отпускные выплаты</v>
      </c>
      <c r="F405" t="str">
        <f>""</f>
        <v/>
      </c>
      <c r="G405" t="str">
        <f>""</f>
        <v/>
      </c>
      <c r="H405" t="str">
        <f>""</f>
        <v/>
      </c>
      <c r="I405" s="2">
        <v>1096457173.75</v>
      </c>
    </row>
    <row r="406" spans="1:9" x14ac:dyDescent="0.25">
      <c r="A406">
        <v>395</v>
      </c>
      <c r="B406" s="1">
        <v>45657</v>
      </c>
      <c r="C406">
        <v>31</v>
      </c>
      <c r="D406" t="str">
        <f>"2863"</f>
        <v>2863</v>
      </c>
      <c r="E406" t="str">
        <f>"Обязательства по привилегированным акциям"</f>
        <v>Обязательства по привилегированным акциям</v>
      </c>
      <c r="F406" t="str">
        <f t="shared" ref="F406:F413" si="68">"1"</f>
        <v>1</v>
      </c>
      <c r="G406" t="str">
        <f>"4"</f>
        <v>4</v>
      </c>
      <c r="H406" t="str">
        <f>"1"</f>
        <v>1</v>
      </c>
      <c r="I406" s="2">
        <v>677085000</v>
      </c>
    </row>
    <row r="407" spans="1:9" x14ac:dyDescent="0.25">
      <c r="A407">
        <v>396</v>
      </c>
      <c r="B407" s="1">
        <v>45657</v>
      </c>
      <c r="C407">
        <v>31</v>
      </c>
      <c r="D407" t="str">
        <f>"2865"</f>
        <v>2865</v>
      </c>
      <c r="E407" t="str">
        <f>"Обязательства по выпущенным электронным деньгам"</f>
        <v>Обязательства по выпущенным электронным деньгам</v>
      </c>
      <c r="F407" t="str">
        <f t="shared" si="68"/>
        <v>1</v>
      </c>
      <c r="G407" t="str">
        <f>"7"</f>
        <v>7</v>
      </c>
      <c r="H407" t="str">
        <f>"1"</f>
        <v>1</v>
      </c>
      <c r="I407" s="2">
        <v>713966388</v>
      </c>
    </row>
    <row r="408" spans="1:9" x14ac:dyDescent="0.25">
      <c r="A408">
        <v>397</v>
      </c>
      <c r="B408" s="1">
        <v>45657</v>
      </c>
      <c r="C408">
        <v>31</v>
      </c>
      <c r="D408" t="str">
        <f>"2867"</f>
        <v>2867</v>
      </c>
      <c r="E408" t="str">
        <f>"Прочие кредиторы по неосновной деятельности"</f>
        <v>Прочие кредиторы по неосновной деятельности</v>
      </c>
      <c r="F408" t="str">
        <f t="shared" si="68"/>
        <v>1</v>
      </c>
      <c r="G408" t="str">
        <f>"9"</f>
        <v>9</v>
      </c>
      <c r="H408" t="str">
        <f>"1"</f>
        <v>1</v>
      </c>
      <c r="I408" s="2">
        <v>17112.740000000002</v>
      </c>
    </row>
    <row r="409" spans="1:9" x14ac:dyDescent="0.25">
      <c r="A409">
        <v>398</v>
      </c>
      <c r="B409" s="1">
        <v>45657</v>
      </c>
      <c r="C409">
        <v>31</v>
      </c>
      <c r="D409" t="str">
        <f t="shared" ref="D409:D414" si="69">"2869"</f>
        <v>2869</v>
      </c>
      <c r="E409" t="str">
        <f t="shared" ref="E409:E414" si="70">"Выданные гарантии"</f>
        <v>Выданные гарантии</v>
      </c>
      <c r="F409" t="str">
        <f t="shared" si="68"/>
        <v>1</v>
      </c>
      <c r="G409" t="str">
        <f>"9"</f>
        <v>9</v>
      </c>
      <c r="H409" t="str">
        <f>"1"</f>
        <v>1</v>
      </c>
      <c r="I409" s="2">
        <v>729921.97</v>
      </c>
    </row>
    <row r="410" spans="1:9" x14ac:dyDescent="0.25">
      <c r="A410">
        <v>399</v>
      </c>
      <c r="B410" s="1">
        <v>45657</v>
      </c>
      <c r="C410">
        <v>31</v>
      </c>
      <c r="D410" t="str">
        <f t="shared" si="69"/>
        <v>2869</v>
      </c>
      <c r="E410" t="str">
        <f t="shared" si="70"/>
        <v>Выданные гарантии</v>
      </c>
      <c r="F410" t="str">
        <f t="shared" si="68"/>
        <v>1</v>
      </c>
      <c r="G410" t="str">
        <f>"7"</f>
        <v>7</v>
      </c>
      <c r="H410" t="str">
        <f>"2"</f>
        <v>2</v>
      </c>
      <c r="I410" s="2">
        <v>9276472.4800000004</v>
      </c>
    </row>
    <row r="411" spans="1:9" x14ac:dyDescent="0.25">
      <c r="A411">
        <v>400</v>
      </c>
      <c r="B411" s="1">
        <v>45657</v>
      </c>
      <c r="C411">
        <v>31</v>
      </c>
      <c r="D411" t="str">
        <f t="shared" si="69"/>
        <v>2869</v>
      </c>
      <c r="E411" t="str">
        <f t="shared" si="70"/>
        <v>Выданные гарантии</v>
      </c>
      <c r="F411" t="str">
        <f t="shared" si="68"/>
        <v>1</v>
      </c>
      <c r="G411" t="str">
        <f>"7"</f>
        <v>7</v>
      </c>
      <c r="H411" t="str">
        <f>"1"</f>
        <v>1</v>
      </c>
      <c r="I411" s="2">
        <v>5723673136.2799997</v>
      </c>
    </row>
    <row r="412" spans="1:9" x14ac:dyDescent="0.25">
      <c r="A412">
        <v>401</v>
      </c>
      <c r="B412" s="1">
        <v>45657</v>
      </c>
      <c r="C412">
        <v>31</v>
      </c>
      <c r="D412" t="str">
        <f t="shared" si="69"/>
        <v>2869</v>
      </c>
      <c r="E412" t="str">
        <f t="shared" si="70"/>
        <v>Выданные гарантии</v>
      </c>
      <c r="F412" t="str">
        <f t="shared" si="68"/>
        <v>1</v>
      </c>
      <c r="G412" t="str">
        <f>"7"</f>
        <v>7</v>
      </c>
      <c r="H412" t="str">
        <f>"3"</f>
        <v>3</v>
      </c>
      <c r="I412" s="2">
        <v>1596176.65</v>
      </c>
    </row>
    <row r="413" spans="1:9" x14ac:dyDescent="0.25">
      <c r="A413">
        <v>402</v>
      </c>
      <c r="B413" s="1">
        <v>45657</v>
      </c>
      <c r="C413">
        <v>31</v>
      </c>
      <c r="D413" t="str">
        <f t="shared" si="69"/>
        <v>2869</v>
      </c>
      <c r="E413" t="str">
        <f t="shared" si="70"/>
        <v>Выданные гарантии</v>
      </c>
      <c r="F413" t="str">
        <f t="shared" si="68"/>
        <v>1</v>
      </c>
      <c r="G413" t="str">
        <f>"9"</f>
        <v>9</v>
      </c>
      <c r="H413" t="str">
        <f>"2"</f>
        <v>2</v>
      </c>
      <c r="I413" s="2">
        <v>602574.23</v>
      </c>
    </row>
    <row r="414" spans="1:9" x14ac:dyDescent="0.25">
      <c r="A414">
        <v>403</v>
      </c>
      <c r="B414" s="1">
        <v>45657</v>
      </c>
      <c r="C414">
        <v>31</v>
      </c>
      <c r="D414" t="str">
        <f t="shared" si="69"/>
        <v>2869</v>
      </c>
      <c r="E414" t="str">
        <f t="shared" si="70"/>
        <v>Выданные гарантии</v>
      </c>
      <c r="F414" t="str">
        <f>"2"</f>
        <v>2</v>
      </c>
      <c r="G414" t="str">
        <f>"4"</f>
        <v>4</v>
      </c>
      <c r="H414" t="str">
        <f>"2"</f>
        <v>2</v>
      </c>
      <c r="I414" s="2">
        <v>29235212.890000001</v>
      </c>
    </row>
    <row r="415" spans="1:9" x14ac:dyDescent="0.25">
      <c r="A415">
        <v>404</v>
      </c>
      <c r="B415" s="1">
        <v>45657</v>
      </c>
      <c r="C415">
        <v>31</v>
      </c>
      <c r="D415" t="str">
        <f t="shared" ref="D415:D420" si="71">"2870"</f>
        <v>2870</v>
      </c>
      <c r="E415" t="str">
        <f t="shared" ref="E415:E420" si="72">"Прочие транзитные счета"</f>
        <v>Прочие транзитные счета</v>
      </c>
      <c r="F415" t="str">
        <f>"1"</f>
        <v>1</v>
      </c>
      <c r="G415" t="str">
        <f>"4"</f>
        <v>4</v>
      </c>
      <c r="H415" t="str">
        <f>"1"</f>
        <v>1</v>
      </c>
      <c r="I415" s="2">
        <v>405098849.64999998</v>
      </c>
    </row>
    <row r="416" spans="1:9" x14ac:dyDescent="0.25">
      <c r="A416">
        <v>405</v>
      </c>
      <c r="B416" s="1">
        <v>45657</v>
      </c>
      <c r="C416">
        <v>31</v>
      </c>
      <c r="D416" t="str">
        <f t="shared" si="71"/>
        <v>2870</v>
      </c>
      <c r="E416" t="str">
        <f t="shared" si="72"/>
        <v>Прочие транзитные счета</v>
      </c>
      <c r="F416" t="str">
        <f>"1"</f>
        <v>1</v>
      </c>
      <c r="G416" t="str">
        <f>"4"</f>
        <v>4</v>
      </c>
      <c r="H416" t="str">
        <f>"2"</f>
        <v>2</v>
      </c>
      <c r="I416" s="2">
        <v>87127305.409999996</v>
      </c>
    </row>
    <row r="417" spans="1:9" x14ac:dyDescent="0.25">
      <c r="A417">
        <v>406</v>
      </c>
      <c r="B417" s="1">
        <v>45657</v>
      </c>
      <c r="C417">
        <v>31</v>
      </c>
      <c r="D417" t="str">
        <f t="shared" si="71"/>
        <v>2870</v>
      </c>
      <c r="E417" t="str">
        <f t="shared" si="72"/>
        <v>Прочие транзитные счета</v>
      </c>
      <c r="F417" t="str">
        <f>"1"</f>
        <v>1</v>
      </c>
      <c r="G417" t="str">
        <f>"5"</f>
        <v>5</v>
      </c>
      <c r="H417" t="str">
        <f>"1"</f>
        <v>1</v>
      </c>
      <c r="I417" s="2">
        <v>26155845.960000001</v>
      </c>
    </row>
    <row r="418" spans="1:9" x14ac:dyDescent="0.25">
      <c r="A418">
        <v>407</v>
      </c>
      <c r="B418" s="1">
        <v>45657</v>
      </c>
      <c r="C418">
        <v>31</v>
      </c>
      <c r="D418" t="str">
        <f t="shared" si="71"/>
        <v>2870</v>
      </c>
      <c r="E418" t="str">
        <f t="shared" si="72"/>
        <v>Прочие транзитные счета</v>
      </c>
      <c r="F418" t="str">
        <f>"2"</f>
        <v>2</v>
      </c>
      <c r="G418" t="str">
        <f>"5"</f>
        <v>5</v>
      </c>
      <c r="H418" t="str">
        <f>"1"</f>
        <v>1</v>
      </c>
      <c r="I418" s="2">
        <v>68795057.329999998</v>
      </c>
    </row>
    <row r="419" spans="1:9" x14ac:dyDescent="0.25">
      <c r="A419">
        <v>408</v>
      </c>
      <c r="B419" s="1">
        <v>45657</v>
      </c>
      <c r="C419">
        <v>31</v>
      </c>
      <c r="D419" t="str">
        <f t="shared" si="71"/>
        <v>2870</v>
      </c>
      <c r="E419" t="str">
        <f t="shared" si="72"/>
        <v>Прочие транзитные счета</v>
      </c>
      <c r="F419" t="str">
        <f>"1"</f>
        <v>1</v>
      </c>
      <c r="G419" t="str">
        <f>"4"</f>
        <v>4</v>
      </c>
      <c r="H419" t="str">
        <f>"3"</f>
        <v>3</v>
      </c>
      <c r="I419" s="2">
        <v>3115787.91</v>
      </c>
    </row>
    <row r="420" spans="1:9" x14ac:dyDescent="0.25">
      <c r="A420">
        <v>409</v>
      </c>
      <c r="B420" s="1">
        <v>45657</v>
      </c>
      <c r="C420">
        <v>31</v>
      </c>
      <c r="D420" t="str">
        <f t="shared" si="71"/>
        <v>2870</v>
      </c>
      <c r="E420" t="str">
        <f t="shared" si="72"/>
        <v>Прочие транзитные счета</v>
      </c>
      <c r="F420" t="str">
        <f>"2"</f>
        <v>2</v>
      </c>
      <c r="G420" t="str">
        <f>"5"</f>
        <v>5</v>
      </c>
      <c r="H420" t="str">
        <f>"2"</f>
        <v>2</v>
      </c>
      <c r="I420" s="2">
        <v>14812037.67</v>
      </c>
    </row>
    <row r="421" spans="1:9" x14ac:dyDescent="0.25">
      <c r="A421">
        <v>410</v>
      </c>
      <c r="B421" s="1">
        <v>45657</v>
      </c>
      <c r="C421">
        <v>31</v>
      </c>
      <c r="D421" t="str">
        <f>"2874"</f>
        <v>2874</v>
      </c>
      <c r="E42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21" t="str">
        <f t="shared" ref="F421:F427" si="73">"1"</f>
        <v>1</v>
      </c>
      <c r="G421" t="str">
        <f>""</f>
        <v/>
      </c>
      <c r="H421" t="str">
        <f>"1"</f>
        <v>1</v>
      </c>
      <c r="I421" s="2">
        <v>42000</v>
      </c>
    </row>
    <row r="422" spans="1:9" x14ac:dyDescent="0.25">
      <c r="A422">
        <v>411</v>
      </c>
      <c r="B422" s="1">
        <v>45657</v>
      </c>
      <c r="C422">
        <v>31</v>
      </c>
      <c r="D422" t="str">
        <f>"2875"</f>
        <v>2875</v>
      </c>
      <c r="E42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22" t="str">
        <f t="shared" si="73"/>
        <v>1</v>
      </c>
      <c r="G422" t="str">
        <f>"7"</f>
        <v>7</v>
      </c>
      <c r="H422" t="str">
        <f>"1"</f>
        <v>1</v>
      </c>
      <c r="I422" s="2">
        <v>661810089.36000001</v>
      </c>
    </row>
    <row r="423" spans="1:9" x14ac:dyDescent="0.25">
      <c r="A423">
        <v>412</v>
      </c>
      <c r="B423" s="1">
        <v>45657</v>
      </c>
      <c r="C423">
        <v>31</v>
      </c>
      <c r="D423" t="str">
        <f>"2875"</f>
        <v>2875</v>
      </c>
      <c r="E42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23" t="str">
        <f t="shared" si="73"/>
        <v>1</v>
      </c>
      <c r="G423" t="str">
        <f>"5"</f>
        <v>5</v>
      </c>
      <c r="H423" t="str">
        <f>"1"</f>
        <v>1</v>
      </c>
      <c r="I423" s="2">
        <v>37447330.619999997</v>
      </c>
    </row>
    <row r="424" spans="1:9" x14ac:dyDescent="0.25">
      <c r="A424">
        <v>413</v>
      </c>
      <c r="B424" s="1">
        <v>45657</v>
      </c>
      <c r="C424">
        <v>31</v>
      </c>
      <c r="D424" t="str">
        <f>"2875"</f>
        <v>2875</v>
      </c>
      <c r="E42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24" t="str">
        <f t="shared" si="73"/>
        <v>1</v>
      </c>
      <c r="G424" t="str">
        <f>"7"</f>
        <v>7</v>
      </c>
      <c r="H424" t="str">
        <f>"2"</f>
        <v>2</v>
      </c>
      <c r="I424" s="2">
        <v>8171029.7800000003</v>
      </c>
    </row>
    <row r="425" spans="1:9" x14ac:dyDescent="0.25">
      <c r="A425">
        <v>414</v>
      </c>
      <c r="B425" s="1">
        <v>45657</v>
      </c>
      <c r="C425">
        <v>31</v>
      </c>
      <c r="D425" t="str">
        <f>"2875"</f>
        <v>2875</v>
      </c>
      <c r="E42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25" t="str">
        <f t="shared" si="73"/>
        <v>1</v>
      </c>
      <c r="G425" t="str">
        <f>"9"</f>
        <v>9</v>
      </c>
      <c r="H425" t="str">
        <f>"1"</f>
        <v>1</v>
      </c>
      <c r="I425" s="2">
        <v>7627415.9199999999</v>
      </c>
    </row>
    <row r="426" spans="1:9" x14ac:dyDescent="0.25">
      <c r="A426">
        <v>415</v>
      </c>
      <c r="B426" s="1">
        <v>45657</v>
      </c>
      <c r="C426">
        <v>31</v>
      </c>
      <c r="D426" t="str">
        <f>"2875"</f>
        <v>2875</v>
      </c>
      <c r="E42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426" t="str">
        <f t="shared" si="73"/>
        <v>1</v>
      </c>
      <c r="G426" t="str">
        <f>"5"</f>
        <v>5</v>
      </c>
      <c r="H426" t="str">
        <f>"2"</f>
        <v>2</v>
      </c>
      <c r="I426" s="2">
        <v>19513234.629999999</v>
      </c>
    </row>
    <row r="427" spans="1:9" x14ac:dyDescent="0.25">
      <c r="A427">
        <v>416</v>
      </c>
      <c r="B427" s="1">
        <v>45657</v>
      </c>
      <c r="C427">
        <v>31</v>
      </c>
      <c r="D427" t="str">
        <f>"2892"</f>
        <v>2892</v>
      </c>
      <c r="E427" t="str">
        <f>"Обязательства по операциям форвард"</f>
        <v>Обязательства по операциям форвард</v>
      </c>
      <c r="F427" t="str">
        <f t="shared" si="73"/>
        <v>1</v>
      </c>
      <c r="G427" t="str">
        <f>"7"</f>
        <v>7</v>
      </c>
      <c r="H427" t="str">
        <f>"1"</f>
        <v>1</v>
      </c>
      <c r="I427" s="2">
        <v>28610795.68</v>
      </c>
    </row>
    <row r="428" spans="1:9" x14ac:dyDescent="0.25">
      <c r="A428">
        <v>417</v>
      </c>
      <c r="B428" s="1">
        <v>45657</v>
      </c>
      <c r="C428">
        <v>31</v>
      </c>
      <c r="D428" t="str">
        <f>"3001"</f>
        <v>3001</v>
      </c>
      <c r="E428" t="str">
        <f>"Уставный капитал – простые акции"</f>
        <v>Уставный капитал – простые акции</v>
      </c>
      <c r="F428" t="str">
        <f>""</f>
        <v/>
      </c>
      <c r="G428" t="str">
        <f>""</f>
        <v/>
      </c>
      <c r="H428" t="str">
        <f>""</f>
        <v/>
      </c>
      <c r="I428" s="2">
        <v>147354537392.44</v>
      </c>
    </row>
    <row r="429" spans="1:9" x14ac:dyDescent="0.25">
      <c r="A429">
        <v>418</v>
      </c>
      <c r="B429" s="1">
        <v>45657</v>
      </c>
      <c r="C429">
        <v>31</v>
      </c>
      <c r="D429" t="str">
        <f>"3003"</f>
        <v>3003</v>
      </c>
      <c r="E429" t="str">
        <f>"Выкупленные простые акции"</f>
        <v>Выкупленные простые акции</v>
      </c>
      <c r="F429" t="str">
        <f>""</f>
        <v/>
      </c>
      <c r="G429" t="str">
        <f>""</f>
        <v/>
      </c>
      <c r="H429" t="str">
        <f>""</f>
        <v/>
      </c>
      <c r="I429" s="2">
        <v>-19876200</v>
      </c>
    </row>
    <row r="430" spans="1:9" x14ac:dyDescent="0.25">
      <c r="A430">
        <v>419</v>
      </c>
      <c r="B430" s="1">
        <v>45657</v>
      </c>
      <c r="C430">
        <v>31</v>
      </c>
      <c r="D430" t="str">
        <f>"3025"</f>
        <v>3025</v>
      </c>
      <c r="E430" t="str">
        <f>"Уставный капитал – привилегированные акции"</f>
        <v>Уставный капитал – привилегированные акции</v>
      </c>
      <c r="F430" t="str">
        <f>""</f>
        <v/>
      </c>
      <c r="G430" t="str">
        <f>""</f>
        <v/>
      </c>
      <c r="H430" t="str">
        <f>""</f>
        <v/>
      </c>
      <c r="I430" s="2">
        <v>2348575000</v>
      </c>
    </row>
    <row r="431" spans="1:9" x14ac:dyDescent="0.25">
      <c r="A431">
        <v>420</v>
      </c>
      <c r="B431" s="1">
        <v>45657</v>
      </c>
      <c r="C431">
        <v>31</v>
      </c>
      <c r="D431" t="str">
        <f>"3027"</f>
        <v>3027</v>
      </c>
      <c r="E431" t="str">
        <f>"Выкупленные привилегированные акции"</f>
        <v>Выкупленные привилегированные акции</v>
      </c>
      <c r="F431" t="str">
        <f>""</f>
        <v/>
      </c>
      <c r="G431" t="str">
        <f>""</f>
        <v/>
      </c>
      <c r="H431" t="str">
        <f>""</f>
        <v/>
      </c>
      <c r="I431" s="2">
        <v>-2262500</v>
      </c>
    </row>
    <row r="432" spans="1:9" x14ac:dyDescent="0.25">
      <c r="A432">
        <v>421</v>
      </c>
      <c r="B432" s="1">
        <v>45657</v>
      </c>
      <c r="C432">
        <v>31</v>
      </c>
      <c r="D432" t="str">
        <f>"3540"</f>
        <v>3540</v>
      </c>
      <c r="E432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432" t="str">
        <f>""</f>
        <v/>
      </c>
      <c r="G432" t="str">
        <f>""</f>
        <v/>
      </c>
      <c r="H432" t="str">
        <f>""</f>
        <v/>
      </c>
      <c r="I432" s="2">
        <v>4602530188.0799999</v>
      </c>
    </row>
    <row r="433" spans="1:9" x14ac:dyDescent="0.25">
      <c r="A433">
        <v>422</v>
      </c>
      <c r="B433" s="1">
        <v>45657</v>
      </c>
      <c r="C433">
        <v>31</v>
      </c>
      <c r="D433" t="str">
        <f>"3561"</f>
        <v>3561</v>
      </c>
      <c r="E43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33" t="str">
        <f>"1"</f>
        <v>1</v>
      </c>
      <c r="G433" t="str">
        <f>""</f>
        <v/>
      </c>
      <c r="H433" t="str">
        <f>"2"</f>
        <v>2</v>
      </c>
      <c r="I433" s="2">
        <v>-876560838.17999995</v>
      </c>
    </row>
    <row r="434" spans="1:9" x14ac:dyDescent="0.25">
      <c r="A434">
        <v>423</v>
      </c>
      <c r="B434" s="1">
        <v>45657</v>
      </c>
      <c r="C434">
        <v>31</v>
      </c>
      <c r="D434" t="str">
        <f>"3561"</f>
        <v>3561</v>
      </c>
      <c r="E43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34" t="str">
        <f>"1"</f>
        <v>1</v>
      </c>
      <c r="G434" t="str">
        <f>""</f>
        <v/>
      </c>
      <c r="H434" t="str">
        <f>"1"</f>
        <v>1</v>
      </c>
      <c r="I434" s="2">
        <v>1520317199.1099999</v>
      </c>
    </row>
    <row r="435" spans="1:9" x14ac:dyDescent="0.25">
      <c r="A435">
        <v>424</v>
      </c>
      <c r="B435" s="1">
        <v>45657</v>
      </c>
      <c r="C435">
        <v>31</v>
      </c>
      <c r="D435" t="str">
        <f>"3561"</f>
        <v>3561</v>
      </c>
      <c r="E43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435" t="str">
        <f>"2"</f>
        <v>2</v>
      </c>
      <c r="G435" t="str">
        <f>""</f>
        <v/>
      </c>
      <c r="H435" t="str">
        <f>"2"</f>
        <v>2</v>
      </c>
      <c r="I435" s="2">
        <v>-148228591.66</v>
      </c>
    </row>
    <row r="436" spans="1:9" x14ac:dyDescent="0.25">
      <c r="A436">
        <v>425</v>
      </c>
      <c r="B436" s="1">
        <v>45657</v>
      </c>
      <c r="C436">
        <v>31</v>
      </c>
      <c r="D436" t="str">
        <f>"3562"</f>
        <v>3562</v>
      </c>
      <c r="E43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36" t="str">
        <f>"1"</f>
        <v>1</v>
      </c>
      <c r="G436" t="str">
        <f>""</f>
        <v/>
      </c>
      <c r="H436" t="str">
        <f>"1"</f>
        <v>1</v>
      </c>
      <c r="I436" s="2">
        <v>159960777.90000001</v>
      </c>
    </row>
    <row r="437" spans="1:9" x14ac:dyDescent="0.25">
      <c r="A437">
        <v>426</v>
      </c>
      <c r="B437" s="1">
        <v>45657</v>
      </c>
      <c r="C437">
        <v>31</v>
      </c>
      <c r="D437" t="str">
        <f>"3562"</f>
        <v>3562</v>
      </c>
      <c r="E43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37" t="str">
        <f>"1"</f>
        <v>1</v>
      </c>
      <c r="G437" t="str">
        <f>""</f>
        <v/>
      </c>
      <c r="H437" t="str">
        <f>"2"</f>
        <v>2</v>
      </c>
      <c r="I437" s="2">
        <v>33458190.16</v>
      </c>
    </row>
    <row r="438" spans="1:9" x14ac:dyDescent="0.25">
      <c r="A438">
        <v>427</v>
      </c>
      <c r="B438" s="1">
        <v>45657</v>
      </c>
      <c r="C438">
        <v>31</v>
      </c>
      <c r="D438" t="str">
        <f>"3562"</f>
        <v>3562</v>
      </c>
      <c r="E43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438" t="str">
        <f>"2"</f>
        <v>2</v>
      </c>
      <c r="G438" t="str">
        <f>""</f>
        <v/>
      </c>
      <c r="H438" t="str">
        <f>"2"</f>
        <v>2</v>
      </c>
      <c r="I438" s="2">
        <v>236351086.81</v>
      </c>
    </row>
    <row r="439" spans="1:9" x14ac:dyDescent="0.25">
      <c r="A439">
        <v>428</v>
      </c>
      <c r="B439" s="1">
        <v>45657</v>
      </c>
      <c r="C439">
        <v>31</v>
      </c>
      <c r="D439" t="str">
        <f>"3580"</f>
        <v>3580</v>
      </c>
      <c r="E439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439" t="str">
        <f>""</f>
        <v/>
      </c>
      <c r="G439" t="str">
        <f>""</f>
        <v/>
      </c>
      <c r="H439" t="str">
        <f>""</f>
        <v/>
      </c>
      <c r="I439" s="2">
        <v>-98635817384.119995</v>
      </c>
    </row>
    <row r="440" spans="1:9" x14ac:dyDescent="0.25">
      <c r="A440">
        <v>429</v>
      </c>
      <c r="B440" s="1">
        <v>45657</v>
      </c>
      <c r="C440">
        <v>31</v>
      </c>
      <c r="D440" t="str">
        <f>"3599"</f>
        <v>3599</v>
      </c>
      <c r="E440" t="str">
        <f>"Нераспределенная чистая прибыль (непокрытый убыток)"</f>
        <v>Нераспределенная чистая прибыль (непокрытый убыток)</v>
      </c>
      <c r="F440" t="str">
        <f>""</f>
        <v/>
      </c>
      <c r="G440" t="str">
        <f>""</f>
        <v/>
      </c>
      <c r="H440" t="str">
        <f>""</f>
        <v/>
      </c>
      <c r="I440" s="2">
        <v>13239994773.32</v>
      </c>
    </row>
    <row r="441" spans="1:9" x14ac:dyDescent="0.25">
      <c r="A441">
        <v>430</v>
      </c>
      <c r="B441" s="1">
        <v>45657</v>
      </c>
      <c r="C441">
        <v>31</v>
      </c>
      <c r="D441" t="str">
        <f>"4052"</f>
        <v>4052</v>
      </c>
      <c r="E441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441" t="str">
        <f>""</f>
        <v/>
      </c>
      <c r="G441" t="str">
        <f>""</f>
        <v/>
      </c>
      <c r="H441" t="str">
        <f>""</f>
        <v/>
      </c>
      <c r="I441" s="2">
        <v>108526885.48</v>
      </c>
    </row>
    <row r="442" spans="1:9" x14ac:dyDescent="0.25">
      <c r="A442">
        <v>431</v>
      </c>
      <c r="B442" s="1">
        <v>45657</v>
      </c>
      <c r="C442">
        <v>31</v>
      </c>
      <c r="D442" t="str">
        <f>"4091"</f>
        <v>4091</v>
      </c>
      <c r="E442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442" t="str">
        <f>""</f>
        <v/>
      </c>
      <c r="G442" t="str">
        <f>""</f>
        <v/>
      </c>
      <c r="H442" t="str">
        <f>""</f>
        <v/>
      </c>
      <c r="I442" s="2">
        <v>3118434.98</v>
      </c>
    </row>
    <row r="443" spans="1:9" x14ac:dyDescent="0.25">
      <c r="A443">
        <v>432</v>
      </c>
      <c r="B443" s="1">
        <v>45657</v>
      </c>
      <c r="C443">
        <v>31</v>
      </c>
      <c r="D443" t="str">
        <f>"4101"</f>
        <v>4101</v>
      </c>
      <c r="E443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443" t="str">
        <f>""</f>
        <v/>
      </c>
      <c r="G443" t="str">
        <f>""</f>
        <v/>
      </c>
      <c r="H443" t="str">
        <f>""</f>
        <v/>
      </c>
      <c r="I443" s="2">
        <v>1196252777.78</v>
      </c>
    </row>
    <row r="444" spans="1:9" x14ac:dyDescent="0.25">
      <c r="A444">
        <v>433</v>
      </c>
      <c r="B444" s="1">
        <v>45657</v>
      </c>
      <c r="C444">
        <v>31</v>
      </c>
      <c r="D444" t="str">
        <f>"4103"</f>
        <v>4103</v>
      </c>
      <c r="E444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444" t="str">
        <f>""</f>
        <v/>
      </c>
      <c r="G444" t="str">
        <f>""</f>
        <v/>
      </c>
      <c r="H444" t="str">
        <f>""</f>
        <v/>
      </c>
      <c r="I444" s="2">
        <v>5651673611.1499996</v>
      </c>
    </row>
    <row r="445" spans="1:9" x14ac:dyDescent="0.25">
      <c r="A445">
        <v>434</v>
      </c>
      <c r="B445" s="1">
        <v>45657</v>
      </c>
      <c r="C445">
        <v>31</v>
      </c>
      <c r="D445" t="str">
        <f>"4201"</f>
        <v>4201</v>
      </c>
      <c r="E445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445" t="str">
        <f>""</f>
        <v/>
      </c>
      <c r="G445" t="str">
        <f>""</f>
        <v/>
      </c>
      <c r="H445" t="str">
        <f>""</f>
        <v/>
      </c>
      <c r="I445" s="2">
        <v>1924653.27</v>
      </c>
    </row>
    <row r="446" spans="1:9" x14ac:dyDescent="0.25">
      <c r="A446">
        <v>435</v>
      </c>
      <c r="B446" s="1">
        <v>45657</v>
      </c>
      <c r="C446">
        <v>31</v>
      </c>
      <c r="D446" t="str">
        <f>"4251"</f>
        <v>4251</v>
      </c>
      <c r="E446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446" t="str">
        <f>""</f>
        <v/>
      </c>
      <c r="G446" t="str">
        <f>""</f>
        <v/>
      </c>
      <c r="H446" t="str">
        <f>""</f>
        <v/>
      </c>
      <c r="I446" s="2">
        <v>556522749.73000002</v>
      </c>
    </row>
    <row r="447" spans="1:9" x14ac:dyDescent="0.25">
      <c r="A447">
        <v>436</v>
      </c>
      <c r="B447" s="1">
        <v>45657</v>
      </c>
      <c r="C447">
        <v>31</v>
      </c>
      <c r="D447" t="str">
        <f>"4253"</f>
        <v>4253</v>
      </c>
      <c r="E447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447" t="str">
        <f>""</f>
        <v/>
      </c>
      <c r="G447" t="str">
        <f>""</f>
        <v/>
      </c>
      <c r="H447" t="str">
        <f>""</f>
        <v/>
      </c>
      <c r="I447" s="2">
        <v>72198472.379999995</v>
      </c>
    </row>
    <row r="448" spans="1:9" x14ac:dyDescent="0.25">
      <c r="A448">
        <v>437</v>
      </c>
      <c r="B448" s="1">
        <v>45657</v>
      </c>
      <c r="C448">
        <v>31</v>
      </c>
      <c r="D448" t="str">
        <f>"4302"</f>
        <v>4302</v>
      </c>
      <c r="E448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448" t="str">
        <f>""</f>
        <v/>
      </c>
      <c r="G448" t="str">
        <f>""</f>
        <v/>
      </c>
      <c r="H448" t="str">
        <f>""</f>
        <v/>
      </c>
      <c r="I448" s="2">
        <v>244136181.09999999</v>
      </c>
    </row>
    <row r="449" spans="1:9" x14ac:dyDescent="0.25">
      <c r="A449">
        <v>438</v>
      </c>
      <c r="B449" s="1">
        <v>45657</v>
      </c>
      <c r="C449">
        <v>31</v>
      </c>
      <c r="D449" t="str">
        <f>"4312"</f>
        <v>4312</v>
      </c>
      <c r="E449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449" t="str">
        <f>""</f>
        <v/>
      </c>
      <c r="G449" t="str">
        <f>""</f>
        <v/>
      </c>
      <c r="H449" t="str">
        <f>""</f>
        <v/>
      </c>
      <c r="I449" s="2">
        <v>27817857.530000001</v>
      </c>
    </row>
    <row r="450" spans="1:9" x14ac:dyDescent="0.25">
      <c r="A450">
        <v>439</v>
      </c>
      <c r="B450" s="1">
        <v>45657</v>
      </c>
      <c r="C450">
        <v>31</v>
      </c>
      <c r="D450" t="str">
        <f>"4401"</f>
        <v>4401</v>
      </c>
      <c r="E450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450" t="str">
        <f>""</f>
        <v/>
      </c>
      <c r="G450" t="str">
        <f>""</f>
        <v/>
      </c>
      <c r="H450" t="str">
        <f>""</f>
        <v/>
      </c>
      <c r="I450" s="2">
        <v>25710869.850000001</v>
      </c>
    </row>
    <row r="451" spans="1:9" x14ac:dyDescent="0.25">
      <c r="A451">
        <v>440</v>
      </c>
      <c r="B451" s="1">
        <v>45657</v>
      </c>
      <c r="C451">
        <v>31</v>
      </c>
      <c r="D451" t="str">
        <f>"4403"</f>
        <v>4403</v>
      </c>
      <c r="E451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451" t="str">
        <f>""</f>
        <v/>
      </c>
      <c r="G451" t="str">
        <f>""</f>
        <v/>
      </c>
      <c r="H451" t="str">
        <f>""</f>
        <v/>
      </c>
      <c r="I451" s="2">
        <v>59251.71</v>
      </c>
    </row>
    <row r="452" spans="1:9" x14ac:dyDescent="0.25">
      <c r="A452">
        <v>441</v>
      </c>
      <c r="B452" s="1">
        <v>45657</v>
      </c>
      <c r="C452">
        <v>31</v>
      </c>
      <c r="D452" t="str">
        <f>"4411"</f>
        <v>4411</v>
      </c>
      <c r="E452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452" t="str">
        <f>""</f>
        <v/>
      </c>
      <c r="G452" t="str">
        <f>""</f>
        <v/>
      </c>
      <c r="H452" t="str">
        <f>""</f>
        <v/>
      </c>
      <c r="I452" s="2">
        <v>6017564384.79</v>
      </c>
    </row>
    <row r="453" spans="1:9" x14ac:dyDescent="0.25">
      <c r="A453">
        <v>442</v>
      </c>
      <c r="B453" s="1">
        <v>45657</v>
      </c>
      <c r="C453">
        <v>31</v>
      </c>
      <c r="D453" t="str">
        <f>"4417"</f>
        <v>4417</v>
      </c>
      <c r="E453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453" t="str">
        <f>""</f>
        <v/>
      </c>
      <c r="G453" t="str">
        <f>""</f>
        <v/>
      </c>
      <c r="H453" t="str">
        <f>""</f>
        <v/>
      </c>
      <c r="I453" s="2">
        <v>32219795424.580002</v>
      </c>
    </row>
    <row r="454" spans="1:9" x14ac:dyDescent="0.25">
      <c r="A454">
        <v>443</v>
      </c>
      <c r="B454" s="1">
        <v>45657</v>
      </c>
      <c r="C454">
        <v>31</v>
      </c>
      <c r="D454" t="str">
        <f>"4424"</f>
        <v>4424</v>
      </c>
      <c r="E454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454" t="str">
        <f>""</f>
        <v/>
      </c>
      <c r="G454" t="str">
        <f>""</f>
        <v/>
      </c>
      <c r="H454" t="str">
        <f>""</f>
        <v/>
      </c>
      <c r="I454" s="2">
        <v>1177934756.04</v>
      </c>
    </row>
    <row r="455" spans="1:9" x14ac:dyDescent="0.25">
      <c r="A455">
        <v>444</v>
      </c>
      <c r="B455" s="1">
        <v>45657</v>
      </c>
      <c r="C455">
        <v>31</v>
      </c>
      <c r="D455" t="str">
        <f>"4429"</f>
        <v>4429</v>
      </c>
      <c r="E455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455" t="str">
        <f>""</f>
        <v/>
      </c>
      <c r="G455" t="str">
        <f>""</f>
        <v/>
      </c>
      <c r="H455" t="str">
        <f>""</f>
        <v/>
      </c>
      <c r="I455" s="2">
        <v>45771987.789999999</v>
      </c>
    </row>
    <row r="456" spans="1:9" x14ac:dyDescent="0.25">
      <c r="A456">
        <v>445</v>
      </c>
      <c r="B456" s="1">
        <v>45657</v>
      </c>
      <c r="C456">
        <v>31</v>
      </c>
      <c r="D456" t="str">
        <f>"4434"</f>
        <v>4434</v>
      </c>
      <c r="E456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456" t="str">
        <f>""</f>
        <v/>
      </c>
      <c r="G456" t="str">
        <f>""</f>
        <v/>
      </c>
      <c r="H456" t="str">
        <f>""</f>
        <v/>
      </c>
      <c r="I456" s="2">
        <v>488628343.89999998</v>
      </c>
    </row>
    <row r="457" spans="1:9" x14ac:dyDescent="0.25">
      <c r="A457">
        <v>446</v>
      </c>
      <c r="B457" s="1">
        <v>45657</v>
      </c>
      <c r="C457">
        <v>31</v>
      </c>
      <c r="D457" t="str">
        <f>"4452"</f>
        <v>4452</v>
      </c>
      <c r="E457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457" t="str">
        <f>""</f>
        <v/>
      </c>
      <c r="G457" t="str">
        <f>""</f>
        <v/>
      </c>
      <c r="H457" t="str">
        <f>""</f>
        <v/>
      </c>
      <c r="I457" s="2">
        <v>8821623683.0799999</v>
      </c>
    </row>
    <row r="458" spans="1:9" x14ac:dyDescent="0.25">
      <c r="A458">
        <v>447</v>
      </c>
      <c r="B458" s="1">
        <v>45657</v>
      </c>
      <c r="C458">
        <v>31</v>
      </c>
      <c r="D458" t="str">
        <f>"4453"</f>
        <v>4453</v>
      </c>
      <c r="E458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458" t="str">
        <f>""</f>
        <v/>
      </c>
      <c r="G458" t="str">
        <f>""</f>
        <v/>
      </c>
      <c r="H458" t="str">
        <f>""</f>
        <v/>
      </c>
      <c r="I458" s="2">
        <v>1606561804.29</v>
      </c>
    </row>
    <row r="459" spans="1:9" x14ac:dyDescent="0.25">
      <c r="A459">
        <v>448</v>
      </c>
      <c r="B459" s="1">
        <v>45657</v>
      </c>
      <c r="C459">
        <v>31</v>
      </c>
      <c r="D459" t="str">
        <f>"4455"</f>
        <v>4455</v>
      </c>
      <c r="E459" t="str">
        <f>"Доходы по амортизации премии по выпущенным в обращение субординированным облигациям"</f>
        <v>Доходы по амортизации премии по выпущенным в обращение субординированным облигациям</v>
      </c>
      <c r="F459" t="str">
        <f>""</f>
        <v/>
      </c>
      <c r="G459" t="str">
        <f>""</f>
        <v/>
      </c>
      <c r="H459" t="str">
        <f>""</f>
        <v/>
      </c>
      <c r="I459" s="2">
        <v>820897.09</v>
      </c>
    </row>
    <row r="460" spans="1:9" x14ac:dyDescent="0.25">
      <c r="A460">
        <v>449</v>
      </c>
      <c r="B460" s="1">
        <v>45657</v>
      </c>
      <c r="C460">
        <v>31</v>
      </c>
      <c r="D460" t="str">
        <f>"4465"</f>
        <v>4465</v>
      </c>
      <c r="E460" t="str">
        <f>"Доходы по операциям «РЕПО» с ценными бумагами"</f>
        <v>Доходы по операциям «РЕПО» с ценными бумагами</v>
      </c>
      <c r="F460" t="str">
        <f>""</f>
        <v/>
      </c>
      <c r="G460" t="str">
        <f>""</f>
        <v/>
      </c>
      <c r="H460" t="str">
        <f>""</f>
        <v/>
      </c>
      <c r="I460" s="2">
        <v>103938190.73999999</v>
      </c>
    </row>
    <row r="461" spans="1:9" x14ac:dyDescent="0.25">
      <c r="A461">
        <v>450</v>
      </c>
      <c r="B461" s="1">
        <v>45657</v>
      </c>
      <c r="C461">
        <v>31</v>
      </c>
      <c r="D461" t="str">
        <f>"4476"</f>
        <v>4476</v>
      </c>
      <c r="E461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461" t="str">
        <f>""</f>
        <v/>
      </c>
      <c r="G461" t="str">
        <f>""</f>
        <v/>
      </c>
      <c r="H461" t="str">
        <f>""</f>
        <v/>
      </c>
      <c r="I461" s="2">
        <v>52813102.899999999</v>
      </c>
    </row>
    <row r="462" spans="1:9" x14ac:dyDescent="0.25">
      <c r="A462">
        <v>451</v>
      </c>
      <c r="B462" s="1">
        <v>45657</v>
      </c>
      <c r="C462">
        <v>31</v>
      </c>
      <c r="D462" t="str">
        <f>"4481"</f>
        <v>4481</v>
      </c>
      <c r="E462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462" t="str">
        <f>""</f>
        <v/>
      </c>
      <c r="G462" t="str">
        <f>""</f>
        <v/>
      </c>
      <c r="H462" t="str">
        <f>""</f>
        <v/>
      </c>
      <c r="I462" s="2">
        <v>1440582947.98</v>
      </c>
    </row>
    <row r="463" spans="1:9" x14ac:dyDescent="0.25">
      <c r="A463">
        <v>452</v>
      </c>
      <c r="B463" s="1">
        <v>45657</v>
      </c>
      <c r="C463">
        <v>31</v>
      </c>
      <c r="D463" t="str">
        <f>"4492"</f>
        <v>4492</v>
      </c>
      <c r="E463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463" t="str">
        <f>""</f>
        <v/>
      </c>
      <c r="G463" t="str">
        <f>""</f>
        <v/>
      </c>
      <c r="H463" t="str">
        <f>""</f>
        <v/>
      </c>
      <c r="I463" s="2">
        <v>969731.97</v>
      </c>
    </row>
    <row r="464" spans="1:9" x14ac:dyDescent="0.25">
      <c r="A464">
        <v>453</v>
      </c>
      <c r="B464" s="1">
        <v>45657</v>
      </c>
      <c r="C464">
        <v>31</v>
      </c>
      <c r="D464" t="str">
        <f>"4530"</f>
        <v>4530</v>
      </c>
      <c r="E464" t="str">
        <f>"Доходы по купле-продаже иностранной валюты"</f>
        <v>Доходы по купле-продаже иностранной валюты</v>
      </c>
      <c r="F464" t="str">
        <f>""</f>
        <v/>
      </c>
      <c r="G464" t="str">
        <f>""</f>
        <v/>
      </c>
      <c r="H464" t="str">
        <f>""</f>
        <v/>
      </c>
      <c r="I464" s="2">
        <v>8596637303.4799995</v>
      </c>
    </row>
    <row r="465" spans="1:9" x14ac:dyDescent="0.25">
      <c r="A465">
        <v>454</v>
      </c>
      <c r="B465" s="1">
        <v>45657</v>
      </c>
      <c r="C465">
        <v>31</v>
      </c>
      <c r="D465" t="str">
        <f>"4570"</f>
        <v>4570</v>
      </c>
      <c r="E465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465" t="str">
        <f>""</f>
        <v/>
      </c>
      <c r="G465" t="str">
        <f>""</f>
        <v/>
      </c>
      <c r="H465" t="str">
        <f>""</f>
        <v/>
      </c>
      <c r="I465" s="2">
        <v>14363483.380000001</v>
      </c>
    </row>
    <row r="466" spans="1:9" x14ac:dyDescent="0.25">
      <c r="A466">
        <v>455</v>
      </c>
      <c r="B466" s="1">
        <v>45657</v>
      </c>
      <c r="C466">
        <v>31</v>
      </c>
      <c r="D466" t="str">
        <f>"4601"</f>
        <v>4601</v>
      </c>
      <c r="E466" t="str">
        <f>"Комиссионные доходы за услуги по переводным операциям"</f>
        <v>Комиссионные доходы за услуги по переводным операциям</v>
      </c>
      <c r="F466" t="str">
        <f>""</f>
        <v/>
      </c>
      <c r="G466" t="str">
        <f>""</f>
        <v/>
      </c>
      <c r="H466" t="str">
        <f>""</f>
        <v/>
      </c>
      <c r="I466" s="2">
        <v>2836238458.6500001</v>
      </c>
    </row>
    <row r="467" spans="1:9" x14ac:dyDescent="0.25">
      <c r="A467">
        <v>456</v>
      </c>
      <c r="B467" s="1">
        <v>45657</v>
      </c>
      <c r="C467">
        <v>31</v>
      </c>
      <c r="D467" t="str">
        <f>"4604"</f>
        <v>4604</v>
      </c>
      <c r="E467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467" t="str">
        <f>""</f>
        <v/>
      </c>
      <c r="G467" t="str">
        <f>""</f>
        <v/>
      </c>
      <c r="H467" t="str">
        <f>""</f>
        <v/>
      </c>
      <c r="I467" s="2">
        <v>791339566.20000005</v>
      </c>
    </row>
    <row r="468" spans="1:9" x14ac:dyDescent="0.25">
      <c r="A468">
        <v>457</v>
      </c>
      <c r="B468" s="1">
        <v>45657</v>
      </c>
      <c r="C468">
        <v>31</v>
      </c>
      <c r="D468" t="str">
        <f>"4605"</f>
        <v>4605</v>
      </c>
      <c r="E468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468" t="str">
        <f>""</f>
        <v/>
      </c>
      <c r="G468" t="str">
        <f>""</f>
        <v/>
      </c>
      <c r="H468" t="str">
        <f>""</f>
        <v/>
      </c>
      <c r="I468" s="2">
        <v>3218.24</v>
      </c>
    </row>
    <row r="469" spans="1:9" x14ac:dyDescent="0.25">
      <c r="A469">
        <v>458</v>
      </c>
      <c r="B469" s="1">
        <v>45657</v>
      </c>
      <c r="C469">
        <v>31</v>
      </c>
      <c r="D469" t="str">
        <f>"4606"</f>
        <v>4606</v>
      </c>
      <c r="E469" t="str">
        <f>"Комиссионные доходы за услуги по операциям с гарантиями"</f>
        <v>Комиссионные доходы за услуги по операциям с гарантиями</v>
      </c>
      <c r="F469" t="str">
        <f>""</f>
        <v/>
      </c>
      <c r="G469" t="str">
        <f>""</f>
        <v/>
      </c>
      <c r="H469" t="str">
        <f>""</f>
        <v/>
      </c>
      <c r="I469" s="2">
        <v>863629927.19000006</v>
      </c>
    </row>
    <row r="470" spans="1:9" x14ac:dyDescent="0.25">
      <c r="A470">
        <v>459</v>
      </c>
      <c r="B470" s="1">
        <v>45657</v>
      </c>
      <c r="C470">
        <v>31</v>
      </c>
      <c r="D470" t="str">
        <f>"4607"</f>
        <v>4607</v>
      </c>
      <c r="E470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470" t="str">
        <f>""</f>
        <v/>
      </c>
      <c r="G470" t="str">
        <f>""</f>
        <v/>
      </c>
      <c r="H470" t="str">
        <f>""</f>
        <v/>
      </c>
      <c r="I470" s="2">
        <v>188209987.31</v>
      </c>
    </row>
    <row r="471" spans="1:9" x14ac:dyDescent="0.25">
      <c r="A471">
        <v>460</v>
      </c>
      <c r="B471" s="1">
        <v>45657</v>
      </c>
      <c r="C471">
        <v>31</v>
      </c>
      <c r="D471" t="str">
        <f>"4608"</f>
        <v>4608</v>
      </c>
      <c r="E471" t="str">
        <f>"Прочие комиссионные доходы"</f>
        <v>Прочие комиссионные доходы</v>
      </c>
      <c r="F471" t="str">
        <f>""</f>
        <v/>
      </c>
      <c r="G471" t="str">
        <f>""</f>
        <v/>
      </c>
      <c r="H471" t="str">
        <f>""</f>
        <v/>
      </c>
      <c r="I471" s="2">
        <v>1412910842.6700001</v>
      </c>
    </row>
    <row r="472" spans="1:9" x14ac:dyDescent="0.25">
      <c r="A472">
        <v>461</v>
      </c>
      <c r="B472" s="1">
        <v>45657</v>
      </c>
      <c r="C472">
        <v>31</v>
      </c>
      <c r="D472" t="str">
        <f>"4609"</f>
        <v>4609</v>
      </c>
      <c r="E472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472" t="str">
        <f>""</f>
        <v/>
      </c>
      <c r="G472" t="str">
        <f>""</f>
        <v/>
      </c>
      <c r="H472" t="str">
        <f>""</f>
        <v/>
      </c>
      <c r="I472" s="2">
        <v>480</v>
      </c>
    </row>
    <row r="473" spans="1:9" x14ac:dyDescent="0.25">
      <c r="A473">
        <v>462</v>
      </c>
      <c r="B473" s="1">
        <v>45657</v>
      </c>
      <c r="C473">
        <v>31</v>
      </c>
      <c r="D473" t="str">
        <f>"4611"</f>
        <v>4611</v>
      </c>
      <c r="E473" t="str">
        <f>"Комиссионные доходы за услуги по кассовым операциям"</f>
        <v>Комиссионные доходы за услуги по кассовым операциям</v>
      </c>
      <c r="F473" t="str">
        <f>""</f>
        <v/>
      </c>
      <c r="G473" t="str">
        <f>""</f>
        <v/>
      </c>
      <c r="H473" t="str">
        <f>""</f>
        <v/>
      </c>
      <c r="I473" s="2">
        <v>657398526.11000001</v>
      </c>
    </row>
    <row r="474" spans="1:9" x14ac:dyDescent="0.25">
      <c r="A474">
        <v>463</v>
      </c>
      <c r="B474" s="1">
        <v>45657</v>
      </c>
      <c r="C474">
        <v>31</v>
      </c>
      <c r="D474" t="str">
        <f>"4612"</f>
        <v>4612</v>
      </c>
      <c r="E474" t="str">
        <f>"Комиссионные доходы по документарным расчетам"</f>
        <v>Комиссионные доходы по документарным расчетам</v>
      </c>
      <c r="F474" t="str">
        <f>""</f>
        <v/>
      </c>
      <c r="G474" t="str">
        <f>""</f>
        <v/>
      </c>
      <c r="H474" t="str">
        <f>""</f>
        <v/>
      </c>
      <c r="I474" s="2">
        <v>51480680.390000001</v>
      </c>
    </row>
    <row r="475" spans="1:9" x14ac:dyDescent="0.25">
      <c r="A475">
        <v>464</v>
      </c>
      <c r="B475" s="1">
        <v>45657</v>
      </c>
      <c r="C475">
        <v>31</v>
      </c>
      <c r="D475" t="str">
        <f>"4615"</f>
        <v>4615</v>
      </c>
      <c r="E475" t="str">
        <f>"Комиссионные доходы за услуги по инкассации"</f>
        <v>Комиссионные доходы за услуги по инкассации</v>
      </c>
      <c r="F475" t="str">
        <f>""</f>
        <v/>
      </c>
      <c r="G475" t="str">
        <f>""</f>
        <v/>
      </c>
      <c r="H475" t="str">
        <f>""</f>
        <v/>
      </c>
      <c r="I475" s="2">
        <v>18599574.600000001</v>
      </c>
    </row>
    <row r="476" spans="1:9" x14ac:dyDescent="0.25">
      <c r="A476">
        <v>465</v>
      </c>
      <c r="B476" s="1">
        <v>45657</v>
      </c>
      <c r="C476">
        <v>31</v>
      </c>
      <c r="D476" t="str">
        <f>"4617"</f>
        <v>4617</v>
      </c>
      <c r="E476" t="str">
        <f>"Комиссионные доходы за услуги по сейфовым операциям"</f>
        <v>Комиссионные доходы за услуги по сейфовым операциям</v>
      </c>
      <c r="F476" t="str">
        <f>""</f>
        <v/>
      </c>
      <c r="G476" t="str">
        <f>""</f>
        <v/>
      </c>
      <c r="H476" t="str">
        <f>""</f>
        <v/>
      </c>
      <c r="I476" s="2">
        <v>18900070.359999999</v>
      </c>
    </row>
    <row r="477" spans="1:9" x14ac:dyDescent="0.25">
      <c r="A477">
        <v>466</v>
      </c>
      <c r="B477" s="1">
        <v>45657</v>
      </c>
      <c r="C477">
        <v>31</v>
      </c>
      <c r="D477" t="str">
        <f>"4619"</f>
        <v>4619</v>
      </c>
      <c r="E477" t="str">
        <f>"Комиссионные доходы за обслуживание платежных карточек"</f>
        <v>Комиссионные доходы за обслуживание платежных карточек</v>
      </c>
      <c r="F477" t="str">
        <f>""</f>
        <v/>
      </c>
      <c r="G477" t="str">
        <f>""</f>
        <v/>
      </c>
      <c r="H477" t="str">
        <f>""</f>
        <v/>
      </c>
      <c r="I477" s="2">
        <v>367562549.54000002</v>
      </c>
    </row>
    <row r="478" spans="1:9" x14ac:dyDescent="0.25">
      <c r="A478">
        <v>467</v>
      </c>
      <c r="B478" s="1">
        <v>45657</v>
      </c>
      <c r="C478">
        <v>31</v>
      </c>
      <c r="D478" t="str">
        <f>"4703"</f>
        <v>4703</v>
      </c>
      <c r="E478" t="str">
        <f>"Доход от переоценки иностранной валюты"</f>
        <v>Доход от переоценки иностранной валюты</v>
      </c>
      <c r="F478" t="str">
        <f>""</f>
        <v/>
      </c>
      <c r="G478" t="str">
        <f>""</f>
        <v/>
      </c>
      <c r="H478" t="str">
        <f>""</f>
        <v/>
      </c>
      <c r="I478" s="2">
        <v>19081743845.82</v>
      </c>
    </row>
    <row r="479" spans="1:9" x14ac:dyDescent="0.25">
      <c r="A479">
        <v>468</v>
      </c>
      <c r="B479" s="1">
        <v>45657</v>
      </c>
      <c r="C479">
        <v>31</v>
      </c>
      <c r="D479" t="str">
        <f>"4709"</f>
        <v>4709</v>
      </c>
      <c r="E479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479" t="str">
        <f>""</f>
        <v/>
      </c>
      <c r="G479" t="str">
        <f>""</f>
        <v/>
      </c>
      <c r="H479" t="str">
        <f>""</f>
        <v/>
      </c>
      <c r="I479" s="2">
        <v>4156706.59</v>
      </c>
    </row>
    <row r="480" spans="1:9" x14ac:dyDescent="0.25">
      <c r="A480">
        <v>469</v>
      </c>
      <c r="B480" s="1">
        <v>45657</v>
      </c>
      <c r="C480">
        <v>31</v>
      </c>
      <c r="D480" t="str">
        <f>"4734"</f>
        <v>4734</v>
      </c>
      <c r="E480" t="str">
        <f>"Доходы от прочей переоценки"</f>
        <v>Доходы от прочей переоценки</v>
      </c>
      <c r="F480" t="str">
        <f>""</f>
        <v/>
      </c>
      <c r="G480" t="str">
        <f>""</f>
        <v/>
      </c>
      <c r="H480" t="str">
        <f>""</f>
        <v/>
      </c>
      <c r="I480" s="2">
        <v>3227815489.4400001</v>
      </c>
    </row>
    <row r="481" spans="1:9" x14ac:dyDescent="0.25">
      <c r="A481">
        <v>470</v>
      </c>
      <c r="B481" s="1">
        <v>45657</v>
      </c>
      <c r="C481">
        <v>31</v>
      </c>
      <c r="D481" t="str">
        <f>"4852"</f>
        <v>4852</v>
      </c>
      <c r="E48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481" t="str">
        <f>""</f>
        <v/>
      </c>
      <c r="G481" t="str">
        <f>""</f>
        <v/>
      </c>
      <c r="H481" t="str">
        <f>""</f>
        <v/>
      </c>
      <c r="I481" s="2">
        <v>2232142.86</v>
      </c>
    </row>
    <row r="482" spans="1:9" x14ac:dyDescent="0.25">
      <c r="A482">
        <v>471</v>
      </c>
      <c r="B482" s="1">
        <v>45657</v>
      </c>
      <c r="C482">
        <v>31</v>
      </c>
      <c r="D482" t="str">
        <f>"4854"</f>
        <v>4854</v>
      </c>
      <c r="E482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482" t="str">
        <f>""</f>
        <v/>
      </c>
      <c r="G482" t="str">
        <f>""</f>
        <v/>
      </c>
      <c r="H482" t="str">
        <f>""</f>
        <v/>
      </c>
      <c r="I482" s="2">
        <v>670267857.15999997</v>
      </c>
    </row>
    <row r="483" spans="1:9" x14ac:dyDescent="0.25">
      <c r="A483">
        <v>472</v>
      </c>
      <c r="B483" s="1">
        <v>45657</v>
      </c>
      <c r="C483">
        <v>31</v>
      </c>
      <c r="D483" t="str">
        <f>"4892"</f>
        <v>4892</v>
      </c>
      <c r="E483" t="str">
        <f>"Доходы по операциям форвард"</f>
        <v>Доходы по операциям форвард</v>
      </c>
      <c r="F483" t="str">
        <f>""</f>
        <v/>
      </c>
      <c r="G483" t="str">
        <f>""</f>
        <v/>
      </c>
      <c r="H483" t="str">
        <f>""</f>
        <v/>
      </c>
      <c r="I483" s="2">
        <v>32115324</v>
      </c>
    </row>
    <row r="484" spans="1:9" x14ac:dyDescent="0.25">
      <c r="A484">
        <v>473</v>
      </c>
      <c r="B484" s="1">
        <v>45657</v>
      </c>
      <c r="C484">
        <v>31</v>
      </c>
      <c r="D484" t="str">
        <f>"4895"</f>
        <v>4895</v>
      </c>
      <c r="E484" t="str">
        <f>"Доходы по операциям своп"</f>
        <v>Доходы по операциям своп</v>
      </c>
      <c r="F484" t="str">
        <f>""</f>
        <v/>
      </c>
      <c r="G484" t="str">
        <f>""</f>
        <v/>
      </c>
      <c r="H484" t="str">
        <f>""</f>
        <v/>
      </c>
      <c r="I484" s="2">
        <v>6411967247.3299999</v>
      </c>
    </row>
    <row r="485" spans="1:9" x14ac:dyDescent="0.25">
      <c r="A485">
        <v>474</v>
      </c>
      <c r="B485" s="1">
        <v>45657</v>
      </c>
      <c r="C485">
        <v>31</v>
      </c>
      <c r="D485" t="str">
        <f>"4900"</f>
        <v>4900</v>
      </c>
      <c r="E485" t="str">
        <f>"Неустойка (штраф, пеня)"</f>
        <v>Неустойка (штраф, пеня)</v>
      </c>
      <c r="F485" t="str">
        <f>""</f>
        <v/>
      </c>
      <c r="G485" t="str">
        <f>""</f>
        <v/>
      </c>
      <c r="H485" t="str">
        <f>""</f>
        <v/>
      </c>
      <c r="I485" s="2">
        <v>423360545.37</v>
      </c>
    </row>
    <row r="486" spans="1:9" x14ac:dyDescent="0.25">
      <c r="A486">
        <v>475</v>
      </c>
      <c r="B486" s="1">
        <v>45657</v>
      </c>
      <c r="C486">
        <v>31</v>
      </c>
      <c r="D486" t="str">
        <f>"4921"</f>
        <v>4921</v>
      </c>
      <c r="E486" t="str">
        <f>"Прочие доходы от банковской деятельности"</f>
        <v>Прочие доходы от банковской деятельности</v>
      </c>
      <c r="F486" t="str">
        <f>""</f>
        <v/>
      </c>
      <c r="G486" t="str">
        <f>""</f>
        <v/>
      </c>
      <c r="H486" t="str">
        <f>""</f>
        <v/>
      </c>
      <c r="I486" s="2">
        <v>7831657155.4300003</v>
      </c>
    </row>
    <row r="487" spans="1:9" x14ac:dyDescent="0.25">
      <c r="A487">
        <v>476</v>
      </c>
      <c r="B487" s="1">
        <v>45657</v>
      </c>
      <c r="C487">
        <v>31</v>
      </c>
      <c r="D487" t="str">
        <f>"4922"</f>
        <v>4922</v>
      </c>
      <c r="E487" t="str">
        <f>"Прочие доходы от неосновной деятельности"</f>
        <v>Прочие доходы от неосновной деятельности</v>
      </c>
      <c r="F487" t="str">
        <f>""</f>
        <v/>
      </c>
      <c r="G487" t="str">
        <f>""</f>
        <v/>
      </c>
      <c r="H487" t="str">
        <f>""</f>
        <v/>
      </c>
      <c r="I487" s="2">
        <v>104680310.22</v>
      </c>
    </row>
    <row r="488" spans="1:9" x14ac:dyDescent="0.25">
      <c r="A488">
        <v>477</v>
      </c>
      <c r="B488" s="1">
        <v>45657</v>
      </c>
      <c r="C488">
        <v>31</v>
      </c>
      <c r="D488" t="str">
        <f>"4951"</f>
        <v>4951</v>
      </c>
      <c r="E488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488" t="str">
        <f>""</f>
        <v/>
      </c>
      <c r="G488" t="str">
        <f>""</f>
        <v/>
      </c>
      <c r="H488" t="str">
        <f>""</f>
        <v/>
      </c>
      <c r="I488" s="2">
        <v>6344235.8799999999</v>
      </c>
    </row>
    <row r="489" spans="1:9" x14ac:dyDescent="0.25">
      <c r="A489">
        <v>478</v>
      </c>
      <c r="B489" s="1">
        <v>45657</v>
      </c>
      <c r="C489">
        <v>31</v>
      </c>
      <c r="D489" t="str">
        <f>"4953"</f>
        <v>4953</v>
      </c>
      <c r="E489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489" t="str">
        <f>""</f>
        <v/>
      </c>
      <c r="G489" t="str">
        <f>""</f>
        <v/>
      </c>
      <c r="H489" t="str">
        <f>""</f>
        <v/>
      </c>
      <c r="I489" s="2">
        <v>786725172.37</v>
      </c>
    </row>
    <row r="490" spans="1:9" x14ac:dyDescent="0.25">
      <c r="A490">
        <v>479</v>
      </c>
      <c r="B490" s="1">
        <v>45657</v>
      </c>
      <c r="C490">
        <v>31</v>
      </c>
      <c r="D490" t="str">
        <f>"4954"</f>
        <v>4954</v>
      </c>
      <c r="E490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490" t="str">
        <f>""</f>
        <v/>
      </c>
      <c r="G490" t="str">
        <f>""</f>
        <v/>
      </c>
      <c r="H490" t="str">
        <f>""</f>
        <v/>
      </c>
      <c r="I490" s="2">
        <v>444619845.13999999</v>
      </c>
    </row>
    <row r="491" spans="1:9" x14ac:dyDescent="0.25">
      <c r="A491">
        <v>480</v>
      </c>
      <c r="B491" s="1">
        <v>45657</v>
      </c>
      <c r="C491">
        <v>31</v>
      </c>
      <c r="D491" t="str">
        <f>"4955"</f>
        <v>4955</v>
      </c>
      <c r="E49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491" t="str">
        <f>""</f>
        <v/>
      </c>
      <c r="G491" t="str">
        <f>""</f>
        <v/>
      </c>
      <c r="H491" t="str">
        <f>""</f>
        <v/>
      </c>
      <c r="I491" s="2">
        <v>30691979490.27</v>
      </c>
    </row>
    <row r="492" spans="1:9" x14ac:dyDescent="0.25">
      <c r="A492">
        <v>481</v>
      </c>
      <c r="B492" s="1">
        <v>45657</v>
      </c>
      <c r="C492">
        <v>31</v>
      </c>
      <c r="D492" t="str">
        <f>"4956"</f>
        <v>4956</v>
      </c>
      <c r="E492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492" t="str">
        <f>""</f>
        <v/>
      </c>
      <c r="G492" t="str">
        <f>""</f>
        <v/>
      </c>
      <c r="H492" t="str">
        <f>""</f>
        <v/>
      </c>
      <c r="I492" s="2">
        <v>13544688.41</v>
      </c>
    </row>
    <row r="493" spans="1:9" x14ac:dyDescent="0.25">
      <c r="A493">
        <v>482</v>
      </c>
      <c r="B493" s="1">
        <v>45657</v>
      </c>
      <c r="C493">
        <v>31</v>
      </c>
      <c r="D493" t="str">
        <f>"4957"</f>
        <v>4957</v>
      </c>
      <c r="E493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493" t="str">
        <f>""</f>
        <v/>
      </c>
      <c r="G493" t="str">
        <f>""</f>
        <v/>
      </c>
      <c r="H493" t="str">
        <f>""</f>
        <v/>
      </c>
      <c r="I493" s="2">
        <v>17467666.239999998</v>
      </c>
    </row>
    <row r="494" spans="1:9" x14ac:dyDescent="0.25">
      <c r="A494">
        <v>483</v>
      </c>
      <c r="B494" s="1">
        <v>45657</v>
      </c>
      <c r="C494">
        <v>31</v>
      </c>
      <c r="D494" t="str">
        <f>"4958"</f>
        <v>4958</v>
      </c>
      <c r="E49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494" t="str">
        <f>""</f>
        <v/>
      </c>
      <c r="G494" t="str">
        <f>""</f>
        <v/>
      </c>
      <c r="H494" t="str">
        <f>""</f>
        <v/>
      </c>
      <c r="I494" s="2">
        <v>6885000722.9200001</v>
      </c>
    </row>
    <row r="495" spans="1:9" x14ac:dyDescent="0.25">
      <c r="A495">
        <v>484</v>
      </c>
      <c r="B495" s="1">
        <v>45657</v>
      </c>
      <c r="C495">
        <v>31</v>
      </c>
      <c r="D495" t="str">
        <f>"4959"</f>
        <v>4959</v>
      </c>
      <c r="E495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495" t="str">
        <f>""</f>
        <v/>
      </c>
      <c r="G495" t="str">
        <f>""</f>
        <v/>
      </c>
      <c r="H495" t="str">
        <f>""</f>
        <v/>
      </c>
      <c r="I495" s="2">
        <v>23589428.359999999</v>
      </c>
    </row>
    <row r="496" spans="1:9" x14ac:dyDescent="0.25">
      <c r="A496">
        <v>485</v>
      </c>
      <c r="B496" s="1">
        <v>45657</v>
      </c>
      <c r="C496">
        <v>31</v>
      </c>
      <c r="D496" t="str">
        <f>"4960"</f>
        <v>4960</v>
      </c>
      <c r="E496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496" t="str">
        <f>""</f>
        <v/>
      </c>
      <c r="G496" t="str">
        <f>""</f>
        <v/>
      </c>
      <c r="H496" t="str">
        <f>""</f>
        <v/>
      </c>
      <c r="I496" s="2">
        <v>812524.18</v>
      </c>
    </row>
    <row r="497" spans="1:9" x14ac:dyDescent="0.25">
      <c r="A497">
        <v>486</v>
      </c>
      <c r="B497" s="1">
        <v>45657</v>
      </c>
      <c r="C497">
        <v>31</v>
      </c>
      <c r="D497" t="str">
        <f>"4961"</f>
        <v>4961</v>
      </c>
      <c r="E497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497" t="str">
        <f>""</f>
        <v/>
      </c>
      <c r="G497" t="str">
        <f>""</f>
        <v/>
      </c>
      <c r="H497" t="str">
        <f>""</f>
        <v/>
      </c>
      <c r="I497" s="2">
        <v>1211700</v>
      </c>
    </row>
    <row r="498" spans="1:9" x14ac:dyDescent="0.25">
      <c r="A498">
        <v>487</v>
      </c>
      <c r="B498" s="1">
        <v>45657</v>
      </c>
      <c r="C498">
        <v>31</v>
      </c>
      <c r="D498" t="str">
        <f>"4999"</f>
        <v>4999</v>
      </c>
      <c r="E498" t="str">
        <f>"Доход до налогов"</f>
        <v>Доход до налогов</v>
      </c>
      <c r="F498" t="str">
        <f>""</f>
        <v/>
      </c>
      <c r="G498" t="str">
        <f>""</f>
        <v/>
      </c>
      <c r="H498" t="str">
        <f>""</f>
        <v/>
      </c>
      <c r="I498" s="2">
        <v>224264647.28</v>
      </c>
    </row>
    <row r="499" spans="1:9" x14ac:dyDescent="0.25">
      <c r="A499">
        <v>488</v>
      </c>
      <c r="B499" s="1">
        <v>45657</v>
      </c>
      <c r="C499">
        <v>31</v>
      </c>
      <c r="D499" t="str">
        <f>"5036"</f>
        <v>5036</v>
      </c>
      <c r="E499" t="s">
        <v>9</v>
      </c>
      <c r="F499" t="str">
        <f>""</f>
        <v/>
      </c>
      <c r="G499" t="str">
        <f>""</f>
        <v/>
      </c>
      <c r="H499" t="str">
        <f>""</f>
        <v/>
      </c>
      <c r="I499" s="2">
        <v>20718901.309999999</v>
      </c>
    </row>
    <row r="500" spans="1:9" x14ac:dyDescent="0.25">
      <c r="A500">
        <v>489</v>
      </c>
      <c r="B500" s="1">
        <v>45657</v>
      </c>
      <c r="C500">
        <v>31</v>
      </c>
      <c r="D500" t="str">
        <f>"5056"</f>
        <v>5056</v>
      </c>
      <c r="E500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500" t="str">
        <f>""</f>
        <v/>
      </c>
      <c r="G500" t="str">
        <f>""</f>
        <v/>
      </c>
      <c r="H500" t="str">
        <f>""</f>
        <v/>
      </c>
      <c r="I500" s="2">
        <v>77076809.030000001</v>
      </c>
    </row>
    <row r="501" spans="1:9" x14ac:dyDescent="0.25">
      <c r="A501">
        <v>490</v>
      </c>
      <c r="B501" s="1">
        <v>45657</v>
      </c>
      <c r="C501">
        <v>31</v>
      </c>
      <c r="D501" t="str">
        <f>"5066"</f>
        <v>5066</v>
      </c>
      <c r="E501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501" t="str">
        <f>""</f>
        <v/>
      </c>
      <c r="G501" t="str">
        <f>""</f>
        <v/>
      </c>
      <c r="H501" t="str">
        <f>""</f>
        <v/>
      </c>
      <c r="I501" s="2">
        <v>20575451.75</v>
      </c>
    </row>
    <row r="502" spans="1:9" x14ac:dyDescent="0.25">
      <c r="A502">
        <v>491</v>
      </c>
      <c r="B502" s="1">
        <v>45657</v>
      </c>
      <c r="C502">
        <v>31</v>
      </c>
      <c r="D502" t="str">
        <f>"5126"</f>
        <v>5126</v>
      </c>
      <c r="E502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502" t="str">
        <f>""</f>
        <v/>
      </c>
      <c r="G502" t="str">
        <f>""</f>
        <v/>
      </c>
      <c r="H502" t="str">
        <f>""</f>
        <v/>
      </c>
      <c r="I502" s="2">
        <v>36111.11</v>
      </c>
    </row>
    <row r="503" spans="1:9" x14ac:dyDescent="0.25">
      <c r="A503">
        <v>492</v>
      </c>
      <c r="B503" s="1">
        <v>45657</v>
      </c>
      <c r="C503">
        <v>31</v>
      </c>
      <c r="D503" t="str">
        <f>"5215"</f>
        <v>5215</v>
      </c>
      <c r="E503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503" t="str">
        <f>""</f>
        <v/>
      </c>
      <c r="G503" t="str">
        <f>""</f>
        <v/>
      </c>
      <c r="H503" t="str">
        <f>""</f>
        <v/>
      </c>
      <c r="I503" s="2">
        <v>19576047600.419998</v>
      </c>
    </row>
    <row r="504" spans="1:9" x14ac:dyDescent="0.25">
      <c r="A504">
        <v>493</v>
      </c>
      <c r="B504" s="1">
        <v>45657</v>
      </c>
      <c r="C504">
        <v>31</v>
      </c>
      <c r="D504" t="str">
        <f>"5217"</f>
        <v>5217</v>
      </c>
      <c r="E504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504" t="str">
        <f>""</f>
        <v/>
      </c>
      <c r="G504" t="str">
        <f>""</f>
        <v/>
      </c>
      <c r="H504" t="str">
        <f>""</f>
        <v/>
      </c>
      <c r="I504" s="2">
        <v>467765356.33999997</v>
      </c>
    </row>
    <row r="505" spans="1:9" x14ac:dyDescent="0.25">
      <c r="A505">
        <v>494</v>
      </c>
      <c r="B505" s="1">
        <v>45657</v>
      </c>
      <c r="C505">
        <v>31</v>
      </c>
      <c r="D505" t="str">
        <f>"5218"</f>
        <v>5218</v>
      </c>
      <c r="E505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505" t="str">
        <f>""</f>
        <v/>
      </c>
      <c r="G505" t="str">
        <f>""</f>
        <v/>
      </c>
      <c r="H505" t="str">
        <f>""</f>
        <v/>
      </c>
      <c r="I505" s="2">
        <v>6546708811.0200005</v>
      </c>
    </row>
    <row r="506" spans="1:9" x14ac:dyDescent="0.25">
      <c r="A506">
        <v>495</v>
      </c>
      <c r="B506" s="1">
        <v>45657</v>
      </c>
      <c r="C506">
        <v>31</v>
      </c>
      <c r="D506" t="str">
        <f>"5219"</f>
        <v>5219</v>
      </c>
      <c r="E506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506" t="str">
        <f>""</f>
        <v/>
      </c>
      <c r="G506" t="str">
        <f>""</f>
        <v/>
      </c>
      <c r="H506" t="str">
        <f>""</f>
        <v/>
      </c>
      <c r="I506" s="2">
        <v>189630187.08000001</v>
      </c>
    </row>
    <row r="507" spans="1:9" x14ac:dyDescent="0.25">
      <c r="A507">
        <v>496</v>
      </c>
      <c r="B507" s="1">
        <v>45657</v>
      </c>
      <c r="C507">
        <v>31</v>
      </c>
      <c r="D507" t="str">
        <f>"5220"</f>
        <v>5220</v>
      </c>
      <c r="E507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507" t="str">
        <f>""</f>
        <v/>
      </c>
      <c r="G507" t="str">
        <f>""</f>
        <v/>
      </c>
      <c r="H507" t="str">
        <f>""</f>
        <v/>
      </c>
      <c r="I507" s="2">
        <v>80667189.299999997</v>
      </c>
    </row>
    <row r="508" spans="1:9" x14ac:dyDescent="0.25">
      <c r="A508">
        <v>497</v>
      </c>
      <c r="B508" s="1">
        <v>45657</v>
      </c>
      <c r="C508">
        <v>31</v>
      </c>
      <c r="D508" t="str">
        <f>"5223"</f>
        <v>5223</v>
      </c>
      <c r="E508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508" t="str">
        <f>""</f>
        <v/>
      </c>
      <c r="G508" t="str">
        <f>""</f>
        <v/>
      </c>
      <c r="H508" t="str">
        <f>""</f>
        <v/>
      </c>
      <c r="I508" s="2">
        <v>2731789329.6399999</v>
      </c>
    </row>
    <row r="509" spans="1:9" x14ac:dyDescent="0.25">
      <c r="A509">
        <v>498</v>
      </c>
      <c r="B509" s="1">
        <v>45657</v>
      </c>
      <c r="C509">
        <v>31</v>
      </c>
      <c r="D509" t="str">
        <f>"5227"</f>
        <v>5227</v>
      </c>
      <c r="E509" t="str">
        <f>"Процентные расходы по обязательствам по аренде"</f>
        <v>Процентные расходы по обязательствам по аренде</v>
      </c>
      <c r="F509" t="str">
        <f>""</f>
        <v/>
      </c>
      <c r="G509" t="str">
        <f>""</f>
        <v/>
      </c>
      <c r="H509" t="str">
        <f>""</f>
        <v/>
      </c>
      <c r="I509" s="2">
        <v>180364017.78999999</v>
      </c>
    </row>
    <row r="510" spans="1:9" x14ac:dyDescent="0.25">
      <c r="A510">
        <v>499</v>
      </c>
      <c r="B510" s="1">
        <v>45657</v>
      </c>
      <c r="C510">
        <v>31</v>
      </c>
      <c r="D510" t="str">
        <f>"5229"</f>
        <v>5229</v>
      </c>
      <c r="E510" t="str">
        <f>"Расходы, связанные с выплатой вознаграждения на сумму денег, принятых в качестве обеспечения (заклад, задаток) обязательств клиентов"</f>
        <v>Расходы, связанные с выплатой вознаграждения на сумму денег, принятых в качестве обеспечения (заклад, задаток) обязательств клиентов</v>
      </c>
      <c r="F510" t="str">
        <f>""</f>
        <v/>
      </c>
      <c r="G510" t="str">
        <f>""</f>
        <v/>
      </c>
      <c r="H510" t="str">
        <f>""</f>
        <v/>
      </c>
      <c r="I510" s="2">
        <v>24375000</v>
      </c>
    </row>
    <row r="511" spans="1:9" x14ac:dyDescent="0.25">
      <c r="A511">
        <v>500</v>
      </c>
      <c r="B511" s="1">
        <v>45657</v>
      </c>
      <c r="C511">
        <v>31</v>
      </c>
      <c r="D511" t="str">
        <f>"5240"</f>
        <v>5240</v>
      </c>
      <c r="E511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511" t="str">
        <f>""</f>
        <v/>
      </c>
      <c r="G511" t="str">
        <f>""</f>
        <v/>
      </c>
      <c r="H511" t="str">
        <f>""</f>
        <v/>
      </c>
      <c r="I511" s="2">
        <v>2916135.63</v>
      </c>
    </row>
    <row r="512" spans="1:9" x14ac:dyDescent="0.25">
      <c r="A512">
        <v>501</v>
      </c>
      <c r="B512" s="1">
        <v>45657</v>
      </c>
      <c r="C512">
        <v>31</v>
      </c>
      <c r="D512" t="str">
        <f>"5250"</f>
        <v>5250</v>
      </c>
      <c r="E512" t="s">
        <v>10</v>
      </c>
      <c r="F512" t="str">
        <f>""</f>
        <v/>
      </c>
      <c r="G512" t="str">
        <f>""</f>
        <v/>
      </c>
      <c r="H512" t="str">
        <f>""</f>
        <v/>
      </c>
      <c r="I512" s="2">
        <v>33901554.270000003</v>
      </c>
    </row>
    <row r="513" spans="1:9" x14ac:dyDescent="0.25">
      <c r="A513">
        <v>502</v>
      </c>
      <c r="B513" s="1">
        <v>45657</v>
      </c>
      <c r="C513">
        <v>31</v>
      </c>
      <c r="D513" t="str">
        <f>"5301"</f>
        <v>5301</v>
      </c>
      <c r="E513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513" t="str">
        <f>""</f>
        <v/>
      </c>
      <c r="G513" t="str">
        <f>""</f>
        <v/>
      </c>
      <c r="H513" t="str">
        <f>""</f>
        <v/>
      </c>
      <c r="I513" s="2">
        <v>1095000000</v>
      </c>
    </row>
    <row r="514" spans="1:9" x14ac:dyDescent="0.25">
      <c r="A514">
        <v>503</v>
      </c>
      <c r="B514" s="1">
        <v>45657</v>
      </c>
      <c r="C514">
        <v>31</v>
      </c>
      <c r="D514" t="str">
        <f>"5306"</f>
        <v>5306</v>
      </c>
      <c r="E514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514" t="str">
        <f>""</f>
        <v/>
      </c>
      <c r="G514" t="str">
        <f>""</f>
        <v/>
      </c>
      <c r="H514" t="str">
        <f>""</f>
        <v/>
      </c>
      <c r="I514" s="2">
        <v>191929420.91999999</v>
      </c>
    </row>
    <row r="515" spans="1:9" x14ac:dyDescent="0.25">
      <c r="A515">
        <v>504</v>
      </c>
      <c r="B515" s="1">
        <v>45657</v>
      </c>
      <c r="C515">
        <v>31</v>
      </c>
      <c r="D515" t="str">
        <f>"5308"</f>
        <v>5308</v>
      </c>
      <c r="E515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515" t="str">
        <f>""</f>
        <v/>
      </c>
      <c r="G515" t="str">
        <f>""</f>
        <v/>
      </c>
      <c r="H515" t="str">
        <f>""</f>
        <v/>
      </c>
      <c r="I515" s="2">
        <v>269765562.69</v>
      </c>
    </row>
    <row r="516" spans="1:9" x14ac:dyDescent="0.25">
      <c r="A516">
        <v>505</v>
      </c>
      <c r="B516" s="1">
        <v>45657</v>
      </c>
      <c r="C516">
        <v>31</v>
      </c>
      <c r="D516" t="str">
        <f>"5404"</f>
        <v>5404</v>
      </c>
      <c r="E516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516" t="str">
        <f>""</f>
        <v/>
      </c>
      <c r="G516" t="str">
        <f>""</f>
        <v/>
      </c>
      <c r="H516" t="str">
        <f>""</f>
        <v/>
      </c>
      <c r="I516" s="2">
        <v>1029130342.35</v>
      </c>
    </row>
    <row r="517" spans="1:9" x14ac:dyDescent="0.25">
      <c r="A517">
        <v>506</v>
      </c>
      <c r="B517" s="1">
        <v>45657</v>
      </c>
      <c r="C517">
        <v>31</v>
      </c>
      <c r="D517" t="str">
        <f>"5406"</f>
        <v>5406</v>
      </c>
      <c r="E517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517" t="str">
        <f>""</f>
        <v/>
      </c>
      <c r="G517" t="str">
        <f>""</f>
        <v/>
      </c>
      <c r="H517" t="str">
        <f>""</f>
        <v/>
      </c>
      <c r="I517" s="2">
        <v>2211896809.8800001</v>
      </c>
    </row>
    <row r="518" spans="1:9" x14ac:dyDescent="0.25">
      <c r="A518">
        <v>507</v>
      </c>
      <c r="B518" s="1">
        <v>45657</v>
      </c>
      <c r="C518">
        <v>31</v>
      </c>
      <c r="D518" t="str">
        <f>"5451"</f>
        <v>5451</v>
      </c>
      <c r="E518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518" t="str">
        <f>""</f>
        <v/>
      </c>
      <c r="G518" t="str">
        <f>""</f>
        <v/>
      </c>
      <c r="H518" t="str">
        <f>""</f>
        <v/>
      </c>
      <c r="I518" s="2">
        <v>6519635.1500000004</v>
      </c>
    </row>
    <row r="519" spans="1:9" x14ac:dyDescent="0.25">
      <c r="A519">
        <v>508</v>
      </c>
      <c r="B519" s="1">
        <v>45657</v>
      </c>
      <c r="C519">
        <v>31</v>
      </c>
      <c r="D519" t="str">
        <f>"5452"</f>
        <v>5452</v>
      </c>
      <c r="E519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519" t="str">
        <f>""</f>
        <v/>
      </c>
      <c r="G519" t="str">
        <f>""</f>
        <v/>
      </c>
      <c r="H519" t="str">
        <f>""</f>
        <v/>
      </c>
      <c r="I519" s="2">
        <v>177794405.71000001</v>
      </c>
    </row>
    <row r="520" spans="1:9" x14ac:dyDescent="0.25">
      <c r="A520">
        <v>509</v>
      </c>
      <c r="B520" s="1">
        <v>45657</v>
      </c>
      <c r="C520">
        <v>31</v>
      </c>
      <c r="D520" t="str">
        <f>"5453"</f>
        <v>5453</v>
      </c>
      <c r="E520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520" t="str">
        <f>""</f>
        <v/>
      </c>
      <c r="G520" t="str">
        <f>""</f>
        <v/>
      </c>
      <c r="H520" t="str">
        <f>""</f>
        <v/>
      </c>
      <c r="I520" s="2">
        <v>6826729940.2600002</v>
      </c>
    </row>
    <row r="521" spans="1:9" x14ac:dyDescent="0.25">
      <c r="A521">
        <v>510</v>
      </c>
      <c r="B521" s="1">
        <v>45657</v>
      </c>
      <c r="C521">
        <v>31</v>
      </c>
      <c r="D521" t="str">
        <f>"5455"</f>
        <v>5455</v>
      </c>
      <c r="E52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521" t="str">
        <f>""</f>
        <v/>
      </c>
      <c r="G521" t="str">
        <f>""</f>
        <v/>
      </c>
      <c r="H521" t="str">
        <f>""</f>
        <v/>
      </c>
      <c r="I521" s="2">
        <v>34030309260.419998</v>
      </c>
    </row>
    <row r="522" spans="1:9" x14ac:dyDescent="0.25">
      <c r="A522">
        <v>511</v>
      </c>
      <c r="B522" s="1">
        <v>45657</v>
      </c>
      <c r="C522">
        <v>31</v>
      </c>
      <c r="D522" t="str">
        <f>"5456"</f>
        <v>5456</v>
      </c>
      <c r="E522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522" t="str">
        <f>""</f>
        <v/>
      </c>
      <c r="G522" t="str">
        <f>""</f>
        <v/>
      </c>
      <c r="H522" t="str">
        <f>""</f>
        <v/>
      </c>
      <c r="I522" s="2">
        <v>16178106.779999999</v>
      </c>
    </row>
    <row r="523" spans="1:9" x14ac:dyDescent="0.25">
      <c r="A523">
        <v>512</v>
      </c>
      <c r="B523" s="1">
        <v>45657</v>
      </c>
      <c r="C523">
        <v>31</v>
      </c>
      <c r="D523" t="str">
        <f>"5457"</f>
        <v>5457</v>
      </c>
      <c r="E523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523" t="str">
        <f>""</f>
        <v/>
      </c>
      <c r="G523" t="str">
        <f>""</f>
        <v/>
      </c>
      <c r="H523" t="str">
        <f>""</f>
        <v/>
      </c>
      <c r="I523" s="2">
        <v>26199192.170000002</v>
      </c>
    </row>
    <row r="524" spans="1:9" x14ac:dyDescent="0.25">
      <c r="A524">
        <v>513</v>
      </c>
      <c r="B524" s="1">
        <v>45657</v>
      </c>
      <c r="C524">
        <v>31</v>
      </c>
      <c r="D524" t="str">
        <f>"5458"</f>
        <v>5458</v>
      </c>
      <c r="E524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524" t="str">
        <f>""</f>
        <v/>
      </c>
      <c r="G524" t="str">
        <f>""</f>
        <v/>
      </c>
      <c r="H524" t="str">
        <f>""</f>
        <v/>
      </c>
      <c r="I524" s="2">
        <v>848190</v>
      </c>
    </row>
    <row r="525" spans="1:9" x14ac:dyDescent="0.25">
      <c r="A525">
        <v>514</v>
      </c>
      <c r="B525" s="1">
        <v>45657</v>
      </c>
      <c r="C525">
        <v>31</v>
      </c>
      <c r="D525" t="str">
        <f>"5459"</f>
        <v>5459</v>
      </c>
      <c r="E525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525" t="str">
        <f>""</f>
        <v/>
      </c>
      <c r="G525" t="str">
        <f>""</f>
        <v/>
      </c>
      <c r="H525" t="str">
        <f>""</f>
        <v/>
      </c>
      <c r="I525" s="2">
        <v>93320488.799999997</v>
      </c>
    </row>
    <row r="526" spans="1:9" x14ac:dyDescent="0.25">
      <c r="A526">
        <v>515</v>
      </c>
      <c r="B526" s="1">
        <v>45657</v>
      </c>
      <c r="C526">
        <v>31</v>
      </c>
      <c r="D526" t="str">
        <f>"5464"</f>
        <v>5464</v>
      </c>
      <c r="E526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526" t="str">
        <f>""</f>
        <v/>
      </c>
      <c r="G526" t="str">
        <f>""</f>
        <v/>
      </c>
      <c r="H526" t="str">
        <f>""</f>
        <v/>
      </c>
      <c r="I526" s="2">
        <v>279886728.97000003</v>
      </c>
    </row>
    <row r="527" spans="1:9" x14ac:dyDescent="0.25">
      <c r="A527">
        <v>516</v>
      </c>
      <c r="B527" s="1">
        <v>45657</v>
      </c>
      <c r="C527">
        <v>31</v>
      </c>
      <c r="D527" t="str">
        <f>"5465"</f>
        <v>5465</v>
      </c>
      <c r="E52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527" t="str">
        <f>""</f>
        <v/>
      </c>
      <c r="G527" t="str">
        <f>""</f>
        <v/>
      </c>
      <c r="H527" t="str">
        <f>""</f>
        <v/>
      </c>
      <c r="I527" s="2">
        <v>2828116998.5500002</v>
      </c>
    </row>
    <row r="528" spans="1:9" x14ac:dyDescent="0.25">
      <c r="A528">
        <v>517</v>
      </c>
      <c r="B528" s="1">
        <v>45657</v>
      </c>
      <c r="C528">
        <v>31</v>
      </c>
      <c r="D528" t="str">
        <f>"5469"</f>
        <v>5469</v>
      </c>
      <c r="E528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528" t="str">
        <f>""</f>
        <v/>
      </c>
      <c r="G528" t="str">
        <f>""</f>
        <v/>
      </c>
      <c r="H528" t="str">
        <f>""</f>
        <v/>
      </c>
      <c r="I528" s="2">
        <v>726763.07</v>
      </c>
    </row>
    <row r="529" spans="1:9" x14ac:dyDescent="0.25">
      <c r="A529">
        <v>518</v>
      </c>
      <c r="B529" s="1">
        <v>45657</v>
      </c>
      <c r="C529">
        <v>31</v>
      </c>
      <c r="D529" t="str">
        <f>"5530"</f>
        <v>5530</v>
      </c>
      <c r="E529" t="str">
        <f>"Расходы по купле-продаже иностранной валюты"</f>
        <v>Расходы по купле-продаже иностранной валюты</v>
      </c>
      <c r="F529" t="str">
        <f>""</f>
        <v/>
      </c>
      <c r="G529" t="str">
        <f>""</f>
        <v/>
      </c>
      <c r="H529" t="str">
        <f>""</f>
        <v/>
      </c>
      <c r="I529" s="2">
        <v>2892992434.2600002</v>
      </c>
    </row>
    <row r="530" spans="1:9" x14ac:dyDescent="0.25">
      <c r="A530">
        <v>519</v>
      </c>
      <c r="B530" s="1">
        <v>45657</v>
      </c>
      <c r="C530">
        <v>31</v>
      </c>
      <c r="D530" t="str">
        <f>"5570"</f>
        <v>5570</v>
      </c>
      <c r="E530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530" t="str">
        <f>""</f>
        <v/>
      </c>
      <c r="G530" t="str">
        <f>""</f>
        <v/>
      </c>
      <c r="H530" t="str">
        <f>""</f>
        <v/>
      </c>
      <c r="I530" s="2">
        <v>30378041.289999999</v>
      </c>
    </row>
    <row r="531" spans="1:9" x14ac:dyDescent="0.25">
      <c r="A531">
        <v>520</v>
      </c>
      <c r="B531" s="1">
        <v>45657</v>
      </c>
      <c r="C531">
        <v>31</v>
      </c>
      <c r="D531" t="str">
        <f>"5601"</f>
        <v>5601</v>
      </c>
      <c r="E53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531" t="str">
        <f>""</f>
        <v/>
      </c>
      <c r="G531" t="str">
        <f>""</f>
        <v/>
      </c>
      <c r="H531" t="str">
        <f>""</f>
        <v/>
      </c>
      <c r="I531" s="2">
        <v>467231492.26999998</v>
      </c>
    </row>
    <row r="532" spans="1:9" x14ac:dyDescent="0.25">
      <c r="A532">
        <v>521</v>
      </c>
      <c r="B532" s="1">
        <v>45657</v>
      </c>
      <c r="C532">
        <v>31</v>
      </c>
      <c r="D532" t="str">
        <f>"5602"</f>
        <v>5602</v>
      </c>
      <c r="E532" t="str">
        <f>"Комиссионные расходы по полученным агентским услугам"</f>
        <v>Комиссионные расходы по полученным агентским услугам</v>
      </c>
      <c r="F532" t="str">
        <f>""</f>
        <v/>
      </c>
      <c r="G532" t="str">
        <f>""</f>
        <v/>
      </c>
      <c r="H532" t="str">
        <f>""</f>
        <v/>
      </c>
      <c r="I532" s="2">
        <v>32287186.059999999</v>
      </c>
    </row>
    <row r="533" spans="1:9" x14ac:dyDescent="0.25">
      <c r="A533">
        <v>522</v>
      </c>
      <c r="B533" s="1">
        <v>45657</v>
      </c>
      <c r="C533">
        <v>31</v>
      </c>
      <c r="D533" t="str">
        <f>"5604"</f>
        <v>5604</v>
      </c>
      <c r="E533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533" t="str">
        <f>""</f>
        <v/>
      </c>
      <c r="G533" t="str">
        <f>""</f>
        <v/>
      </c>
      <c r="H533" t="str">
        <f>""</f>
        <v/>
      </c>
      <c r="I533" s="2">
        <v>18259.38</v>
      </c>
    </row>
    <row r="534" spans="1:9" x14ac:dyDescent="0.25">
      <c r="A534">
        <v>523</v>
      </c>
      <c r="B534" s="1">
        <v>45657</v>
      </c>
      <c r="C534">
        <v>31</v>
      </c>
      <c r="D534" t="str">
        <f>"5608"</f>
        <v>5608</v>
      </c>
      <c r="E534" t="str">
        <f>"Прочие комиссионные расходы"</f>
        <v>Прочие комиссионные расходы</v>
      </c>
      <c r="F534" t="str">
        <f>""</f>
        <v/>
      </c>
      <c r="G534" t="str">
        <f>""</f>
        <v/>
      </c>
      <c r="H534" t="str">
        <f>""</f>
        <v/>
      </c>
      <c r="I534" s="2">
        <v>756652513.24000001</v>
      </c>
    </row>
    <row r="535" spans="1:9" x14ac:dyDescent="0.25">
      <c r="A535">
        <v>524</v>
      </c>
      <c r="B535" s="1">
        <v>45657</v>
      </c>
      <c r="C535">
        <v>31</v>
      </c>
      <c r="D535" t="str">
        <f>"5609"</f>
        <v>5609</v>
      </c>
      <c r="E535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535" t="str">
        <f>""</f>
        <v/>
      </c>
      <c r="G535" t="str">
        <f>""</f>
        <v/>
      </c>
      <c r="H535" t="str">
        <f>""</f>
        <v/>
      </c>
      <c r="I535" s="2">
        <v>4138087.49</v>
      </c>
    </row>
    <row r="536" spans="1:9" x14ac:dyDescent="0.25">
      <c r="A536">
        <v>525</v>
      </c>
      <c r="B536" s="1">
        <v>45657</v>
      </c>
      <c r="C536">
        <v>31</v>
      </c>
      <c r="D536" t="str">
        <f>"5610"</f>
        <v>5610</v>
      </c>
      <c r="E536" t="str">
        <f>"Комиссионные расходы по документарным расчетам"</f>
        <v>Комиссионные расходы по документарным расчетам</v>
      </c>
      <c r="F536" t="str">
        <f>""</f>
        <v/>
      </c>
      <c r="G536" t="str">
        <f>""</f>
        <v/>
      </c>
      <c r="H536" t="str">
        <f>""</f>
        <v/>
      </c>
      <c r="I536" s="2">
        <v>28042650.629999999</v>
      </c>
    </row>
    <row r="537" spans="1:9" x14ac:dyDescent="0.25">
      <c r="A537">
        <v>526</v>
      </c>
      <c r="B537" s="1">
        <v>45657</v>
      </c>
      <c r="C537">
        <v>31</v>
      </c>
      <c r="D537" t="str">
        <f>"5703"</f>
        <v>5703</v>
      </c>
      <c r="E537" t="str">
        <f>"Расходы от переоценки иностранной валюты"</f>
        <v>Расходы от переоценки иностранной валюты</v>
      </c>
      <c r="F537" t="str">
        <f>""</f>
        <v/>
      </c>
      <c r="G537" t="str">
        <f>""</f>
        <v/>
      </c>
      <c r="H537" t="str">
        <f>""</f>
        <v/>
      </c>
      <c r="I537" s="2">
        <v>14863172864.08</v>
      </c>
    </row>
    <row r="538" spans="1:9" x14ac:dyDescent="0.25">
      <c r="A538">
        <v>527</v>
      </c>
      <c r="B538" s="1">
        <v>45657</v>
      </c>
      <c r="C538">
        <v>31</v>
      </c>
      <c r="D538" t="str">
        <f>"5709"</f>
        <v>5709</v>
      </c>
      <c r="E538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538" t="str">
        <f>""</f>
        <v/>
      </c>
      <c r="G538" t="str">
        <f>""</f>
        <v/>
      </c>
      <c r="H538" t="str">
        <f>""</f>
        <v/>
      </c>
      <c r="I538" s="2">
        <v>2985627.26</v>
      </c>
    </row>
    <row r="539" spans="1:9" x14ac:dyDescent="0.25">
      <c r="A539">
        <v>528</v>
      </c>
      <c r="B539" s="1">
        <v>45657</v>
      </c>
      <c r="C539">
        <v>31</v>
      </c>
      <c r="D539" t="str">
        <f>"5713"</f>
        <v>5713</v>
      </c>
      <c r="E539" t="str">
        <f>"Расходы от обесценения инвестиций, вложенных в уставный капитал других юридических лиц"</f>
        <v>Расходы от обесценения инвестиций, вложенных в уставный капитал других юридических лиц</v>
      </c>
      <c r="F539" t="str">
        <f>""</f>
        <v/>
      </c>
      <c r="G539" t="str">
        <f>""</f>
        <v/>
      </c>
      <c r="H539" t="str">
        <f>""</f>
        <v/>
      </c>
      <c r="I539" s="2">
        <v>860000000</v>
      </c>
    </row>
    <row r="540" spans="1:9" x14ac:dyDescent="0.25">
      <c r="A540">
        <v>529</v>
      </c>
      <c r="B540" s="1">
        <v>45657</v>
      </c>
      <c r="C540">
        <v>31</v>
      </c>
      <c r="D540" t="str">
        <f>"5721"</f>
        <v>5721</v>
      </c>
      <c r="E540" t="str">
        <f>"Расходы по оплате труда"</f>
        <v>Расходы по оплате труда</v>
      </c>
      <c r="F540" t="str">
        <f>""</f>
        <v/>
      </c>
      <c r="G540" t="str">
        <f>""</f>
        <v/>
      </c>
      <c r="H540" t="str">
        <f>""</f>
        <v/>
      </c>
      <c r="I540" s="2">
        <v>8447594939.2799997</v>
      </c>
    </row>
    <row r="541" spans="1:9" x14ac:dyDescent="0.25">
      <c r="A541">
        <v>530</v>
      </c>
      <c r="B541" s="1">
        <v>45657</v>
      </c>
      <c r="C541">
        <v>31</v>
      </c>
      <c r="D541" t="str">
        <f>"5722"</f>
        <v>5722</v>
      </c>
      <c r="E541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541" t="str">
        <f>""</f>
        <v/>
      </c>
      <c r="G541" t="str">
        <f>""</f>
        <v/>
      </c>
      <c r="H541" t="str">
        <f>""</f>
        <v/>
      </c>
      <c r="I541" s="2">
        <v>521732177.37</v>
      </c>
    </row>
    <row r="542" spans="1:9" x14ac:dyDescent="0.25">
      <c r="A542">
        <v>531</v>
      </c>
      <c r="B542" s="1">
        <v>45657</v>
      </c>
      <c r="C542">
        <v>31</v>
      </c>
      <c r="D542" t="str">
        <f>"5729"</f>
        <v>5729</v>
      </c>
      <c r="E542" t="str">
        <f>"Прочие выплаты"</f>
        <v>Прочие выплаты</v>
      </c>
      <c r="F542" t="str">
        <f>""</f>
        <v/>
      </c>
      <c r="G542" t="str">
        <f>""</f>
        <v/>
      </c>
      <c r="H542" t="str">
        <f>""</f>
        <v/>
      </c>
      <c r="I542" s="2">
        <v>286600756.81999999</v>
      </c>
    </row>
    <row r="543" spans="1:9" x14ac:dyDescent="0.25">
      <c r="A543">
        <v>532</v>
      </c>
      <c r="B543" s="1">
        <v>45657</v>
      </c>
      <c r="C543">
        <v>31</v>
      </c>
      <c r="D543" t="str">
        <f>"5733"</f>
        <v>5733</v>
      </c>
      <c r="E543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543" t="str">
        <f>""</f>
        <v/>
      </c>
      <c r="G543" t="str">
        <f>""</f>
        <v/>
      </c>
      <c r="H543" t="str">
        <f>""</f>
        <v/>
      </c>
      <c r="I543" s="2">
        <v>81082670.599999994</v>
      </c>
    </row>
    <row r="544" spans="1:9" x14ac:dyDescent="0.25">
      <c r="A544">
        <v>533</v>
      </c>
      <c r="B544" s="1">
        <v>45657</v>
      </c>
      <c r="C544">
        <v>31</v>
      </c>
      <c r="D544" t="str">
        <f>"5734"</f>
        <v>5734</v>
      </c>
      <c r="E544" t="str">
        <f>"Расходы от прочей переоценки"</f>
        <v>Расходы от прочей переоценки</v>
      </c>
      <c r="F544" t="str">
        <f>""</f>
        <v/>
      </c>
      <c r="G544" t="str">
        <f>""</f>
        <v/>
      </c>
      <c r="H544" t="str">
        <f>""</f>
        <v/>
      </c>
      <c r="I544" s="2">
        <v>4542106033.29</v>
      </c>
    </row>
    <row r="545" spans="1:9" x14ac:dyDescent="0.25">
      <c r="A545">
        <v>534</v>
      </c>
      <c r="B545" s="1">
        <v>45657</v>
      </c>
      <c r="C545">
        <v>31</v>
      </c>
      <c r="D545" t="str">
        <f>"5741"</f>
        <v>5741</v>
      </c>
      <c r="E545" t="str">
        <f>"Транспортные расходы"</f>
        <v>Транспортные расходы</v>
      </c>
      <c r="F545" t="str">
        <f>""</f>
        <v/>
      </c>
      <c r="G545" t="str">
        <f>""</f>
        <v/>
      </c>
      <c r="H545" t="str">
        <f>""</f>
        <v/>
      </c>
      <c r="I545" s="2">
        <v>35118880.939999998</v>
      </c>
    </row>
    <row r="546" spans="1:9" x14ac:dyDescent="0.25">
      <c r="A546">
        <v>535</v>
      </c>
      <c r="B546" s="1">
        <v>45657</v>
      </c>
      <c r="C546">
        <v>31</v>
      </c>
      <c r="D546" t="str">
        <f>"5742"</f>
        <v>5742</v>
      </c>
      <c r="E546" t="str">
        <f>"Административные расходы"</f>
        <v>Административные расходы</v>
      </c>
      <c r="F546" t="str">
        <f>""</f>
        <v/>
      </c>
      <c r="G546" t="str">
        <f>""</f>
        <v/>
      </c>
      <c r="H546" t="str">
        <f>""</f>
        <v/>
      </c>
      <c r="I546" s="2">
        <v>1302779096.74</v>
      </c>
    </row>
    <row r="547" spans="1:9" x14ac:dyDescent="0.25">
      <c r="A547">
        <v>536</v>
      </c>
      <c r="B547" s="1">
        <v>45657</v>
      </c>
      <c r="C547">
        <v>31</v>
      </c>
      <c r="D547" t="str">
        <f>"5743"</f>
        <v>5743</v>
      </c>
      <c r="E547" t="str">
        <f>"Расходы на инкассацию"</f>
        <v>Расходы на инкассацию</v>
      </c>
      <c r="F547" t="str">
        <f>""</f>
        <v/>
      </c>
      <c r="G547" t="str">
        <f>""</f>
        <v/>
      </c>
      <c r="H547" t="str">
        <f>""</f>
        <v/>
      </c>
      <c r="I547" s="2">
        <v>239593792.66</v>
      </c>
    </row>
    <row r="548" spans="1:9" x14ac:dyDescent="0.25">
      <c r="A548">
        <v>537</v>
      </c>
      <c r="B548" s="1">
        <v>45657</v>
      </c>
      <c r="C548">
        <v>31</v>
      </c>
      <c r="D548" t="str">
        <f>"5744"</f>
        <v>5744</v>
      </c>
      <c r="E548" t="str">
        <f>"Расходы на ремонт"</f>
        <v>Расходы на ремонт</v>
      </c>
      <c r="F548" t="str">
        <f>""</f>
        <v/>
      </c>
      <c r="G548" t="str">
        <f>""</f>
        <v/>
      </c>
      <c r="H548" t="str">
        <f>""</f>
        <v/>
      </c>
      <c r="I548" s="2">
        <v>196450562.53999999</v>
      </c>
    </row>
    <row r="549" spans="1:9" x14ac:dyDescent="0.25">
      <c r="A549">
        <v>538</v>
      </c>
      <c r="B549" s="1">
        <v>45657</v>
      </c>
      <c r="C549">
        <v>31</v>
      </c>
      <c r="D549" t="str">
        <f>"5745"</f>
        <v>5745</v>
      </c>
      <c r="E549" t="str">
        <f>"Расходы на рекламу"</f>
        <v>Расходы на рекламу</v>
      </c>
      <c r="F549" t="str">
        <f>""</f>
        <v/>
      </c>
      <c r="G549" t="str">
        <f>""</f>
        <v/>
      </c>
      <c r="H549" t="str">
        <f>""</f>
        <v/>
      </c>
      <c r="I549" s="2">
        <v>274521556.49000001</v>
      </c>
    </row>
    <row r="550" spans="1:9" x14ac:dyDescent="0.25">
      <c r="A550">
        <v>539</v>
      </c>
      <c r="B550" s="1">
        <v>45657</v>
      </c>
      <c r="C550">
        <v>31</v>
      </c>
      <c r="D550" t="str">
        <f>"5746"</f>
        <v>5746</v>
      </c>
      <c r="E550" t="str">
        <f>"Расходы на охрану и сигнализацию"</f>
        <v>Расходы на охрану и сигнализацию</v>
      </c>
      <c r="F550" t="str">
        <f>""</f>
        <v/>
      </c>
      <c r="G550" t="str">
        <f>""</f>
        <v/>
      </c>
      <c r="H550" t="str">
        <f>""</f>
        <v/>
      </c>
      <c r="I550" s="2">
        <v>506478824.50999999</v>
      </c>
    </row>
    <row r="551" spans="1:9" x14ac:dyDescent="0.25">
      <c r="A551">
        <v>540</v>
      </c>
      <c r="B551" s="1">
        <v>45657</v>
      </c>
      <c r="C551">
        <v>31</v>
      </c>
      <c r="D551" t="str">
        <f>"5747"</f>
        <v>5747</v>
      </c>
      <c r="E551" t="str">
        <f>"Представительские расходы"</f>
        <v>Представительские расходы</v>
      </c>
      <c r="F551" t="str">
        <f>""</f>
        <v/>
      </c>
      <c r="G551" t="str">
        <f>""</f>
        <v/>
      </c>
      <c r="H551" t="str">
        <f>""</f>
        <v/>
      </c>
      <c r="I551" s="2">
        <v>453423</v>
      </c>
    </row>
    <row r="552" spans="1:9" x14ac:dyDescent="0.25">
      <c r="A552">
        <v>541</v>
      </c>
      <c r="B552" s="1">
        <v>45657</v>
      </c>
      <c r="C552">
        <v>31</v>
      </c>
      <c r="D552" t="str">
        <f>"5748"</f>
        <v>5748</v>
      </c>
      <c r="E552" t="str">
        <f>"Прочие общехозяйственные расходы"</f>
        <v>Прочие общехозяйственные расходы</v>
      </c>
      <c r="F552" t="str">
        <f>""</f>
        <v/>
      </c>
      <c r="G552" t="str">
        <f>""</f>
        <v/>
      </c>
      <c r="H552" t="str">
        <f>""</f>
        <v/>
      </c>
      <c r="I552" s="2">
        <v>30200026.829999998</v>
      </c>
    </row>
    <row r="553" spans="1:9" x14ac:dyDescent="0.25">
      <c r="A553">
        <v>542</v>
      </c>
      <c r="B553" s="1">
        <v>45657</v>
      </c>
      <c r="C553">
        <v>31</v>
      </c>
      <c r="D553" t="str">
        <f>"5749"</f>
        <v>5749</v>
      </c>
      <c r="E553" t="str">
        <f>"Расходы на служебные командировки"</f>
        <v>Расходы на служебные командировки</v>
      </c>
      <c r="F553" t="str">
        <f>""</f>
        <v/>
      </c>
      <c r="G553" t="str">
        <f>""</f>
        <v/>
      </c>
      <c r="H553" t="str">
        <f>""</f>
        <v/>
      </c>
      <c r="I553" s="2">
        <v>52260163.630000003</v>
      </c>
    </row>
    <row r="554" spans="1:9" x14ac:dyDescent="0.25">
      <c r="A554">
        <v>543</v>
      </c>
      <c r="B554" s="1">
        <v>45657</v>
      </c>
      <c r="C554">
        <v>31</v>
      </c>
      <c r="D554" t="str">
        <f>"5750"</f>
        <v>5750</v>
      </c>
      <c r="E554" t="str">
        <f>"Расходы по аудиту и консультационным услугам"</f>
        <v>Расходы по аудиту и консультационным услугам</v>
      </c>
      <c r="F554" t="str">
        <f>""</f>
        <v/>
      </c>
      <c r="G554" t="str">
        <f>""</f>
        <v/>
      </c>
      <c r="H554" t="str">
        <f>""</f>
        <v/>
      </c>
      <c r="I554" s="2">
        <v>168546695.09</v>
      </c>
    </row>
    <row r="555" spans="1:9" x14ac:dyDescent="0.25">
      <c r="A555">
        <v>544</v>
      </c>
      <c r="B555" s="1">
        <v>45657</v>
      </c>
      <c r="C555">
        <v>31</v>
      </c>
      <c r="D555" t="str">
        <f>"5752"</f>
        <v>5752</v>
      </c>
      <c r="E555" t="str">
        <f>"Расходы по страхованию"</f>
        <v>Расходы по страхованию</v>
      </c>
      <c r="F555" t="str">
        <f>""</f>
        <v/>
      </c>
      <c r="G555" t="str">
        <f>""</f>
        <v/>
      </c>
      <c r="H555" t="str">
        <f>""</f>
        <v/>
      </c>
      <c r="I555" s="2">
        <v>236274767.41</v>
      </c>
    </row>
    <row r="556" spans="1:9" x14ac:dyDescent="0.25">
      <c r="A556">
        <v>545</v>
      </c>
      <c r="B556" s="1">
        <v>45657</v>
      </c>
      <c r="C556">
        <v>31</v>
      </c>
      <c r="D556" t="str">
        <f>"5753"</f>
        <v>5753</v>
      </c>
      <c r="E556" t="str">
        <f>"Расходы по услугам связи"</f>
        <v>Расходы по услугам связи</v>
      </c>
      <c r="F556" t="str">
        <f>""</f>
        <v/>
      </c>
      <c r="G556" t="str">
        <f>""</f>
        <v/>
      </c>
      <c r="H556" t="str">
        <f>""</f>
        <v/>
      </c>
      <c r="I556" s="2">
        <v>204308068.96000001</v>
      </c>
    </row>
    <row r="557" spans="1:9" x14ac:dyDescent="0.25">
      <c r="A557">
        <v>546</v>
      </c>
      <c r="B557" s="1">
        <v>45657</v>
      </c>
      <c r="C557">
        <v>31</v>
      </c>
      <c r="D557" t="str">
        <f>"5754"</f>
        <v>5754</v>
      </c>
      <c r="E55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557" t="str">
        <f>""</f>
        <v/>
      </c>
      <c r="G557" t="str">
        <f>""</f>
        <v/>
      </c>
      <c r="H557" t="str">
        <f>""</f>
        <v/>
      </c>
      <c r="I557" s="2">
        <v>652389147.88999999</v>
      </c>
    </row>
    <row r="558" spans="1:9" x14ac:dyDescent="0.25">
      <c r="A558">
        <v>547</v>
      </c>
      <c r="B558" s="1">
        <v>45657</v>
      </c>
      <c r="C558">
        <v>31</v>
      </c>
      <c r="D558" t="str">
        <f>"5761"</f>
        <v>5761</v>
      </c>
      <c r="E558" t="str">
        <f>"Налог на добавленную стоимость"</f>
        <v>Налог на добавленную стоимость</v>
      </c>
      <c r="F558" t="str">
        <f>""</f>
        <v/>
      </c>
      <c r="G558" t="str">
        <f>""</f>
        <v/>
      </c>
      <c r="H558" t="str">
        <f>""</f>
        <v/>
      </c>
      <c r="I558" s="2">
        <v>348495510.76999998</v>
      </c>
    </row>
    <row r="559" spans="1:9" x14ac:dyDescent="0.25">
      <c r="A559">
        <v>548</v>
      </c>
      <c r="B559" s="1">
        <v>45657</v>
      </c>
      <c r="C559">
        <v>31</v>
      </c>
      <c r="D559" t="str">
        <f>"5763"</f>
        <v>5763</v>
      </c>
      <c r="E559" t="str">
        <f>"Социальный налог"</f>
        <v>Социальный налог</v>
      </c>
      <c r="F559" t="str">
        <f>""</f>
        <v/>
      </c>
      <c r="G559" t="str">
        <f>""</f>
        <v/>
      </c>
      <c r="H559" t="str">
        <f>""</f>
        <v/>
      </c>
      <c r="I559" s="2">
        <v>510935543.88</v>
      </c>
    </row>
    <row r="560" spans="1:9" x14ac:dyDescent="0.25">
      <c r="A560">
        <v>549</v>
      </c>
      <c r="B560" s="1">
        <v>45657</v>
      </c>
      <c r="C560">
        <v>31</v>
      </c>
      <c r="D560" t="str">
        <f>"5764"</f>
        <v>5764</v>
      </c>
      <c r="E560" t="str">
        <f>"Земельный налог"</f>
        <v>Земельный налог</v>
      </c>
      <c r="F560" t="str">
        <f>""</f>
        <v/>
      </c>
      <c r="G560" t="str">
        <f>""</f>
        <v/>
      </c>
      <c r="H560" t="str">
        <f>""</f>
        <v/>
      </c>
      <c r="I560" s="2">
        <v>1686271</v>
      </c>
    </row>
    <row r="561" spans="1:9" x14ac:dyDescent="0.25">
      <c r="A561">
        <v>550</v>
      </c>
      <c r="B561" s="1">
        <v>45657</v>
      </c>
      <c r="C561">
        <v>31</v>
      </c>
      <c r="D561" t="str">
        <f>"5765"</f>
        <v>5765</v>
      </c>
      <c r="E561" t="str">
        <f>"Налог на имущество юридических лиц"</f>
        <v>Налог на имущество юридических лиц</v>
      </c>
      <c r="F561" t="str">
        <f>""</f>
        <v/>
      </c>
      <c r="G561" t="str">
        <f>""</f>
        <v/>
      </c>
      <c r="H561" t="str">
        <f>""</f>
        <v/>
      </c>
      <c r="I561" s="2">
        <v>128758391</v>
      </c>
    </row>
    <row r="562" spans="1:9" x14ac:dyDescent="0.25">
      <c r="A562">
        <v>551</v>
      </c>
      <c r="B562" s="1">
        <v>45657</v>
      </c>
      <c r="C562">
        <v>31</v>
      </c>
      <c r="D562" t="str">
        <f>"5766"</f>
        <v>5766</v>
      </c>
      <c r="E562" t="str">
        <f>"Налог на транспортные средства"</f>
        <v>Налог на транспортные средства</v>
      </c>
      <c r="F562" t="str">
        <f>""</f>
        <v/>
      </c>
      <c r="G562" t="str">
        <f>""</f>
        <v/>
      </c>
      <c r="H562" t="str">
        <f>""</f>
        <v/>
      </c>
      <c r="I562" s="2">
        <v>1522678</v>
      </c>
    </row>
    <row r="563" spans="1:9" x14ac:dyDescent="0.25">
      <c r="A563">
        <v>552</v>
      </c>
      <c r="B563" s="1">
        <v>45657</v>
      </c>
      <c r="C563">
        <v>31</v>
      </c>
      <c r="D563" t="str">
        <f>"5768"</f>
        <v>5768</v>
      </c>
      <c r="E563" t="str">
        <f>"Прочие налоги и обязательные платежи в бюджет"</f>
        <v>Прочие налоги и обязательные платежи в бюджет</v>
      </c>
      <c r="F563" t="str">
        <f>""</f>
        <v/>
      </c>
      <c r="G563" t="str">
        <f>""</f>
        <v/>
      </c>
      <c r="H563" t="str">
        <f>""</f>
        <v/>
      </c>
      <c r="I563" s="2">
        <v>39820289.329999998</v>
      </c>
    </row>
    <row r="564" spans="1:9" x14ac:dyDescent="0.25">
      <c r="A564">
        <v>553</v>
      </c>
      <c r="B564" s="1">
        <v>45657</v>
      </c>
      <c r="C564">
        <v>31</v>
      </c>
      <c r="D564" t="str">
        <f>"5781"</f>
        <v>5781</v>
      </c>
      <c r="E564" t="str">
        <f>"Расходы по амортизации зданий и сооружений"</f>
        <v>Расходы по амортизации зданий и сооружений</v>
      </c>
      <c r="F564" t="str">
        <f>""</f>
        <v/>
      </c>
      <c r="G564" t="str">
        <f>""</f>
        <v/>
      </c>
      <c r="H564" t="str">
        <f>""</f>
        <v/>
      </c>
      <c r="I564" s="2">
        <v>111582833.22</v>
      </c>
    </row>
    <row r="565" spans="1:9" x14ac:dyDescent="0.25">
      <c r="A565">
        <v>554</v>
      </c>
      <c r="B565" s="1">
        <v>45657</v>
      </c>
      <c r="C565">
        <v>31</v>
      </c>
      <c r="D565" t="str">
        <f>"5782"</f>
        <v>5782</v>
      </c>
      <c r="E565" t="str">
        <f>"Расходы по амортизации компьютерного оборудования"</f>
        <v>Расходы по амортизации компьютерного оборудования</v>
      </c>
      <c r="F565" t="str">
        <f>""</f>
        <v/>
      </c>
      <c r="G565" t="str">
        <f>""</f>
        <v/>
      </c>
      <c r="H565" t="str">
        <f>""</f>
        <v/>
      </c>
      <c r="I565" s="2">
        <v>191283299.91999999</v>
      </c>
    </row>
    <row r="566" spans="1:9" x14ac:dyDescent="0.25">
      <c r="A566">
        <v>555</v>
      </c>
      <c r="B566" s="1">
        <v>45657</v>
      </c>
      <c r="C566">
        <v>31</v>
      </c>
      <c r="D566" t="str">
        <f>"5783"</f>
        <v>5783</v>
      </c>
      <c r="E566" t="str">
        <f>"Расходы по амортизации прочих основных средств"</f>
        <v>Расходы по амортизации прочих основных средств</v>
      </c>
      <c r="F566" t="str">
        <f>""</f>
        <v/>
      </c>
      <c r="G566" t="str">
        <f>""</f>
        <v/>
      </c>
      <c r="H566" t="str">
        <f>""</f>
        <v/>
      </c>
      <c r="I566" s="2">
        <v>151457216.59</v>
      </c>
    </row>
    <row r="567" spans="1:9" x14ac:dyDescent="0.25">
      <c r="A567">
        <v>556</v>
      </c>
      <c r="B567" s="1">
        <v>45657</v>
      </c>
      <c r="C567">
        <v>31</v>
      </c>
      <c r="D567" t="str">
        <f>"5784"</f>
        <v>5784</v>
      </c>
      <c r="E567" t="str">
        <f>"Расходы по амортизации активов в форме права пользования"</f>
        <v>Расходы по амортизации активов в форме права пользования</v>
      </c>
      <c r="F567" t="str">
        <f>""</f>
        <v/>
      </c>
      <c r="G567" t="str">
        <f>""</f>
        <v/>
      </c>
      <c r="H567" t="str">
        <f>""</f>
        <v/>
      </c>
      <c r="I567" s="2">
        <v>549621035.59000003</v>
      </c>
    </row>
    <row r="568" spans="1:9" x14ac:dyDescent="0.25">
      <c r="A568">
        <v>557</v>
      </c>
      <c r="B568" s="1">
        <v>45657</v>
      </c>
      <c r="C568">
        <v>31</v>
      </c>
      <c r="D568" t="str">
        <f>"5787"</f>
        <v>5787</v>
      </c>
      <c r="E568" t="str">
        <f>"Расходы по амортизации транспортных средств"</f>
        <v>Расходы по амортизации транспортных средств</v>
      </c>
      <c r="F568" t="str">
        <f>""</f>
        <v/>
      </c>
      <c r="G568" t="str">
        <f>""</f>
        <v/>
      </c>
      <c r="H568" t="str">
        <f>""</f>
        <v/>
      </c>
      <c r="I568" s="2">
        <v>1926379.37</v>
      </c>
    </row>
    <row r="569" spans="1:9" x14ac:dyDescent="0.25">
      <c r="A569">
        <v>558</v>
      </c>
      <c r="B569" s="1">
        <v>45657</v>
      </c>
      <c r="C569">
        <v>31</v>
      </c>
      <c r="D569" t="str">
        <f>"5788"</f>
        <v>5788</v>
      </c>
      <c r="E569" t="str">
        <f>"Расходы по амортизации нематериальных активов"</f>
        <v>Расходы по амортизации нематериальных активов</v>
      </c>
      <c r="F569" t="str">
        <f>""</f>
        <v/>
      </c>
      <c r="G569" t="str">
        <f>""</f>
        <v/>
      </c>
      <c r="H569" t="str">
        <f>""</f>
        <v/>
      </c>
      <c r="I569" s="2">
        <v>203446121.65000001</v>
      </c>
    </row>
    <row r="570" spans="1:9" x14ac:dyDescent="0.25">
      <c r="A570">
        <v>559</v>
      </c>
      <c r="B570" s="1">
        <v>45657</v>
      </c>
      <c r="C570">
        <v>31</v>
      </c>
      <c r="D570" t="str">
        <f>"5852"</f>
        <v>5852</v>
      </c>
      <c r="E570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570" t="str">
        <f>""</f>
        <v/>
      </c>
      <c r="G570" t="str">
        <f>""</f>
        <v/>
      </c>
      <c r="H570" t="str">
        <f>""</f>
        <v/>
      </c>
      <c r="I570" s="2">
        <v>15422.2</v>
      </c>
    </row>
    <row r="571" spans="1:9" x14ac:dyDescent="0.25">
      <c r="A571">
        <v>560</v>
      </c>
      <c r="B571" s="1">
        <v>45657</v>
      </c>
      <c r="C571">
        <v>31</v>
      </c>
      <c r="D571" t="str">
        <f>"5857"</f>
        <v>5857</v>
      </c>
      <c r="E571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571" t="str">
        <f>""</f>
        <v/>
      </c>
      <c r="G571" t="str">
        <f>""</f>
        <v/>
      </c>
      <c r="H571" t="str">
        <f>""</f>
        <v/>
      </c>
      <c r="I571" s="2">
        <v>658716102.66999996</v>
      </c>
    </row>
    <row r="572" spans="1:9" x14ac:dyDescent="0.25">
      <c r="A572">
        <v>561</v>
      </c>
      <c r="B572" s="1">
        <v>45657</v>
      </c>
      <c r="C572">
        <v>31</v>
      </c>
      <c r="D572" t="str">
        <f>"5895"</f>
        <v>5895</v>
      </c>
      <c r="E572" t="str">
        <f>"Расходы по операциям своп"</f>
        <v>Расходы по операциям своп</v>
      </c>
      <c r="F572" t="str">
        <f>""</f>
        <v/>
      </c>
      <c r="G572" t="str">
        <f>""</f>
        <v/>
      </c>
      <c r="H572" t="str">
        <f>""</f>
        <v/>
      </c>
      <c r="I572" s="2">
        <v>8462153951.5299997</v>
      </c>
    </row>
    <row r="573" spans="1:9" x14ac:dyDescent="0.25">
      <c r="A573">
        <v>562</v>
      </c>
      <c r="B573" s="1">
        <v>45657</v>
      </c>
      <c r="C573">
        <v>31</v>
      </c>
      <c r="D573" t="str">
        <f>"5900"</f>
        <v>5900</v>
      </c>
      <c r="E573" t="str">
        <f>"Неустойка (штраф, пеня)"</f>
        <v>Неустойка (штраф, пеня)</v>
      </c>
      <c r="F573" t="str">
        <f>""</f>
        <v/>
      </c>
      <c r="G573" t="str">
        <f>""</f>
        <v/>
      </c>
      <c r="H573" t="str">
        <f>""</f>
        <v/>
      </c>
      <c r="I573" s="2">
        <v>1576760</v>
      </c>
    </row>
    <row r="574" spans="1:9" x14ac:dyDescent="0.25">
      <c r="A574">
        <v>563</v>
      </c>
      <c r="B574" s="1">
        <v>45657</v>
      </c>
      <c r="C574">
        <v>31</v>
      </c>
      <c r="D574" t="str">
        <f>"5921"</f>
        <v>5921</v>
      </c>
      <c r="E574" t="str">
        <f>"Прочие расходы от банковской деятельности"</f>
        <v>Прочие расходы от банковской деятельности</v>
      </c>
      <c r="F574" t="str">
        <f>""</f>
        <v/>
      </c>
      <c r="G574" t="str">
        <f>""</f>
        <v/>
      </c>
      <c r="H574" t="str">
        <f>""</f>
        <v/>
      </c>
      <c r="I574" s="2">
        <v>9949327085.4799995</v>
      </c>
    </row>
    <row r="575" spans="1:9" x14ac:dyDescent="0.25">
      <c r="A575">
        <v>564</v>
      </c>
      <c r="B575" s="1">
        <v>45657</v>
      </c>
      <c r="C575">
        <v>31</v>
      </c>
      <c r="D575" t="str">
        <f>"5922"</f>
        <v>5922</v>
      </c>
      <c r="E575" t="str">
        <f>"Прочие расходы от неосновной деятельности"</f>
        <v>Прочие расходы от неосновной деятельности</v>
      </c>
      <c r="F575" t="str">
        <f>""</f>
        <v/>
      </c>
      <c r="G575" t="str">
        <f>""</f>
        <v/>
      </c>
      <c r="H575" t="str">
        <f>""</f>
        <v/>
      </c>
      <c r="I575" s="2">
        <v>402175421.89999998</v>
      </c>
    </row>
    <row r="576" spans="1:9" x14ac:dyDescent="0.25">
      <c r="A576">
        <v>565</v>
      </c>
      <c r="B576" s="1">
        <v>45657</v>
      </c>
      <c r="C576">
        <v>31</v>
      </c>
      <c r="D576" t="str">
        <f>"5923"</f>
        <v>5923</v>
      </c>
      <c r="E576" t="str">
        <f>"Расходы по аренде"</f>
        <v>Расходы по аренде</v>
      </c>
      <c r="F576" t="str">
        <f>""</f>
        <v/>
      </c>
      <c r="G576" t="str">
        <f>""</f>
        <v/>
      </c>
      <c r="H576" t="str">
        <f>""</f>
        <v/>
      </c>
      <c r="I576" s="2">
        <v>239881285.68000001</v>
      </c>
    </row>
    <row r="577" spans="1:9" x14ac:dyDescent="0.25">
      <c r="A577">
        <v>566</v>
      </c>
      <c r="B577" s="1">
        <v>45657</v>
      </c>
      <c r="C577">
        <v>31</v>
      </c>
      <c r="D577" t="str">
        <f>"5926"</f>
        <v>5926</v>
      </c>
      <c r="E577" t="str">
        <f>"Расходы по привилегированным акциям"</f>
        <v>Расходы по привилегированным акциям</v>
      </c>
      <c r="F577" t="str">
        <f>""</f>
        <v/>
      </c>
      <c r="G577" t="str">
        <f>""</f>
        <v/>
      </c>
      <c r="H577" t="str">
        <f>""</f>
        <v/>
      </c>
      <c r="I577" s="2">
        <v>225694999.97999999</v>
      </c>
    </row>
    <row r="578" spans="1:9" x14ac:dyDescent="0.25">
      <c r="A578">
        <v>567</v>
      </c>
      <c r="B578" s="1">
        <v>45657</v>
      </c>
      <c r="C578">
        <v>31</v>
      </c>
      <c r="D578" t="str">
        <f>"5999"</f>
        <v>5999</v>
      </c>
      <c r="E578" t="str">
        <f>"Корпоративный подоходный налог"</f>
        <v>Корпоративный подоходный налог</v>
      </c>
      <c r="F578" t="str">
        <f>""</f>
        <v/>
      </c>
      <c r="G578" t="str">
        <f>""</f>
        <v/>
      </c>
      <c r="H578" t="str">
        <f>""</f>
        <v/>
      </c>
      <c r="I578" s="2">
        <v>394392000</v>
      </c>
    </row>
    <row r="579" spans="1:9" x14ac:dyDescent="0.25">
      <c r="A579">
        <v>568</v>
      </c>
      <c r="B579" s="1">
        <v>45657</v>
      </c>
      <c r="C579">
        <v>31</v>
      </c>
      <c r="D579" t="str">
        <f>"6005"</f>
        <v>6005</v>
      </c>
      <c r="E579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579" t="str">
        <f>""</f>
        <v/>
      </c>
      <c r="G579" t="str">
        <f>""</f>
        <v/>
      </c>
      <c r="H579" t="str">
        <f>""</f>
        <v/>
      </c>
      <c r="I579" s="2">
        <v>4029694140</v>
      </c>
    </row>
    <row r="580" spans="1:9" x14ac:dyDescent="0.25">
      <c r="A580">
        <v>569</v>
      </c>
      <c r="B580" s="1">
        <v>45657</v>
      </c>
      <c r="C580">
        <v>31</v>
      </c>
      <c r="D580" t="str">
        <f>"6020"</f>
        <v>6020</v>
      </c>
      <c r="E580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580" t="str">
        <f>""</f>
        <v/>
      </c>
      <c r="G580" t="str">
        <f>""</f>
        <v/>
      </c>
      <c r="H580" t="str">
        <f>""</f>
        <v/>
      </c>
      <c r="I580" s="2">
        <v>218828529.78</v>
      </c>
    </row>
    <row r="581" spans="1:9" x14ac:dyDescent="0.25">
      <c r="A581">
        <v>570</v>
      </c>
      <c r="B581" s="1">
        <v>45657</v>
      </c>
      <c r="C581">
        <v>31</v>
      </c>
      <c r="D581" t="str">
        <f>"6055"</f>
        <v>6055</v>
      </c>
      <c r="E58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581" t="str">
        <f>""</f>
        <v/>
      </c>
      <c r="G581" t="str">
        <f>""</f>
        <v/>
      </c>
      <c r="H581" t="str">
        <f>""</f>
        <v/>
      </c>
      <c r="I581" s="2">
        <v>31136221324</v>
      </c>
    </row>
    <row r="582" spans="1:9" x14ac:dyDescent="0.25">
      <c r="A582">
        <v>571</v>
      </c>
      <c r="B582" s="1">
        <v>45657</v>
      </c>
      <c r="C582">
        <v>31</v>
      </c>
      <c r="D582" t="str">
        <f>"6075"</f>
        <v>6075</v>
      </c>
      <c r="E582" t="str">
        <f>"Возможные требования по принятым гарантиям"</f>
        <v>Возможные требования по принятым гарантиям</v>
      </c>
      <c r="F582" t="str">
        <f>""</f>
        <v/>
      </c>
      <c r="G582" t="str">
        <f>""</f>
        <v/>
      </c>
      <c r="H582" t="str">
        <f>""</f>
        <v/>
      </c>
      <c r="I582" s="2">
        <v>1248157355121.6001</v>
      </c>
    </row>
    <row r="583" spans="1:9" x14ac:dyDescent="0.25">
      <c r="A583">
        <v>572</v>
      </c>
      <c r="B583" s="1">
        <v>45657</v>
      </c>
      <c r="C583">
        <v>31</v>
      </c>
      <c r="D583" t="str">
        <f>"6125"</f>
        <v>6125</v>
      </c>
      <c r="E583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583" t="str">
        <f>""</f>
        <v/>
      </c>
      <c r="G583" t="str">
        <f>""</f>
        <v/>
      </c>
      <c r="H583" t="str">
        <f>""</f>
        <v/>
      </c>
      <c r="I583" s="2">
        <v>25190172.75</v>
      </c>
    </row>
    <row r="584" spans="1:9" x14ac:dyDescent="0.25">
      <c r="A584">
        <v>573</v>
      </c>
      <c r="B584" s="1">
        <v>45657</v>
      </c>
      <c r="C584">
        <v>31</v>
      </c>
      <c r="D584" t="str">
        <f>"6126"</f>
        <v>6126</v>
      </c>
      <c r="E584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584" t="str">
        <f>""</f>
        <v/>
      </c>
      <c r="G584" t="str">
        <f>""</f>
        <v/>
      </c>
      <c r="H584" t="str">
        <f>""</f>
        <v/>
      </c>
      <c r="I584" s="2">
        <v>53805911730.580002</v>
      </c>
    </row>
    <row r="585" spans="1:9" x14ac:dyDescent="0.25">
      <c r="A585">
        <v>574</v>
      </c>
      <c r="B585" s="1">
        <v>45657</v>
      </c>
      <c r="C585">
        <v>31</v>
      </c>
      <c r="D585" t="str">
        <f>"6405"</f>
        <v>6405</v>
      </c>
      <c r="E585" t="str">
        <f>"Условные требования по купле-продаже иностранной валюты"</f>
        <v>Условные требования по купле-продаже иностранной валюты</v>
      </c>
      <c r="F585" t="str">
        <f>""</f>
        <v/>
      </c>
      <c r="G585" t="str">
        <f>""</f>
        <v/>
      </c>
      <c r="H585" t="str">
        <f>""</f>
        <v/>
      </c>
      <c r="I585" s="2">
        <v>25727860841.349998</v>
      </c>
    </row>
    <row r="586" spans="1:9" x14ac:dyDescent="0.25">
      <c r="A586">
        <v>575</v>
      </c>
      <c r="B586" s="1">
        <v>45657</v>
      </c>
      <c r="C586">
        <v>31</v>
      </c>
      <c r="D586" t="str">
        <f>"6505"</f>
        <v>6505</v>
      </c>
      <c r="E586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586" t="str">
        <f>""</f>
        <v/>
      </c>
      <c r="G586" t="str">
        <f>""</f>
        <v/>
      </c>
      <c r="H586" t="str">
        <f>""</f>
        <v/>
      </c>
      <c r="I586" s="2">
        <v>4029694140</v>
      </c>
    </row>
    <row r="587" spans="1:9" x14ac:dyDescent="0.25">
      <c r="A587">
        <v>576</v>
      </c>
      <c r="B587" s="1">
        <v>45657</v>
      </c>
      <c r="C587">
        <v>31</v>
      </c>
      <c r="D587" t="str">
        <f>"6520"</f>
        <v>6520</v>
      </c>
      <c r="E587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587" t="str">
        <f>""</f>
        <v/>
      </c>
      <c r="G587" t="str">
        <f>""</f>
        <v/>
      </c>
      <c r="H587" t="str">
        <f>""</f>
        <v/>
      </c>
      <c r="I587" s="2">
        <v>218828529.78</v>
      </c>
    </row>
    <row r="588" spans="1:9" x14ac:dyDescent="0.25">
      <c r="A588">
        <v>577</v>
      </c>
      <c r="B588" s="1">
        <v>45657</v>
      </c>
      <c r="C588">
        <v>31</v>
      </c>
      <c r="D588" t="str">
        <f>"6555"</f>
        <v>6555</v>
      </c>
      <c r="E588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588" t="str">
        <f>""</f>
        <v/>
      </c>
      <c r="G588" t="str">
        <f>""</f>
        <v/>
      </c>
      <c r="H588" t="str">
        <f>""</f>
        <v/>
      </c>
      <c r="I588" s="2">
        <v>31136221324</v>
      </c>
    </row>
    <row r="589" spans="1:9" x14ac:dyDescent="0.25">
      <c r="A589">
        <v>578</v>
      </c>
      <c r="B589" s="1">
        <v>45657</v>
      </c>
      <c r="C589">
        <v>31</v>
      </c>
      <c r="D589" t="str">
        <f>"6575"</f>
        <v>6575</v>
      </c>
      <c r="E589" t="str">
        <f>"Возможное уменьшение требований по принятым гарантиям"</f>
        <v>Возможное уменьшение требований по принятым гарантиям</v>
      </c>
      <c r="F589" t="str">
        <f>""</f>
        <v/>
      </c>
      <c r="G589" t="str">
        <f>""</f>
        <v/>
      </c>
      <c r="H589" t="str">
        <f>""</f>
        <v/>
      </c>
      <c r="I589" s="2">
        <v>1248157355121.6001</v>
      </c>
    </row>
    <row r="590" spans="1:9" x14ac:dyDescent="0.25">
      <c r="A590">
        <v>579</v>
      </c>
      <c r="B590" s="1">
        <v>45657</v>
      </c>
      <c r="C590">
        <v>31</v>
      </c>
      <c r="D590" t="str">
        <f>"6625"</f>
        <v>6625</v>
      </c>
      <c r="E590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590" t="str">
        <f>""</f>
        <v/>
      </c>
      <c r="G590" t="str">
        <f>""</f>
        <v/>
      </c>
      <c r="H590" t="str">
        <f>""</f>
        <v/>
      </c>
      <c r="I590" s="2">
        <v>25190172.75</v>
      </c>
    </row>
    <row r="591" spans="1:9" x14ac:dyDescent="0.25">
      <c r="A591">
        <v>580</v>
      </c>
      <c r="B591" s="1">
        <v>45657</v>
      </c>
      <c r="C591">
        <v>31</v>
      </c>
      <c r="D591" t="str">
        <f>"6626"</f>
        <v>6626</v>
      </c>
      <c r="E59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591" t="str">
        <f>""</f>
        <v/>
      </c>
      <c r="G591" t="str">
        <f>""</f>
        <v/>
      </c>
      <c r="H591" t="str">
        <f>""</f>
        <v/>
      </c>
      <c r="I591" s="2">
        <v>53805911730.580002</v>
      </c>
    </row>
    <row r="592" spans="1:9" x14ac:dyDescent="0.25">
      <c r="A592">
        <v>581</v>
      </c>
      <c r="B592" s="1">
        <v>45657</v>
      </c>
      <c r="C592">
        <v>31</v>
      </c>
      <c r="D592" t="str">
        <f>"6905"</f>
        <v>6905</v>
      </c>
      <c r="E592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592" t="str">
        <f>""</f>
        <v/>
      </c>
      <c r="G592" t="str">
        <f>""</f>
        <v/>
      </c>
      <c r="H592" t="str">
        <f>""</f>
        <v/>
      </c>
      <c r="I592" s="2">
        <v>25733158541.5</v>
      </c>
    </row>
    <row r="593" spans="1:9" x14ac:dyDescent="0.25">
      <c r="A593">
        <v>582</v>
      </c>
      <c r="B593" s="1">
        <v>45657</v>
      </c>
      <c r="C593">
        <v>31</v>
      </c>
      <c r="D593" t="str">
        <f>"6999"</f>
        <v>6999</v>
      </c>
      <c r="E593" t="str">
        <f>"Позиция по сделкам с иностранной валютой"</f>
        <v>Позиция по сделкам с иностранной валютой</v>
      </c>
      <c r="F593" t="str">
        <f>""</f>
        <v/>
      </c>
      <c r="G593" t="str">
        <f>""</f>
        <v/>
      </c>
      <c r="H593" t="str">
        <f>""</f>
        <v/>
      </c>
      <c r="I593" s="2">
        <v>-5297700.1500000004</v>
      </c>
    </row>
    <row r="594" spans="1:9" x14ac:dyDescent="0.25">
      <c r="A594">
        <v>583</v>
      </c>
      <c r="B594" s="1">
        <v>45657</v>
      </c>
      <c r="C594">
        <v>31</v>
      </c>
      <c r="D594" t="str">
        <f>"7115"</f>
        <v>7115</v>
      </c>
      <c r="E594" t="str">
        <f>"Основные средства, реализуемые с рассрочкой платежа"</f>
        <v>Основные средства, реализуемые с рассрочкой платежа</v>
      </c>
      <c r="F594" t="str">
        <f>""</f>
        <v/>
      </c>
      <c r="G594" t="str">
        <f>""</f>
        <v/>
      </c>
      <c r="H594" t="str">
        <f>""</f>
        <v/>
      </c>
      <c r="I594" s="2">
        <v>8157785</v>
      </c>
    </row>
    <row r="595" spans="1:9" x14ac:dyDescent="0.25">
      <c r="A595">
        <v>584</v>
      </c>
      <c r="B595" s="1">
        <v>45657</v>
      </c>
      <c r="C595">
        <v>31</v>
      </c>
      <c r="D595" t="str">
        <f>"7150"</f>
        <v>7150</v>
      </c>
      <c r="E595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595" t="str">
        <f>""</f>
        <v/>
      </c>
      <c r="G595" t="str">
        <f>""</f>
        <v/>
      </c>
      <c r="H595" t="str">
        <f>""</f>
        <v/>
      </c>
      <c r="I595" s="2">
        <v>5769502</v>
      </c>
    </row>
    <row r="596" spans="1:9" x14ac:dyDescent="0.25">
      <c r="A596">
        <v>585</v>
      </c>
      <c r="B596" s="1">
        <v>45657</v>
      </c>
      <c r="C596">
        <v>31</v>
      </c>
      <c r="D596" t="str">
        <f>"7160"</f>
        <v>7160</v>
      </c>
      <c r="E596" t="str">
        <f>"Имущество, переданное в обеспечение (залог) обязательств"</f>
        <v>Имущество, переданное в обеспечение (залог) обязательств</v>
      </c>
      <c r="F596" t="str">
        <f>""</f>
        <v/>
      </c>
      <c r="G596" t="str">
        <f>""</f>
        <v/>
      </c>
      <c r="H596" t="str">
        <f>""</f>
        <v/>
      </c>
      <c r="I596" s="2">
        <v>9081974047</v>
      </c>
    </row>
    <row r="597" spans="1:9" x14ac:dyDescent="0.25">
      <c r="A597">
        <v>586</v>
      </c>
      <c r="B597" s="1">
        <v>45657</v>
      </c>
      <c r="C597">
        <v>31</v>
      </c>
      <c r="D597" t="str">
        <f>"7220"</f>
        <v>7220</v>
      </c>
      <c r="E597" t="str">
        <f>"Арендованные активы"</f>
        <v>Арендованные активы</v>
      </c>
      <c r="F597" t="str">
        <f>""</f>
        <v/>
      </c>
      <c r="G597" t="str">
        <f>""</f>
        <v/>
      </c>
      <c r="H597" t="str">
        <f>""</f>
        <v/>
      </c>
      <c r="I597" s="2">
        <v>174868302.66</v>
      </c>
    </row>
    <row r="598" spans="1:9" x14ac:dyDescent="0.25">
      <c r="A598">
        <v>587</v>
      </c>
      <c r="B598" s="1">
        <v>45657</v>
      </c>
      <c r="C598">
        <v>31</v>
      </c>
      <c r="D598" t="str">
        <f>"7240"</f>
        <v>7240</v>
      </c>
      <c r="E598" t="str">
        <f>"Документы и ценности, принятые на инкассо"</f>
        <v>Документы и ценности, принятые на инкассо</v>
      </c>
      <c r="F598" t="str">
        <f>""</f>
        <v/>
      </c>
      <c r="G598" t="str">
        <f>""</f>
        <v/>
      </c>
      <c r="H598" t="str">
        <f>""</f>
        <v/>
      </c>
      <c r="I598" s="2">
        <v>9020301.5999999996</v>
      </c>
    </row>
    <row r="599" spans="1:9" x14ac:dyDescent="0.25">
      <c r="A599">
        <v>588</v>
      </c>
      <c r="B599" s="1">
        <v>45657</v>
      </c>
      <c r="C599">
        <v>31</v>
      </c>
      <c r="D599" t="str">
        <f>"7250"</f>
        <v>7250</v>
      </c>
      <c r="E599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599" t="str">
        <f>""</f>
        <v/>
      </c>
      <c r="G599" t="str">
        <f>""</f>
        <v/>
      </c>
      <c r="H599" t="str">
        <f>""</f>
        <v/>
      </c>
      <c r="I599" s="2">
        <v>346859924639.40002</v>
      </c>
    </row>
    <row r="600" spans="1:9" x14ac:dyDescent="0.25">
      <c r="A600">
        <v>589</v>
      </c>
      <c r="B600" s="1">
        <v>45657</v>
      </c>
      <c r="C600">
        <v>31</v>
      </c>
      <c r="D600" t="str">
        <f>"7303"</f>
        <v>7303</v>
      </c>
      <c r="E600" t="str">
        <f>"Платежные документы, не оплаченные в срок"</f>
        <v>Платежные документы, не оплаченные в срок</v>
      </c>
      <c r="F600" t="str">
        <f>""</f>
        <v/>
      </c>
      <c r="G600" t="str">
        <f>""</f>
        <v/>
      </c>
      <c r="H600" t="str">
        <f>""</f>
        <v/>
      </c>
      <c r="I600" s="2">
        <v>1470974404657.73</v>
      </c>
    </row>
    <row r="601" spans="1:9" x14ac:dyDescent="0.25">
      <c r="A601">
        <v>590</v>
      </c>
      <c r="B601" s="1">
        <v>45657</v>
      </c>
      <c r="C601">
        <v>31</v>
      </c>
      <c r="D601" t="str">
        <f>"7330"</f>
        <v>7330</v>
      </c>
      <c r="E601" t="str">
        <f>"Займы, обслуживаемые на основе агентских соглашений"</f>
        <v>Займы, обслуживаемые на основе агентских соглашений</v>
      </c>
      <c r="F601" t="str">
        <f>""</f>
        <v/>
      </c>
      <c r="G601" t="str">
        <f>""</f>
        <v/>
      </c>
      <c r="H601" t="str">
        <f>""</f>
        <v/>
      </c>
      <c r="I601" s="2">
        <v>6416668</v>
      </c>
    </row>
    <row r="602" spans="1:9" x14ac:dyDescent="0.25">
      <c r="A602">
        <v>591</v>
      </c>
      <c r="B602" s="1">
        <v>45657</v>
      </c>
      <c r="C602">
        <v>31</v>
      </c>
      <c r="D602" t="str">
        <f>"7331"</f>
        <v>7331</v>
      </c>
      <c r="E602" t="str">
        <f>"Начисленное вознаграждение по агентским займам"</f>
        <v>Начисленное вознаграждение по агентским займам</v>
      </c>
      <c r="F602" t="str">
        <f>""</f>
        <v/>
      </c>
      <c r="G602" t="str">
        <f>""</f>
        <v/>
      </c>
      <c r="H602" t="str">
        <f>""</f>
        <v/>
      </c>
      <c r="I602" s="2">
        <v>228156.2</v>
      </c>
    </row>
    <row r="603" spans="1:9" x14ac:dyDescent="0.25">
      <c r="A603">
        <v>592</v>
      </c>
      <c r="B603" s="1">
        <v>45657</v>
      </c>
      <c r="C603">
        <v>31</v>
      </c>
      <c r="D603" t="str">
        <f>"7339"</f>
        <v>7339</v>
      </c>
      <c r="E603" t="str">
        <f>"Разные ценности и документы"</f>
        <v>Разные ценности и документы</v>
      </c>
      <c r="F603" t="str">
        <f>""</f>
        <v/>
      </c>
      <c r="G603" t="str">
        <f>""</f>
        <v/>
      </c>
      <c r="H603" t="str">
        <f>""</f>
        <v/>
      </c>
      <c r="I603" s="2">
        <v>41762550649.25</v>
      </c>
    </row>
    <row r="604" spans="1:9" x14ac:dyDescent="0.25">
      <c r="A604">
        <v>593</v>
      </c>
      <c r="B604" s="1">
        <v>45657</v>
      </c>
      <c r="C604">
        <v>31</v>
      </c>
      <c r="D604" t="str">
        <f>"7342"</f>
        <v>7342</v>
      </c>
      <c r="E604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604" t="str">
        <f>""</f>
        <v/>
      </c>
      <c r="G604" t="str">
        <f>""</f>
        <v/>
      </c>
      <c r="H604" t="str">
        <f>""</f>
        <v/>
      </c>
      <c r="I604" s="2">
        <v>15277</v>
      </c>
    </row>
  </sheetData>
  <sortState ref="D2:I594">
    <sortCondition ref="D2:D5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Ермұрат Айнұр Ермұратқызы</dc:creator>
  <cp:lastModifiedBy>Ермұрат Айнұр Ермұратқызы</cp:lastModifiedBy>
  <dcterms:created xsi:type="dcterms:W3CDTF">2025-01-06T05:54:40Z</dcterms:created>
  <dcterms:modified xsi:type="dcterms:W3CDTF">2025-01-15T11:24:51Z</dcterms:modified>
</cp:coreProperties>
</file>