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\Отчеты УРиФО\Ежемесячные отчеты\ДЛЯ АО КФБ отчеты\2022\за сентябрь\"/>
    </mc:Choice>
  </mc:AlternateContent>
  <bookViews>
    <workbookView xWindow="0" yWindow="0" windowWidth="28800" windowHeight="12135"/>
  </bookViews>
  <sheets>
    <sheet name="VREP_700_ND_RESPONDENTundefined" sheetId="1" r:id="rId1"/>
  </sheets>
  <calcPr calcId="152511"/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D7" i="1"/>
  <c r="E7" i="1"/>
  <c r="F7" i="1"/>
  <c r="G7" i="1"/>
  <c r="H7" i="1"/>
  <c r="D8" i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H46" i="1"/>
  <c r="D47" i="1"/>
  <c r="E47" i="1"/>
  <c r="F47" i="1"/>
  <c r="G47" i="1"/>
  <c r="H47" i="1"/>
  <c r="D48" i="1"/>
  <c r="E48" i="1"/>
  <c r="F48" i="1"/>
  <c r="G48" i="1"/>
  <c r="H48" i="1"/>
  <c r="D49" i="1"/>
  <c r="E49" i="1"/>
  <c r="F49" i="1"/>
  <c r="G49" i="1"/>
  <c r="H49" i="1"/>
  <c r="D50" i="1"/>
  <c r="E50" i="1"/>
  <c r="F50" i="1"/>
  <c r="G50" i="1"/>
  <c r="H50" i="1"/>
  <c r="D51" i="1"/>
  <c r="E51" i="1"/>
  <c r="F51" i="1"/>
  <c r="G51" i="1"/>
  <c r="H51" i="1"/>
  <c r="D52" i="1"/>
  <c r="E52" i="1"/>
  <c r="F52" i="1"/>
  <c r="G52" i="1"/>
  <c r="H52" i="1"/>
  <c r="D53" i="1"/>
  <c r="E53" i="1"/>
  <c r="F53" i="1"/>
  <c r="G53" i="1"/>
  <c r="H53" i="1"/>
  <c r="D54" i="1"/>
  <c r="E54" i="1"/>
  <c r="F54" i="1"/>
  <c r="G54" i="1"/>
  <c r="H54" i="1"/>
  <c r="D55" i="1"/>
  <c r="E55" i="1"/>
  <c r="F55" i="1"/>
  <c r="G55" i="1"/>
  <c r="H55" i="1"/>
  <c r="D56" i="1"/>
  <c r="E56" i="1"/>
  <c r="F56" i="1"/>
  <c r="G56" i="1"/>
  <c r="H56" i="1"/>
  <c r="D57" i="1"/>
  <c r="E57" i="1"/>
  <c r="F57" i="1"/>
  <c r="G57" i="1"/>
  <c r="H57" i="1"/>
  <c r="D58" i="1"/>
  <c r="E58" i="1"/>
  <c r="F58" i="1"/>
  <c r="G58" i="1"/>
  <c r="H58" i="1"/>
  <c r="D59" i="1"/>
  <c r="E59" i="1"/>
  <c r="F59" i="1"/>
  <c r="G59" i="1"/>
  <c r="H59" i="1"/>
  <c r="D60" i="1"/>
  <c r="E60" i="1"/>
  <c r="F60" i="1"/>
  <c r="G60" i="1"/>
  <c r="H60" i="1"/>
  <c r="D61" i="1"/>
  <c r="E61" i="1"/>
  <c r="F61" i="1"/>
  <c r="G61" i="1"/>
  <c r="H61" i="1"/>
  <c r="D62" i="1"/>
  <c r="E62" i="1"/>
  <c r="F62" i="1"/>
  <c r="G62" i="1"/>
  <c r="H62" i="1"/>
  <c r="D63" i="1"/>
  <c r="E63" i="1"/>
  <c r="F63" i="1"/>
  <c r="G63" i="1"/>
  <c r="H63" i="1"/>
  <c r="D64" i="1"/>
  <c r="E64" i="1"/>
  <c r="F64" i="1"/>
  <c r="G64" i="1"/>
  <c r="H64" i="1"/>
  <c r="D65" i="1"/>
  <c r="E65" i="1"/>
  <c r="F65" i="1"/>
  <c r="G65" i="1"/>
  <c r="H65" i="1"/>
  <c r="D66" i="1"/>
  <c r="E66" i="1"/>
  <c r="F66" i="1"/>
  <c r="G66" i="1"/>
  <c r="H66" i="1"/>
  <c r="D67" i="1"/>
  <c r="E67" i="1"/>
  <c r="F67" i="1"/>
  <c r="G67" i="1"/>
  <c r="H67" i="1"/>
  <c r="D68" i="1"/>
  <c r="E68" i="1"/>
  <c r="F68" i="1"/>
  <c r="G68" i="1"/>
  <c r="H68" i="1"/>
  <c r="D69" i="1"/>
  <c r="E69" i="1"/>
  <c r="F69" i="1"/>
  <c r="G69" i="1"/>
  <c r="H69" i="1"/>
  <c r="D70" i="1"/>
  <c r="E70" i="1"/>
  <c r="F70" i="1"/>
  <c r="G70" i="1"/>
  <c r="H70" i="1"/>
  <c r="D71" i="1"/>
  <c r="E71" i="1"/>
  <c r="F71" i="1"/>
  <c r="G71" i="1"/>
  <c r="H71" i="1"/>
  <c r="D72" i="1"/>
  <c r="E72" i="1"/>
  <c r="F72" i="1"/>
  <c r="G72" i="1"/>
  <c r="H72" i="1"/>
  <c r="D73" i="1"/>
  <c r="E73" i="1"/>
  <c r="F73" i="1"/>
  <c r="G73" i="1"/>
  <c r="H73" i="1"/>
  <c r="D74" i="1"/>
  <c r="E74" i="1"/>
  <c r="F74" i="1"/>
  <c r="G74" i="1"/>
  <c r="H74" i="1"/>
  <c r="D75" i="1"/>
  <c r="E75" i="1"/>
  <c r="F75" i="1"/>
  <c r="G75" i="1"/>
  <c r="H75" i="1"/>
  <c r="D76" i="1"/>
  <c r="E76" i="1"/>
  <c r="F76" i="1"/>
  <c r="G76" i="1"/>
  <c r="H76" i="1"/>
  <c r="D77" i="1"/>
  <c r="E77" i="1"/>
  <c r="F77" i="1"/>
  <c r="G77" i="1"/>
  <c r="H77" i="1"/>
  <c r="D78" i="1"/>
  <c r="E78" i="1"/>
  <c r="F78" i="1"/>
  <c r="G78" i="1"/>
  <c r="H78" i="1"/>
  <c r="D79" i="1"/>
  <c r="E79" i="1"/>
  <c r="F79" i="1"/>
  <c r="G79" i="1"/>
  <c r="H79" i="1"/>
  <c r="D80" i="1"/>
  <c r="E80" i="1"/>
  <c r="F80" i="1"/>
  <c r="G80" i="1"/>
  <c r="H80" i="1"/>
  <c r="D81" i="1"/>
  <c r="E81" i="1"/>
  <c r="F81" i="1"/>
  <c r="G81" i="1"/>
  <c r="H81" i="1"/>
  <c r="D82" i="1"/>
  <c r="E82" i="1"/>
  <c r="F82" i="1"/>
  <c r="G82" i="1"/>
  <c r="H82" i="1"/>
  <c r="D83" i="1"/>
  <c r="E83" i="1"/>
  <c r="F83" i="1"/>
  <c r="G83" i="1"/>
  <c r="H83" i="1"/>
  <c r="D84" i="1"/>
  <c r="E84" i="1"/>
  <c r="F84" i="1"/>
  <c r="G84" i="1"/>
  <c r="H84" i="1"/>
  <c r="D85" i="1"/>
  <c r="E85" i="1"/>
  <c r="F85" i="1"/>
  <c r="G85" i="1"/>
  <c r="H85" i="1"/>
  <c r="D86" i="1"/>
  <c r="E86" i="1"/>
  <c r="F86" i="1"/>
  <c r="G86" i="1"/>
  <c r="H86" i="1"/>
  <c r="D87" i="1"/>
  <c r="E87" i="1"/>
  <c r="F87" i="1"/>
  <c r="G87" i="1"/>
  <c r="H87" i="1"/>
  <c r="D88" i="1"/>
  <c r="E88" i="1"/>
  <c r="F88" i="1"/>
  <c r="G88" i="1"/>
  <c r="H88" i="1"/>
  <c r="D89" i="1"/>
  <c r="E89" i="1"/>
  <c r="F89" i="1"/>
  <c r="G89" i="1"/>
  <c r="H89" i="1"/>
  <c r="D90" i="1"/>
  <c r="E90" i="1"/>
  <c r="F90" i="1"/>
  <c r="G90" i="1"/>
  <c r="H90" i="1"/>
  <c r="D91" i="1"/>
  <c r="E91" i="1"/>
  <c r="F91" i="1"/>
  <c r="G91" i="1"/>
  <c r="H91" i="1"/>
  <c r="D92" i="1"/>
  <c r="E92" i="1"/>
  <c r="F92" i="1"/>
  <c r="G92" i="1"/>
  <c r="H92" i="1"/>
  <c r="D93" i="1"/>
  <c r="E93" i="1"/>
  <c r="F93" i="1"/>
  <c r="G93" i="1"/>
  <c r="H93" i="1"/>
  <c r="D94" i="1"/>
  <c r="E94" i="1"/>
  <c r="F94" i="1"/>
  <c r="G94" i="1"/>
  <c r="H94" i="1"/>
  <c r="D95" i="1"/>
  <c r="E95" i="1"/>
  <c r="F95" i="1"/>
  <c r="G95" i="1"/>
  <c r="H95" i="1"/>
  <c r="D96" i="1"/>
  <c r="E96" i="1"/>
  <c r="F96" i="1"/>
  <c r="G96" i="1"/>
  <c r="H96" i="1"/>
  <c r="D97" i="1"/>
  <c r="E97" i="1"/>
  <c r="F97" i="1"/>
  <c r="G97" i="1"/>
  <c r="H97" i="1"/>
  <c r="D98" i="1"/>
  <c r="E98" i="1"/>
  <c r="F98" i="1"/>
  <c r="G98" i="1"/>
  <c r="H98" i="1"/>
  <c r="D99" i="1"/>
  <c r="E99" i="1"/>
  <c r="F99" i="1"/>
  <c r="G99" i="1"/>
  <c r="H99" i="1"/>
  <c r="D100" i="1"/>
  <c r="E100" i="1"/>
  <c r="F100" i="1"/>
  <c r="G100" i="1"/>
  <c r="H100" i="1"/>
  <c r="D101" i="1"/>
  <c r="E101" i="1"/>
  <c r="F101" i="1"/>
  <c r="G101" i="1"/>
  <c r="H101" i="1"/>
  <c r="D102" i="1"/>
  <c r="E102" i="1"/>
  <c r="F102" i="1"/>
  <c r="G102" i="1"/>
  <c r="H102" i="1"/>
  <c r="D103" i="1"/>
  <c r="E103" i="1"/>
  <c r="F103" i="1"/>
  <c r="G103" i="1"/>
  <c r="H103" i="1"/>
  <c r="D104" i="1"/>
  <c r="E104" i="1"/>
  <c r="F104" i="1"/>
  <c r="G104" i="1"/>
  <c r="H104" i="1"/>
  <c r="D105" i="1"/>
  <c r="E105" i="1"/>
  <c r="F105" i="1"/>
  <c r="G105" i="1"/>
  <c r="H105" i="1"/>
  <c r="D106" i="1"/>
  <c r="E106" i="1"/>
  <c r="F106" i="1"/>
  <c r="G106" i="1"/>
  <c r="H106" i="1"/>
  <c r="D107" i="1"/>
  <c r="E107" i="1"/>
  <c r="F107" i="1"/>
  <c r="G107" i="1"/>
  <c r="H107" i="1"/>
  <c r="D108" i="1"/>
  <c r="E108" i="1"/>
  <c r="F108" i="1"/>
  <c r="G108" i="1"/>
  <c r="H108" i="1"/>
  <c r="D109" i="1"/>
  <c r="E109" i="1"/>
  <c r="F109" i="1"/>
  <c r="G109" i="1"/>
  <c r="H109" i="1"/>
  <c r="D110" i="1"/>
  <c r="E110" i="1"/>
  <c r="F110" i="1"/>
  <c r="G110" i="1"/>
  <c r="H110" i="1"/>
  <c r="D111" i="1"/>
  <c r="E111" i="1"/>
  <c r="F111" i="1"/>
  <c r="G111" i="1"/>
  <c r="H111" i="1"/>
  <c r="D112" i="1"/>
  <c r="E112" i="1"/>
  <c r="F112" i="1"/>
  <c r="G112" i="1"/>
  <c r="H112" i="1"/>
  <c r="D113" i="1"/>
  <c r="E113" i="1"/>
  <c r="F113" i="1"/>
  <c r="G113" i="1"/>
  <c r="H113" i="1"/>
  <c r="D114" i="1"/>
  <c r="E114" i="1"/>
  <c r="F114" i="1"/>
  <c r="G114" i="1"/>
  <c r="H114" i="1"/>
  <c r="D115" i="1"/>
  <c r="E115" i="1"/>
  <c r="F115" i="1"/>
  <c r="G115" i="1"/>
  <c r="H115" i="1"/>
  <c r="D116" i="1"/>
  <c r="E116" i="1"/>
  <c r="F116" i="1"/>
  <c r="G116" i="1"/>
  <c r="H116" i="1"/>
  <c r="D117" i="1"/>
  <c r="E117" i="1"/>
  <c r="F117" i="1"/>
  <c r="G117" i="1"/>
  <c r="H117" i="1"/>
  <c r="D118" i="1"/>
  <c r="E118" i="1"/>
  <c r="F118" i="1"/>
  <c r="G118" i="1"/>
  <c r="H118" i="1"/>
  <c r="D119" i="1"/>
  <c r="E119" i="1"/>
  <c r="F119" i="1"/>
  <c r="G119" i="1"/>
  <c r="H119" i="1"/>
  <c r="D120" i="1"/>
  <c r="E120" i="1"/>
  <c r="F120" i="1"/>
  <c r="G120" i="1"/>
  <c r="H120" i="1"/>
  <c r="D121" i="1"/>
  <c r="E121" i="1"/>
  <c r="F121" i="1"/>
  <c r="G121" i="1"/>
  <c r="H121" i="1"/>
  <c r="D122" i="1"/>
  <c r="E122" i="1"/>
  <c r="F122" i="1"/>
  <c r="G122" i="1"/>
  <c r="H122" i="1"/>
  <c r="D123" i="1"/>
  <c r="E123" i="1"/>
  <c r="F123" i="1"/>
  <c r="G123" i="1"/>
  <c r="H123" i="1"/>
  <c r="D124" i="1"/>
  <c r="E124" i="1"/>
  <c r="F124" i="1"/>
  <c r="G124" i="1"/>
  <c r="H124" i="1"/>
  <c r="D125" i="1"/>
  <c r="E125" i="1"/>
  <c r="F125" i="1"/>
  <c r="G125" i="1"/>
  <c r="H125" i="1"/>
  <c r="D126" i="1"/>
  <c r="E126" i="1"/>
  <c r="F126" i="1"/>
  <c r="G126" i="1"/>
  <c r="H126" i="1"/>
  <c r="D127" i="1"/>
  <c r="E127" i="1"/>
  <c r="F127" i="1"/>
  <c r="G127" i="1"/>
  <c r="H127" i="1"/>
  <c r="D128" i="1"/>
  <c r="E128" i="1"/>
  <c r="F128" i="1"/>
  <c r="G128" i="1"/>
  <c r="H128" i="1"/>
  <c r="D129" i="1"/>
  <c r="E129" i="1"/>
  <c r="F129" i="1"/>
  <c r="G129" i="1"/>
  <c r="H129" i="1"/>
  <c r="D130" i="1"/>
  <c r="E130" i="1"/>
  <c r="F130" i="1"/>
  <c r="G130" i="1"/>
  <c r="H130" i="1"/>
  <c r="D131" i="1"/>
  <c r="E131" i="1"/>
  <c r="F131" i="1"/>
  <c r="G131" i="1"/>
  <c r="H131" i="1"/>
  <c r="D132" i="1"/>
  <c r="E132" i="1"/>
  <c r="F132" i="1"/>
  <c r="G132" i="1"/>
  <c r="H132" i="1"/>
  <c r="D133" i="1"/>
  <c r="E133" i="1"/>
  <c r="F133" i="1"/>
  <c r="G133" i="1"/>
  <c r="H133" i="1"/>
  <c r="D134" i="1"/>
  <c r="E134" i="1"/>
  <c r="F134" i="1"/>
  <c r="G134" i="1"/>
  <c r="H134" i="1"/>
  <c r="D135" i="1"/>
  <c r="E135" i="1"/>
  <c r="F135" i="1"/>
  <c r="G135" i="1"/>
  <c r="H135" i="1"/>
  <c r="D136" i="1"/>
  <c r="E136" i="1"/>
  <c r="F136" i="1"/>
  <c r="G136" i="1"/>
  <c r="H136" i="1"/>
  <c r="D137" i="1"/>
  <c r="E137" i="1"/>
  <c r="F137" i="1"/>
  <c r="G137" i="1"/>
  <c r="H137" i="1"/>
  <c r="D138" i="1"/>
  <c r="E138" i="1"/>
  <c r="F138" i="1"/>
  <c r="G138" i="1"/>
  <c r="H138" i="1"/>
  <c r="D139" i="1"/>
  <c r="E139" i="1"/>
  <c r="F139" i="1"/>
  <c r="G139" i="1"/>
  <c r="H139" i="1"/>
  <c r="D140" i="1"/>
  <c r="E140" i="1"/>
  <c r="F140" i="1"/>
  <c r="G140" i="1"/>
  <c r="H140" i="1"/>
  <c r="D141" i="1"/>
  <c r="E141" i="1"/>
  <c r="F141" i="1"/>
  <c r="G141" i="1"/>
  <c r="H141" i="1"/>
  <c r="D142" i="1"/>
  <c r="E142" i="1"/>
  <c r="F142" i="1"/>
  <c r="G142" i="1"/>
  <c r="H142" i="1"/>
  <c r="D143" i="1"/>
  <c r="E143" i="1"/>
  <c r="F143" i="1"/>
  <c r="G143" i="1"/>
  <c r="H143" i="1"/>
  <c r="D144" i="1"/>
  <c r="E144" i="1"/>
  <c r="F144" i="1"/>
  <c r="G144" i="1"/>
  <c r="H144" i="1"/>
  <c r="D145" i="1"/>
  <c r="E145" i="1"/>
  <c r="F145" i="1"/>
  <c r="G145" i="1"/>
  <c r="H145" i="1"/>
  <c r="D146" i="1"/>
  <c r="E146" i="1"/>
  <c r="F146" i="1"/>
  <c r="G146" i="1"/>
  <c r="H146" i="1"/>
  <c r="D147" i="1"/>
  <c r="E147" i="1"/>
  <c r="F147" i="1"/>
  <c r="G147" i="1"/>
  <c r="H147" i="1"/>
  <c r="D148" i="1"/>
  <c r="E148" i="1"/>
  <c r="F148" i="1"/>
  <c r="G148" i="1"/>
  <c r="H148" i="1"/>
  <c r="D149" i="1"/>
  <c r="E149" i="1"/>
  <c r="F149" i="1"/>
  <c r="G149" i="1"/>
  <c r="H149" i="1"/>
  <c r="D150" i="1"/>
  <c r="E150" i="1"/>
  <c r="F150" i="1"/>
  <c r="G150" i="1"/>
  <c r="H150" i="1"/>
  <c r="D151" i="1"/>
  <c r="E151" i="1"/>
  <c r="F151" i="1"/>
  <c r="G151" i="1"/>
  <c r="H151" i="1"/>
  <c r="D152" i="1"/>
  <c r="E152" i="1"/>
  <c r="F152" i="1"/>
  <c r="G152" i="1"/>
  <c r="H152" i="1"/>
  <c r="D153" i="1"/>
  <c r="E153" i="1"/>
  <c r="F153" i="1"/>
  <c r="G153" i="1"/>
  <c r="H153" i="1"/>
  <c r="D154" i="1"/>
  <c r="E154" i="1"/>
  <c r="F154" i="1"/>
  <c r="G154" i="1"/>
  <c r="H154" i="1"/>
  <c r="D155" i="1"/>
  <c r="E155" i="1"/>
  <c r="F155" i="1"/>
  <c r="G155" i="1"/>
  <c r="H155" i="1"/>
  <c r="D156" i="1"/>
  <c r="E156" i="1"/>
  <c r="F156" i="1"/>
  <c r="G156" i="1"/>
  <c r="H156" i="1"/>
  <c r="D157" i="1"/>
  <c r="E157" i="1"/>
  <c r="F157" i="1"/>
  <c r="G157" i="1"/>
  <c r="H157" i="1"/>
  <c r="D158" i="1"/>
  <c r="E158" i="1"/>
  <c r="F158" i="1"/>
  <c r="G158" i="1"/>
  <c r="H158" i="1"/>
  <c r="D159" i="1"/>
  <c r="E159" i="1"/>
  <c r="F159" i="1"/>
  <c r="G159" i="1"/>
  <c r="H159" i="1"/>
  <c r="D160" i="1"/>
  <c r="E160" i="1"/>
  <c r="F160" i="1"/>
  <c r="G160" i="1"/>
  <c r="H160" i="1"/>
  <c r="D161" i="1"/>
  <c r="E161" i="1"/>
  <c r="F161" i="1"/>
  <c r="G161" i="1"/>
  <c r="H161" i="1"/>
  <c r="D162" i="1"/>
  <c r="E162" i="1"/>
  <c r="F162" i="1"/>
  <c r="G162" i="1"/>
  <c r="H162" i="1"/>
  <c r="D163" i="1"/>
  <c r="E163" i="1"/>
  <c r="F163" i="1"/>
  <c r="G163" i="1"/>
  <c r="H163" i="1"/>
  <c r="D164" i="1"/>
  <c r="E164" i="1"/>
  <c r="F164" i="1"/>
  <c r="G164" i="1"/>
  <c r="H164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H167" i="1"/>
  <c r="D168" i="1"/>
  <c r="E168" i="1"/>
  <c r="F168" i="1"/>
  <c r="G168" i="1"/>
  <c r="H168" i="1"/>
  <c r="D169" i="1"/>
  <c r="E169" i="1"/>
  <c r="F169" i="1"/>
  <c r="G169" i="1"/>
  <c r="H169" i="1"/>
  <c r="D170" i="1"/>
  <c r="E170" i="1"/>
  <c r="F170" i="1"/>
  <c r="G170" i="1"/>
  <c r="H170" i="1"/>
  <c r="D171" i="1"/>
  <c r="E171" i="1"/>
  <c r="F171" i="1"/>
  <c r="G171" i="1"/>
  <c r="H171" i="1"/>
  <c r="D172" i="1"/>
  <c r="E172" i="1"/>
  <c r="F172" i="1"/>
  <c r="G172" i="1"/>
  <c r="H172" i="1"/>
  <c r="D173" i="1"/>
  <c r="E173" i="1"/>
  <c r="F173" i="1"/>
  <c r="G173" i="1"/>
  <c r="H173" i="1"/>
  <c r="D174" i="1"/>
  <c r="E174" i="1"/>
  <c r="F174" i="1"/>
  <c r="G174" i="1"/>
  <c r="H174" i="1"/>
  <c r="D175" i="1"/>
  <c r="E175" i="1"/>
  <c r="F175" i="1"/>
  <c r="G175" i="1"/>
  <c r="H175" i="1"/>
  <c r="D176" i="1"/>
  <c r="E176" i="1"/>
  <c r="F176" i="1"/>
  <c r="G176" i="1"/>
  <c r="H176" i="1"/>
  <c r="D177" i="1"/>
  <c r="E177" i="1"/>
  <c r="F177" i="1"/>
  <c r="G177" i="1"/>
  <c r="H177" i="1"/>
  <c r="D178" i="1"/>
  <c r="E178" i="1"/>
  <c r="F178" i="1"/>
  <c r="G178" i="1"/>
  <c r="H178" i="1"/>
  <c r="D179" i="1"/>
  <c r="E179" i="1"/>
  <c r="F179" i="1"/>
  <c r="G179" i="1"/>
  <c r="H179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86" i="1"/>
  <c r="E186" i="1"/>
  <c r="F186" i="1"/>
  <c r="G186" i="1"/>
  <c r="H186" i="1"/>
  <c r="D187" i="1"/>
  <c r="E187" i="1"/>
  <c r="F187" i="1"/>
  <c r="G187" i="1"/>
  <c r="H187" i="1"/>
  <c r="D188" i="1"/>
  <c r="E188" i="1"/>
  <c r="F188" i="1"/>
  <c r="G188" i="1"/>
  <c r="H188" i="1"/>
  <c r="D189" i="1"/>
  <c r="E189" i="1"/>
  <c r="F189" i="1"/>
  <c r="G189" i="1"/>
  <c r="H189" i="1"/>
  <c r="D190" i="1"/>
  <c r="E190" i="1"/>
  <c r="F190" i="1"/>
  <c r="G190" i="1"/>
  <c r="H190" i="1"/>
  <c r="D191" i="1"/>
  <c r="E191" i="1"/>
  <c r="F191" i="1"/>
  <c r="G191" i="1"/>
  <c r="H191" i="1"/>
  <c r="D192" i="1"/>
  <c r="E192" i="1"/>
  <c r="F192" i="1"/>
  <c r="G192" i="1"/>
  <c r="H192" i="1"/>
  <c r="D193" i="1"/>
  <c r="E193" i="1"/>
  <c r="F193" i="1"/>
  <c r="G193" i="1"/>
  <c r="H193" i="1"/>
  <c r="D194" i="1"/>
  <c r="E194" i="1"/>
  <c r="F194" i="1"/>
  <c r="G194" i="1"/>
  <c r="H194" i="1"/>
  <c r="D195" i="1"/>
  <c r="E195" i="1"/>
  <c r="F195" i="1"/>
  <c r="G195" i="1"/>
  <c r="H195" i="1"/>
  <c r="D196" i="1"/>
  <c r="E196" i="1"/>
  <c r="F196" i="1"/>
  <c r="G196" i="1"/>
  <c r="H196" i="1"/>
  <c r="D197" i="1"/>
  <c r="E197" i="1"/>
  <c r="F197" i="1"/>
  <c r="G197" i="1"/>
  <c r="H197" i="1"/>
  <c r="D198" i="1"/>
  <c r="E198" i="1"/>
  <c r="F198" i="1"/>
  <c r="G198" i="1"/>
  <c r="H198" i="1"/>
  <c r="D199" i="1"/>
  <c r="E199" i="1"/>
  <c r="F199" i="1"/>
  <c r="G199" i="1"/>
  <c r="H199" i="1"/>
  <c r="D200" i="1"/>
  <c r="E200" i="1"/>
  <c r="F200" i="1"/>
  <c r="G200" i="1"/>
  <c r="H200" i="1"/>
  <c r="D201" i="1"/>
  <c r="E201" i="1"/>
  <c r="F201" i="1"/>
  <c r="G201" i="1"/>
  <c r="H201" i="1"/>
  <c r="D202" i="1"/>
  <c r="E202" i="1"/>
  <c r="F202" i="1"/>
  <c r="G202" i="1"/>
  <c r="H202" i="1"/>
  <c r="D203" i="1"/>
  <c r="E203" i="1"/>
  <c r="F203" i="1"/>
  <c r="G203" i="1"/>
  <c r="H203" i="1"/>
  <c r="D204" i="1"/>
  <c r="E204" i="1"/>
  <c r="F204" i="1"/>
  <c r="G204" i="1"/>
  <c r="H204" i="1"/>
  <c r="D205" i="1"/>
  <c r="E205" i="1"/>
  <c r="F205" i="1"/>
  <c r="G205" i="1"/>
  <c r="H205" i="1"/>
  <c r="D206" i="1"/>
  <c r="E206" i="1"/>
  <c r="F206" i="1"/>
  <c r="G206" i="1"/>
  <c r="H206" i="1"/>
  <c r="D207" i="1"/>
  <c r="E207" i="1"/>
  <c r="F207" i="1"/>
  <c r="G207" i="1"/>
  <c r="H207" i="1"/>
  <c r="D208" i="1"/>
  <c r="E208" i="1"/>
  <c r="F208" i="1"/>
  <c r="G208" i="1"/>
  <c r="H208" i="1"/>
  <c r="D209" i="1"/>
  <c r="E209" i="1"/>
  <c r="F209" i="1"/>
  <c r="G209" i="1"/>
  <c r="H209" i="1"/>
  <c r="D210" i="1"/>
  <c r="E210" i="1"/>
  <c r="F210" i="1"/>
  <c r="G210" i="1"/>
  <c r="H210" i="1"/>
  <c r="D211" i="1"/>
  <c r="E211" i="1"/>
  <c r="F211" i="1"/>
  <c r="G211" i="1"/>
  <c r="H211" i="1"/>
  <c r="D212" i="1"/>
  <c r="E212" i="1"/>
  <c r="F212" i="1"/>
  <c r="G212" i="1"/>
  <c r="H212" i="1"/>
  <c r="D213" i="1"/>
  <c r="E213" i="1"/>
  <c r="F213" i="1"/>
  <c r="G213" i="1"/>
  <c r="H213" i="1"/>
  <c r="D214" i="1"/>
  <c r="E214" i="1"/>
  <c r="F214" i="1"/>
  <c r="G214" i="1"/>
  <c r="H214" i="1"/>
  <c r="D215" i="1"/>
  <c r="E215" i="1"/>
  <c r="F215" i="1"/>
  <c r="G215" i="1"/>
  <c r="H215" i="1"/>
  <c r="D216" i="1"/>
  <c r="E216" i="1"/>
  <c r="F216" i="1"/>
  <c r="G216" i="1"/>
  <c r="H216" i="1"/>
  <c r="D217" i="1"/>
  <c r="E217" i="1"/>
  <c r="F217" i="1"/>
  <c r="G217" i="1"/>
  <c r="H217" i="1"/>
  <c r="D218" i="1"/>
  <c r="E218" i="1"/>
  <c r="F218" i="1"/>
  <c r="G218" i="1"/>
  <c r="H218" i="1"/>
  <c r="D219" i="1"/>
  <c r="E219" i="1"/>
  <c r="F219" i="1"/>
  <c r="G219" i="1"/>
  <c r="H219" i="1"/>
  <c r="D220" i="1"/>
  <c r="E220" i="1"/>
  <c r="F220" i="1"/>
  <c r="G220" i="1"/>
  <c r="H220" i="1"/>
  <c r="D221" i="1"/>
  <c r="E221" i="1"/>
  <c r="F221" i="1"/>
  <c r="G221" i="1"/>
  <c r="H221" i="1"/>
  <c r="D222" i="1"/>
  <c r="E222" i="1"/>
  <c r="F222" i="1"/>
  <c r="G222" i="1"/>
  <c r="H222" i="1"/>
  <c r="D223" i="1"/>
  <c r="E223" i="1"/>
  <c r="F223" i="1"/>
  <c r="G223" i="1"/>
  <c r="H223" i="1"/>
  <c r="D224" i="1"/>
  <c r="E224" i="1"/>
  <c r="F224" i="1"/>
  <c r="G224" i="1"/>
  <c r="H224" i="1"/>
  <c r="D225" i="1"/>
  <c r="E225" i="1"/>
  <c r="F225" i="1"/>
  <c r="G225" i="1"/>
  <c r="H225" i="1"/>
  <c r="D226" i="1"/>
  <c r="E226" i="1"/>
  <c r="F226" i="1"/>
  <c r="G226" i="1"/>
  <c r="H226" i="1"/>
  <c r="D227" i="1"/>
  <c r="E227" i="1"/>
  <c r="F227" i="1"/>
  <c r="G227" i="1"/>
  <c r="H227" i="1"/>
  <c r="D228" i="1"/>
  <c r="E228" i="1"/>
  <c r="F228" i="1"/>
  <c r="G228" i="1"/>
  <c r="H228" i="1"/>
  <c r="D229" i="1"/>
  <c r="E229" i="1"/>
  <c r="F229" i="1"/>
  <c r="G229" i="1"/>
  <c r="H229" i="1"/>
  <c r="D230" i="1"/>
  <c r="E230" i="1"/>
  <c r="F230" i="1"/>
  <c r="G230" i="1"/>
  <c r="H230" i="1"/>
  <c r="D231" i="1"/>
  <c r="E231" i="1"/>
  <c r="F231" i="1"/>
  <c r="G231" i="1"/>
  <c r="H231" i="1"/>
  <c r="D232" i="1"/>
  <c r="E232" i="1"/>
  <c r="F232" i="1"/>
  <c r="G232" i="1"/>
  <c r="H232" i="1"/>
  <c r="D233" i="1"/>
  <c r="E233" i="1"/>
  <c r="F233" i="1"/>
  <c r="G233" i="1"/>
  <c r="H233" i="1"/>
  <c r="D234" i="1"/>
  <c r="E234" i="1"/>
  <c r="F234" i="1"/>
  <c r="G234" i="1"/>
  <c r="H234" i="1"/>
  <c r="D235" i="1"/>
  <c r="E235" i="1"/>
  <c r="F235" i="1"/>
  <c r="G235" i="1"/>
  <c r="H235" i="1"/>
  <c r="D236" i="1"/>
  <c r="E236" i="1"/>
  <c r="F236" i="1"/>
  <c r="G236" i="1"/>
  <c r="H236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40" i="1"/>
  <c r="E240" i="1"/>
  <c r="F240" i="1"/>
  <c r="G240" i="1"/>
  <c r="H240" i="1"/>
  <c r="D241" i="1"/>
  <c r="E241" i="1"/>
  <c r="F241" i="1"/>
  <c r="G241" i="1"/>
  <c r="H241" i="1"/>
  <c r="D242" i="1"/>
  <c r="E242" i="1"/>
  <c r="F242" i="1"/>
  <c r="G242" i="1"/>
  <c r="H242" i="1"/>
  <c r="D243" i="1"/>
  <c r="E243" i="1"/>
  <c r="F243" i="1"/>
  <c r="G243" i="1"/>
  <c r="H243" i="1"/>
  <c r="D244" i="1"/>
  <c r="E244" i="1"/>
  <c r="F244" i="1"/>
  <c r="G244" i="1"/>
  <c r="H244" i="1"/>
  <c r="D245" i="1"/>
  <c r="E245" i="1"/>
  <c r="F245" i="1"/>
  <c r="G245" i="1"/>
  <c r="H245" i="1"/>
  <c r="D246" i="1"/>
  <c r="E246" i="1"/>
  <c r="F246" i="1"/>
  <c r="G246" i="1"/>
  <c r="H246" i="1"/>
  <c r="D247" i="1"/>
  <c r="E247" i="1"/>
  <c r="F247" i="1"/>
  <c r="G247" i="1"/>
  <c r="H247" i="1"/>
  <c r="D248" i="1"/>
  <c r="E248" i="1"/>
  <c r="F248" i="1"/>
  <c r="G248" i="1"/>
  <c r="H248" i="1"/>
  <c r="D249" i="1"/>
  <c r="E249" i="1"/>
  <c r="F249" i="1"/>
  <c r="G249" i="1"/>
  <c r="H249" i="1"/>
  <c r="D250" i="1"/>
  <c r="E250" i="1"/>
  <c r="F250" i="1"/>
  <c r="G250" i="1"/>
  <c r="H250" i="1"/>
  <c r="D251" i="1"/>
  <c r="E251" i="1"/>
  <c r="F251" i="1"/>
  <c r="G251" i="1"/>
  <c r="H251" i="1"/>
  <c r="D252" i="1"/>
  <c r="E252" i="1"/>
  <c r="F252" i="1"/>
  <c r="G252" i="1"/>
  <c r="H252" i="1"/>
  <c r="D253" i="1"/>
  <c r="E253" i="1"/>
  <c r="F253" i="1"/>
  <c r="G253" i="1"/>
  <c r="H253" i="1"/>
  <c r="D254" i="1"/>
  <c r="E254" i="1"/>
  <c r="F254" i="1"/>
  <c r="G254" i="1"/>
  <c r="H254" i="1"/>
  <c r="D255" i="1"/>
  <c r="E255" i="1"/>
  <c r="F255" i="1"/>
  <c r="G255" i="1"/>
  <c r="H255" i="1"/>
  <c r="D256" i="1"/>
  <c r="E256" i="1"/>
  <c r="F256" i="1"/>
  <c r="G256" i="1"/>
  <c r="H256" i="1"/>
  <c r="D257" i="1"/>
  <c r="E257" i="1"/>
  <c r="F257" i="1"/>
  <c r="G257" i="1"/>
  <c r="H257" i="1"/>
  <c r="D258" i="1"/>
  <c r="E258" i="1"/>
  <c r="F258" i="1"/>
  <c r="G258" i="1"/>
  <c r="H258" i="1"/>
  <c r="D259" i="1"/>
  <c r="E259" i="1"/>
  <c r="F259" i="1"/>
  <c r="G259" i="1"/>
  <c r="H259" i="1"/>
  <c r="D260" i="1"/>
  <c r="E260" i="1"/>
  <c r="F260" i="1"/>
  <c r="G260" i="1"/>
  <c r="H260" i="1"/>
  <c r="D261" i="1"/>
  <c r="E261" i="1"/>
  <c r="F261" i="1"/>
  <c r="G261" i="1"/>
  <c r="H261" i="1"/>
  <c r="D262" i="1"/>
  <c r="E262" i="1"/>
  <c r="F262" i="1"/>
  <c r="G262" i="1"/>
  <c r="H262" i="1"/>
  <c r="D263" i="1"/>
  <c r="E263" i="1"/>
  <c r="F263" i="1"/>
  <c r="G263" i="1"/>
  <c r="H263" i="1"/>
  <c r="D264" i="1"/>
  <c r="E264" i="1"/>
  <c r="F264" i="1"/>
  <c r="G264" i="1"/>
  <c r="H264" i="1"/>
  <c r="D265" i="1"/>
  <c r="E265" i="1"/>
  <c r="F265" i="1"/>
  <c r="G265" i="1"/>
  <c r="H265" i="1"/>
  <c r="D266" i="1"/>
  <c r="E266" i="1"/>
  <c r="F266" i="1"/>
  <c r="G266" i="1"/>
  <c r="H266" i="1"/>
  <c r="D267" i="1"/>
  <c r="E267" i="1"/>
  <c r="F267" i="1"/>
  <c r="G267" i="1"/>
  <c r="H267" i="1"/>
  <c r="D268" i="1"/>
  <c r="E268" i="1"/>
  <c r="F268" i="1"/>
  <c r="G268" i="1"/>
  <c r="H268" i="1"/>
  <c r="D269" i="1"/>
  <c r="E269" i="1"/>
  <c r="F269" i="1"/>
  <c r="G269" i="1"/>
  <c r="H269" i="1"/>
  <c r="D270" i="1"/>
  <c r="E270" i="1"/>
  <c r="F270" i="1"/>
  <c r="G270" i="1"/>
  <c r="H270" i="1"/>
  <c r="D271" i="1"/>
  <c r="E271" i="1"/>
  <c r="F271" i="1"/>
  <c r="G271" i="1"/>
  <c r="H271" i="1"/>
  <c r="D272" i="1"/>
  <c r="E272" i="1"/>
  <c r="F272" i="1"/>
  <c r="G272" i="1"/>
  <c r="H272" i="1"/>
  <c r="D273" i="1"/>
  <c r="E273" i="1"/>
  <c r="F273" i="1"/>
  <c r="G273" i="1"/>
  <c r="H273" i="1"/>
  <c r="D274" i="1"/>
  <c r="E274" i="1"/>
  <c r="F274" i="1"/>
  <c r="G274" i="1"/>
  <c r="H274" i="1"/>
  <c r="D275" i="1"/>
  <c r="E275" i="1"/>
  <c r="F275" i="1"/>
  <c r="G275" i="1"/>
  <c r="H275" i="1"/>
  <c r="D276" i="1"/>
  <c r="E276" i="1"/>
  <c r="F276" i="1"/>
  <c r="G276" i="1"/>
  <c r="H276" i="1"/>
  <c r="D277" i="1"/>
  <c r="E277" i="1"/>
  <c r="F277" i="1"/>
  <c r="G277" i="1"/>
  <c r="H277" i="1"/>
  <c r="D278" i="1"/>
  <c r="E278" i="1"/>
  <c r="F278" i="1"/>
  <c r="G278" i="1"/>
  <c r="H278" i="1"/>
  <c r="D279" i="1"/>
  <c r="E279" i="1"/>
  <c r="F279" i="1"/>
  <c r="G279" i="1"/>
  <c r="H279" i="1"/>
  <c r="D280" i="1"/>
  <c r="E280" i="1"/>
  <c r="F280" i="1"/>
  <c r="G280" i="1"/>
  <c r="H280" i="1"/>
  <c r="D281" i="1"/>
  <c r="E281" i="1"/>
  <c r="F281" i="1"/>
  <c r="G281" i="1"/>
  <c r="H281" i="1"/>
  <c r="D282" i="1"/>
  <c r="E282" i="1"/>
  <c r="F282" i="1"/>
  <c r="G282" i="1"/>
  <c r="H282" i="1"/>
  <c r="D283" i="1"/>
  <c r="E283" i="1"/>
  <c r="F283" i="1"/>
  <c r="G283" i="1"/>
  <c r="H283" i="1"/>
  <c r="D284" i="1"/>
  <c r="E284" i="1"/>
  <c r="F284" i="1"/>
  <c r="G284" i="1"/>
  <c r="H284" i="1"/>
  <c r="D285" i="1"/>
  <c r="E285" i="1"/>
  <c r="F285" i="1"/>
  <c r="G285" i="1"/>
  <c r="H285" i="1"/>
  <c r="D286" i="1"/>
  <c r="E286" i="1"/>
  <c r="F286" i="1"/>
  <c r="G286" i="1"/>
  <c r="H286" i="1"/>
  <c r="D287" i="1"/>
  <c r="E287" i="1"/>
  <c r="F287" i="1"/>
  <c r="G287" i="1"/>
  <c r="H287" i="1"/>
  <c r="D288" i="1"/>
  <c r="E288" i="1"/>
  <c r="F288" i="1"/>
  <c r="G288" i="1"/>
  <c r="H288" i="1"/>
  <c r="D289" i="1"/>
  <c r="E289" i="1"/>
  <c r="F289" i="1"/>
  <c r="G289" i="1"/>
  <c r="H289" i="1"/>
  <c r="D290" i="1"/>
  <c r="E290" i="1"/>
  <c r="F290" i="1"/>
  <c r="G290" i="1"/>
  <c r="H290" i="1"/>
  <c r="D291" i="1"/>
  <c r="E291" i="1"/>
  <c r="F291" i="1"/>
  <c r="G291" i="1"/>
  <c r="H291" i="1"/>
  <c r="D292" i="1"/>
  <c r="E292" i="1"/>
  <c r="F292" i="1"/>
  <c r="G292" i="1"/>
  <c r="H292" i="1"/>
  <c r="D293" i="1"/>
  <c r="E293" i="1"/>
  <c r="F293" i="1"/>
  <c r="G293" i="1"/>
  <c r="H293" i="1"/>
  <c r="D294" i="1"/>
  <c r="E294" i="1"/>
  <c r="F294" i="1"/>
  <c r="G294" i="1"/>
  <c r="H294" i="1"/>
  <c r="D295" i="1"/>
  <c r="E295" i="1"/>
  <c r="F295" i="1"/>
  <c r="G295" i="1"/>
  <c r="H295" i="1"/>
  <c r="D296" i="1"/>
  <c r="E296" i="1"/>
  <c r="F296" i="1"/>
  <c r="G296" i="1"/>
  <c r="H296" i="1"/>
  <c r="D297" i="1"/>
  <c r="E297" i="1"/>
  <c r="F297" i="1"/>
  <c r="G297" i="1"/>
  <c r="H297" i="1"/>
  <c r="D298" i="1"/>
  <c r="E298" i="1"/>
  <c r="F298" i="1"/>
  <c r="G298" i="1"/>
  <c r="H298" i="1"/>
  <c r="D299" i="1"/>
  <c r="E299" i="1"/>
  <c r="F299" i="1"/>
  <c r="G299" i="1"/>
  <c r="H299" i="1"/>
  <c r="D300" i="1"/>
  <c r="E300" i="1"/>
  <c r="F300" i="1"/>
  <c r="G300" i="1"/>
  <c r="H300" i="1"/>
  <c r="D301" i="1"/>
  <c r="E301" i="1"/>
  <c r="F301" i="1"/>
  <c r="G301" i="1"/>
  <c r="H301" i="1"/>
  <c r="D302" i="1"/>
  <c r="E302" i="1"/>
  <c r="F302" i="1"/>
  <c r="G302" i="1"/>
  <c r="H302" i="1"/>
  <c r="D303" i="1"/>
  <c r="E303" i="1"/>
  <c r="F303" i="1"/>
  <c r="G303" i="1"/>
  <c r="H303" i="1"/>
  <c r="D304" i="1"/>
  <c r="E304" i="1"/>
  <c r="F304" i="1"/>
  <c r="G304" i="1"/>
  <c r="H304" i="1"/>
  <c r="D305" i="1"/>
  <c r="E305" i="1"/>
  <c r="F305" i="1"/>
  <c r="G305" i="1"/>
  <c r="H305" i="1"/>
  <c r="D306" i="1"/>
  <c r="E306" i="1"/>
  <c r="F306" i="1"/>
  <c r="G306" i="1"/>
  <c r="H306" i="1"/>
  <c r="D307" i="1"/>
  <c r="E307" i="1"/>
  <c r="F307" i="1"/>
  <c r="G307" i="1"/>
  <c r="H307" i="1"/>
  <c r="D308" i="1"/>
  <c r="E308" i="1"/>
  <c r="F308" i="1"/>
  <c r="G308" i="1"/>
  <c r="H308" i="1"/>
  <c r="D309" i="1"/>
  <c r="E309" i="1"/>
  <c r="F309" i="1"/>
  <c r="G309" i="1"/>
  <c r="H309" i="1"/>
  <c r="D310" i="1"/>
  <c r="E310" i="1"/>
  <c r="F310" i="1"/>
  <c r="G310" i="1"/>
  <c r="H310" i="1"/>
  <c r="D311" i="1"/>
  <c r="E311" i="1"/>
  <c r="F311" i="1"/>
  <c r="G311" i="1"/>
  <c r="H311" i="1"/>
  <c r="D312" i="1"/>
  <c r="E312" i="1"/>
  <c r="F312" i="1"/>
  <c r="G312" i="1"/>
  <c r="H312" i="1"/>
</calcChain>
</file>

<file path=xl/sharedStrings.xml><?xml version="1.0" encoding="utf-8"?>
<sst xmlns="http://schemas.openxmlformats.org/spreadsheetml/2006/main" count="23" uniqueCount="23">
  <si>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</si>
  <si>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</si>
  <si>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</si>
  <si>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</si>
  <si>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</si>
  <si>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</si>
  <si>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</si>
  <si>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</si>
  <si>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</si>
  <si>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Отчет об остатках на балансовых и внебалансовых счетах</t>
  </si>
  <si>
    <t>в тенге</t>
  </si>
  <si>
    <t xml:space="preserve">Наименование </t>
  </si>
  <si>
    <t>Адрес</t>
  </si>
  <si>
    <t>г.Алматы пр.Абылай хана ,91</t>
  </si>
  <si>
    <t>Телефон</t>
  </si>
  <si>
    <t>3309300 (00622)</t>
  </si>
  <si>
    <t xml:space="preserve">Адрес электронной почты </t>
  </si>
  <si>
    <t>kosaeva.m@hcsbk.kz</t>
  </si>
  <si>
    <t>Исполнитель  Спец.2кат.УРиФО ДСО _______________________М.Қосаева 3309300 (вн 00622)</t>
  </si>
  <si>
    <t>за «30» сентября  2022 год</t>
  </si>
  <si>
    <t>Руководитель или лицо, на которое возложена функция по подписанию отчета _________________________Е.Абдибеков , 3309300 (вн 00610)</t>
  </si>
  <si>
    <t>Дата « 06 » октября   2022 года</t>
  </si>
  <si>
    <t>АО "Жилищный строительный сберегательный банк "Отбасы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</si>
</sst>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9">
    <xf numFmtId="0" fontId="0" fillId="0" borderId="0" xfId="0"/>
    <xf numFmtId="0" fontId="18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2" fillId="0" borderId="0" xfId="42" applyFont="1" applyAlignment="1">
      <alignment vertical="center"/>
    </xf>
    <xf numFmtId="0" fontId="23" fillId="0" borderId="0" xfId="0" applyFont="1"/>
    <xf numFmtId="0" fontId="24" fillId="0" borderId="0" xfId="0" applyFont="1" applyAlignment="1">
      <alignment horizontal="center" vertical="center"/>
    </xf>
    <xf numFmtId="0" fontId="25" fillId="0" borderId="0" xfId="0" applyFont="1"/>
    <xf numFmtId="0" fontId="26" fillId="0" borderId="0" xfId="0" applyFont="1" applyAlignment="1">
      <alignment vertical="center"/>
    </xf>
    <xf numFmtId="0" fontId="23" fillId="0" borderId="10" xfId="0" applyFont="1" applyBorder="1" applyAlignment="1">
      <alignment wrapText="1"/>
    </xf>
    <xf numFmtId="0" fontId="23" fillId="0" borderId="10" xfId="0" applyFont="1" applyBorder="1"/>
    <xf numFmtId="14" fontId="23" fillId="0" borderId="10" xfId="0" applyNumberFormat="1" applyFont="1" applyBorder="1"/>
    <xf numFmtId="4" fontId="23" fillId="0" borderId="10" xfId="0" applyNumberFormat="1" applyFont="1" applyBorder="1"/>
    <xf numFmtId="0" fontId="2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saeva.m@hcsbk.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4"/>
  <sheetViews>
    <sheetView tabSelected="1" topLeftCell="A297" workbookViewId="0">
      <selection activeCell="I316" sqref="I316"/>
    </sheetView>
  </sheetViews>
  <sheetFormatPr defaultRowHeight="15" x14ac:dyDescent="0.25"/>
  <cols>
    <col min="1" max="1" width="9.28515625" bestFit="1" customWidth="1"/>
    <col min="2" max="2" width="11.5703125" customWidth="1"/>
    <col min="3" max="3" width="9.28515625" bestFit="1" customWidth="1"/>
    <col min="5" max="5" width="52" customWidth="1"/>
    <col min="9" max="9" width="26.28515625" bestFit="1" customWidth="1"/>
  </cols>
  <sheetData>
    <row r="1" spans="1:9" ht="15.75" x14ac:dyDescent="0.25">
      <c r="A1" s="6"/>
      <c r="B1" s="6"/>
      <c r="C1" s="6"/>
      <c r="D1" s="6"/>
      <c r="E1" s="7" t="s">
        <v>9</v>
      </c>
      <c r="F1" s="6"/>
      <c r="G1" s="6"/>
      <c r="H1" s="6"/>
      <c r="I1" s="6"/>
    </row>
    <row r="2" spans="1:9" ht="15.75" x14ac:dyDescent="0.25">
      <c r="A2" s="6"/>
      <c r="B2" s="6"/>
      <c r="C2" s="6"/>
      <c r="D2" s="6"/>
      <c r="E2" s="7" t="s">
        <v>19</v>
      </c>
      <c r="F2" s="6"/>
      <c r="G2" s="6"/>
      <c r="H2" s="6"/>
      <c r="I2" s="6"/>
    </row>
    <row r="3" spans="1:9" ht="15.75" x14ac:dyDescent="0.25">
      <c r="A3" s="6"/>
      <c r="B3" s="6"/>
      <c r="C3" s="6"/>
      <c r="D3" s="6"/>
      <c r="E3" s="6"/>
      <c r="F3" s="6"/>
      <c r="G3" s="6"/>
      <c r="H3" s="6"/>
      <c r="I3" s="6"/>
    </row>
    <row r="4" spans="1:9" ht="15.75" x14ac:dyDescent="0.25">
      <c r="A4" s="6"/>
      <c r="B4" s="6"/>
      <c r="C4" s="6"/>
      <c r="D4" s="6"/>
      <c r="E4" s="6"/>
      <c r="F4" s="6"/>
      <c r="G4" s="6"/>
      <c r="H4" s="6"/>
      <c r="I4" s="8" t="s">
        <v>10</v>
      </c>
    </row>
    <row r="5" spans="1:9" ht="63" x14ac:dyDescent="0.25">
      <c r="A5" s="10" t="s">
        <v>0</v>
      </c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</row>
    <row r="6" spans="1:9" ht="31.5" x14ac:dyDescent="0.25">
      <c r="A6" s="11">
        <v>1</v>
      </c>
      <c r="B6" s="12">
        <v>44834</v>
      </c>
      <c r="C6" s="11">
        <v>20</v>
      </c>
      <c r="D6" s="11" t="str">
        <f>"1259"</f>
        <v>1259</v>
      </c>
      <c r="E6" s="1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6" s="11" t="str">
        <f t="shared" ref="F6:F16" si="0">"1"</f>
        <v>1</v>
      </c>
      <c r="G6" s="11" t="str">
        <f>"4"</f>
        <v>4</v>
      </c>
      <c r="H6" s="11" t="str">
        <f>"1"</f>
        <v>1</v>
      </c>
      <c r="I6" s="13">
        <v>-17084445871</v>
      </c>
    </row>
    <row r="7" spans="1:9" ht="15.75" x14ac:dyDescent="0.25">
      <c r="A7" s="11">
        <v>2</v>
      </c>
      <c r="B7" s="12">
        <v>44834</v>
      </c>
      <c r="C7" s="11">
        <v>20</v>
      </c>
      <c r="D7" s="11" t="str">
        <f>"1052"</f>
        <v>1052</v>
      </c>
      <c r="E7" s="10" t="str">
        <f>"Корреспондентские счета в других банках"</f>
        <v>Корреспондентские счета в других банках</v>
      </c>
      <c r="F7" s="11" t="str">
        <f t="shared" si="0"/>
        <v>1</v>
      </c>
      <c r="G7" s="11" t="str">
        <f>"4"</f>
        <v>4</v>
      </c>
      <c r="H7" s="11" t="str">
        <f>"1"</f>
        <v>1</v>
      </c>
      <c r="I7" s="13">
        <v>400732.97</v>
      </c>
    </row>
    <row r="8" spans="1:9" ht="15.75" x14ac:dyDescent="0.25">
      <c r="A8" s="11">
        <v>3</v>
      </c>
      <c r="B8" s="12">
        <v>44834</v>
      </c>
      <c r="C8" s="11">
        <v>20</v>
      </c>
      <c r="D8" s="11" t="str">
        <f>"1052"</f>
        <v>1052</v>
      </c>
      <c r="E8" s="10" t="str">
        <f>"Корреспондентские счета в других банках"</f>
        <v>Корреспондентские счета в других банках</v>
      </c>
      <c r="F8" s="11" t="str">
        <f t="shared" si="0"/>
        <v>1</v>
      </c>
      <c r="G8" s="11" t="str">
        <f>"4"</f>
        <v>4</v>
      </c>
      <c r="H8" s="11" t="str">
        <f>"2"</f>
        <v>2</v>
      </c>
      <c r="I8" s="13">
        <v>153644359.88999999</v>
      </c>
    </row>
    <row r="9" spans="1:9" ht="15.75" x14ac:dyDescent="0.25">
      <c r="A9" s="11">
        <v>4</v>
      </c>
      <c r="B9" s="12">
        <v>44834</v>
      </c>
      <c r="C9" s="11">
        <v>20</v>
      </c>
      <c r="D9" s="11" t="str">
        <f>"1052"</f>
        <v>1052</v>
      </c>
      <c r="E9" s="10" t="str">
        <f>"Корреспондентские счета в других банках"</f>
        <v>Корреспондентские счета в других банках</v>
      </c>
      <c r="F9" s="11" t="str">
        <f t="shared" si="0"/>
        <v>1</v>
      </c>
      <c r="G9" s="11" t="str">
        <f>"4"</f>
        <v>4</v>
      </c>
      <c r="H9" s="11" t="str">
        <f>"3"</f>
        <v>3</v>
      </c>
      <c r="I9" s="13">
        <v>1579141.63</v>
      </c>
    </row>
    <row r="10" spans="1:9" ht="15.75" x14ac:dyDescent="0.25">
      <c r="A10" s="11">
        <v>5</v>
      </c>
      <c r="B10" s="12">
        <v>44834</v>
      </c>
      <c r="C10" s="11">
        <v>20</v>
      </c>
      <c r="D10" s="11" t="str">
        <f>"1053"</f>
        <v>1053</v>
      </c>
      <c r="E10" s="10" t="str">
        <f>"Текущие счета ипотечных организаций в банках"</f>
        <v>Текущие счета ипотечных организаций в банках</v>
      </c>
      <c r="F10" s="11" t="str">
        <f t="shared" si="0"/>
        <v>1</v>
      </c>
      <c r="G10" s="11" t="str">
        <f>"4"</f>
        <v>4</v>
      </c>
      <c r="H10" s="11" t="str">
        <f t="shared" ref="H10:H53" si="1">"1"</f>
        <v>1</v>
      </c>
      <c r="I10" s="13">
        <v>88868.88</v>
      </c>
    </row>
    <row r="11" spans="1:9" ht="47.25" x14ac:dyDescent="0.25">
      <c r="A11" s="11">
        <v>6</v>
      </c>
      <c r="B11" s="12">
        <v>44834</v>
      </c>
      <c r="C11" s="11">
        <v>20</v>
      </c>
      <c r="D11" s="11" t="str">
        <f>"1054"</f>
        <v>1054</v>
      </c>
      <c r="E11" s="10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1" s="11" t="str">
        <f t="shared" si="0"/>
        <v>1</v>
      </c>
      <c r="G11" s="11" t="str">
        <f>"3"</f>
        <v>3</v>
      </c>
      <c r="H11" s="11" t="str">
        <f t="shared" si="1"/>
        <v>1</v>
      </c>
      <c r="I11" s="13">
        <v>-2003185.05</v>
      </c>
    </row>
    <row r="12" spans="1:9" ht="47.25" x14ac:dyDescent="0.25">
      <c r="A12" s="11">
        <v>7</v>
      </c>
      <c r="B12" s="12">
        <v>44834</v>
      </c>
      <c r="C12" s="11">
        <v>20</v>
      </c>
      <c r="D12" s="11" t="str">
        <f>"1054"</f>
        <v>1054</v>
      </c>
      <c r="E12" s="10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2" s="11" t="str">
        <f t="shared" si="0"/>
        <v>1</v>
      </c>
      <c r="G12" s="11" t="str">
        <f>"4"</f>
        <v>4</v>
      </c>
      <c r="H12" s="11" t="str">
        <f t="shared" si="1"/>
        <v>1</v>
      </c>
      <c r="I12" s="13">
        <v>-2724.86</v>
      </c>
    </row>
    <row r="13" spans="1:9" ht="15.75" x14ac:dyDescent="0.25">
      <c r="A13" s="11">
        <v>8</v>
      </c>
      <c r="B13" s="12">
        <v>44834</v>
      </c>
      <c r="C13" s="11">
        <v>20</v>
      </c>
      <c r="D13" s="11" t="str">
        <f>"1002"</f>
        <v>1002</v>
      </c>
      <c r="E13" s="10" t="str">
        <f>"Банкноты и монеты в пути"</f>
        <v>Банкноты и монеты в пути</v>
      </c>
      <c r="F13" s="11" t="str">
        <f t="shared" si="0"/>
        <v>1</v>
      </c>
      <c r="G13" s="11" t="str">
        <f>"3"</f>
        <v>3</v>
      </c>
      <c r="H13" s="11" t="str">
        <f t="shared" si="1"/>
        <v>1</v>
      </c>
      <c r="I13" s="13">
        <v>661156678</v>
      </c>
    </row>
    <row r="14" spans="1:9" ht="31.5" x14ac:dyDescent="0.25">
      <c r="A14" s="11">
        <v>9</v>
      </c>
      <c r="B14" s="12">
        <v>44834</v>
      </c>
      <c r="C14" s="11">
        <v>20</v>
      </c>
      <c r="D14" s="11" t="str">
        <f>"1005"</f>
        <v>1005</v>
      </c>
      <c r="E14" s="10" t="str">
        <f>"Наличность в банкоматах и электронных терминалах"</f>
        <v>Наличность в банкоматах и электронных терминалах</v>
      </c>
      <c r="F14" s="11" t="str">
        <f t="shared" si="0"/>
        <v>1</v>
      </c>
      <c r="G14" s="11" t="str">
        <f>"3"</f>
        <v>3</v>
      </c>
      <c r="H14" s="11" t="str">
        <f t="shared" si="1"/>
        <v>1</v>
      </c>
      <c r="I14" s="13">
        <v>959028900</v>
      </c>
    </row>
    <row r="15" spans="1:9" ht="31.5" x14ac:dyDescent="0.25">
      <c r="A15" s="11">
        <v>10</v>
      </c>
      <c r="B15" s="12">
        <v>44834</v>
      </c>
      <c r="C15" s="11">
        <v>20</v>
      </c>
      <c r="D15" s="11" t="str">
        <f>"1265"</f>
        <v>1265</v>
      </c>
      <c r="E15" s="10" t="str">
        <f>"Дисконт по вкладам, размещенным в других банках"</f>
        <v>Дисконт по вкладам, размещенным в других банках</v>
      </c>
      <c r="F15" s="11" t="str">
        <f t="shared" si="0"/>
        <v>1</v>
      </c>
      <c r="G15" s="11" t="str">
        <f>"4"</f>
        <v>4</v>
      </c>
      <c r="H15" s="11" t="str">
        <f t="shared" si="1"/>
        <v>1</v>
      </c>
      <c r="I15" s="13">
        <v>-10158066821.549999</v>
      </c>
    </row>
    <row r="16" spans="1:9" ht="15.75" x14ac:dyDescent="0.25">
      <c r="A16" s="11">
        <v>11</v>
      </c>
      <c r="B16" s="12">
        <v>44834</v>
      </c>
      <c r="C16" s="11">
        <v>20</v>
      </c>
      <c r="D16" s="11" t="str">
        <f>"1417"</f>
        <v>1417</v>
      </c>
      <c r="E16" s="10" t="str">
        <f>"Долгосрочные займы, предоставленные клиентам"</f>
        <v>Долгосрочные займы, предоставленные клиентам</v>
      </c>
      <c r="F16" s="11" t="str">
        <f t="shared" si="0"/>
        <v>1</v>
      </c>
      <c r="G16" s="11" t="str">
        <f>"9"</f>
        <v>9</v>
      </c>
      <c r="H16" s="11" t="str">
        <f t="shared" si="1"/>
        <v>1</v>
      </c>
      <c r="I16" s="13">
        <v>2729856045450.9902</v>
      </c>
    </row>
    <row r="17" spans="1:9" ht="15.75" x14ac:dyDescent="0.25">
      <c r="A17" s="11">
        <v>12</v>
      </c>
      <c r="B17" s="12">
        <v>44834</v>
      </c>
      <c r="C17" s="11">
        <v>20</v>
      </c>
      <c r="D17" s="11" t="str">
        <f>"1417"</f>
        <v>1417</v>
      </c>
      <c r="E17" s="10" t="str">
        <f>"Долгосрочные займы, предоставленные клиентам"</f>
        <v>Долгосрочные займы, предоставленные клиентам</v>
      </c>
      <c r="F17" s="11" t="str">
        <f>"2"</f>
        <v>2</v>
      </c>
      <c r="G17" s="11" t="str">
        <f>"9"</f>
        <v>9</v>
      </c>
      <c r="H17" s="11" t="str">
        <f t="shared" si="1"/>
        <v>1</v>
      </c>
      <c r="I17" s="13">
        <v>29835729.02</v>
      </c>
    </row>
    <row r="18" spans="1:9" ht="63" x14ac:dyDescent="0.25">
      <c r="A18" s="11">
        <v>13</v>
      </c>
      <c r="B18" s="12">
        <v>44834</v>
      </c>
      <c r="C18" s="11">
        <v>20</v>
      </c>
      <c r="D18" s="11" t="str">
        <f t="shared" ref="D18:D24" si="2">"1457"</f>
        <v>1457</v>
      </c>
      <c r="E18" s="10" t="str">
        <f t="shared" ref="E18:E24" si="3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8" s="11" t="str">
        <f>"1"</f>
        <v>1</v>
      </c>
      <c r="G18" s="11" t="str">
        <f>"4"</f>
        <v>4</v>
      </c>
      <c r="H18" s="11" t="str">
        <f t="shared" si="1"/>
        <v>1</v>
      </c>
      <c r="I18" s="13">
        <v>-1382071676.9200001</v>
      </c>
    </row>
    <row r="19" spans="1:9" ht="63" x14ac:dyDescent="0.25">
      <c r="A19" s="11">
        <v>14</v>
      </c>
      <c r="B19" s="12">
        <v>44834</v>
      </c>
      <c r="C19" s="11">
        <v>20</v>
      </c>
      <c r="D19" s="11" t="str">
        <f t="shared" si="2"/>
        <v>1457</v>
      </c>
      <c r="E19" s="10" t="str">
        <f t="shared" si="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9" s="11" t="str">
        <f>"2"</f>
        <v>2</v>
      </c>
      <c r="G19" s="11" t="str">
        <f>"3"</f>
        <v>3</v>
      </c>
      <c r="H19" s="11" t="str">
        <f t="shared" si="1"/>
        <v>1</v>
      </c>
      <c r="I19" s="13">
        <v>-111095069.84999999</v>
      </c>
    </row>
    <row r="20" spans="1:9" ht="63" x14ac:dyDescent="0.25">
      <c r="A20" s="11">
        <v>15</v>
      </c>
      <c r="B20" s="12">
        <v>44834</v>
      </c>
      <c r="C20" s="11">
        <v>20</v>
      </c>
      <c r="D20" s="11" t="str">
        <f t="shared" si="2"/>
        <v>1457</v>
      </c>
      <c r="E20" s="10" t="str">
        <f t="shared" si="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" s="11" t="str">
        <f t="shared" ref="F20:F32" si="4">"1"</f>
        <v>1</v>
      </c>
      <c r="G20" s="11" t="str">
        <f>"2"</f>
        <v>2</v>
      </c>
      <c r="H20" s="11" t="str">
        <f t="shared" si="1"/>
        <v>1</v>
      </c>
      <c r="I20" s="13">
        <v>-178152712.43000001</v>
      </c>
    </row>
    <row r="21" spans="1:9" ht="63" x14ac:dyDescent="0.25">
      <c r="A21" s="11">
        <v>16</v>
      </c>
      <c r="B21" s="12">
        <v>44834</v>
      </c>
      <c r="C21" s="11">
        <v>20</v>
      </c>
      <c r="D21" s="11" t="str">
        <f t="shared" si="2"/>
        <v>1457</v>
      </c>
      <c r="E21" s="10" t="str">
        <f t="shared" si="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" s="11" t="str">
        <f t="shared" si="4"/>
        <v>1</v>
      </c>
      <c r="G21" s="11" t="str">
        <f>"1"</f>
        <v>1</v>
      </c>
      <c r="H21" s="11" t="str">
        <f t="shared" si="1"/>
        <v>1</v>
      </c>
      <c r="I21" s="13">
        <v>-2395368202.0799999</v>
      </c>
    </row>
    <row r="22" spans="1:9" ht="63" x14ac:dyDescent="0.25">
      <c r="A22" s="11">
        <v>17</v>
      </c>
      <c r="B22" s="12">
        <v>44834</v>
      </c>
      <c r="C22" s="11">
        <v>20</v>
      </c>
      <c r="D22" s="11" t="str">
        <f t="shared" si="2"/>
        <v>1457</v>
      </c>
      <c r="E22" s="10" t="str">
        <f t="shared" si="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" s="11" t="str">
        <f t="shared" si="4"/>
        <v>1</v>
      </c>
      <c r="G22" s="11" t="str">
        <f>"5"</f>
        <v>5</v>
      </c>
      <c r="H22" s="11" t="str">
        <f t="shared" si="1"/>
        <v>1</v>
      </c>
      <c r="I22" s="13">
        <v>-142110521.59999999</v>
      </c>
    </row>
    <row r="23" spans="1:9" ht="63" x14ac:dyDescent="0.25">
      <c r="A23" s="11">
        <v>18</v>
      </c>
      <c r="B23" s="12">
        <v>44834</v>
      </c>
      <c r="C23" s="11">
        <v>20</v>
      </c>
      <c r="D23" s="11" t="str">
        <f t="shared" si="2"/>
        <v>1457</v>
      </c>
      <c r="E23" s="10" t="str">
        <f t="shared" si="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3" s="11" t="str">
        <f t="shared" si="4"/>
        <v>1</v>
      </c>
      <c r="G23" s="11" t="str">
        <f>"7"</f>
        <v>7</v>
      </c>
      <c r="H23" s="11" t="str">
        <f t="shared" si="1"/>
        <v>1</v>
      </c>
      <c r="I23" s="13">
        <v>-67688761.069999993</v>
      </c>
    </row>
    <row r="24" spans="1:9" ht="63" x14ac:dyDescent="0.25">
      <c r="A24" s="11">
        <v>19</v>
      </c>
      <c r="B24" s="12">
        <v>44834</v>
      </c>
      <c r="C24" s="11">
        <v>20</v>
      </c>
      <c r="D24" s="11" t="str">
        <f t="shared" si="2"/>
        <v>1457</v>
      </c>
      <c r="E24" s="10" t="str">
        <f t="shared" si="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4" s="11" t="str">
        <f t="shared" si="4"/>
        <v>1</v>
      </c>
      <c r="G24" s="11" t="str">
        <f>"6"</f>
        <v>6</v>
      </c>
      <c r="H24" s="11" t="str">
        <f t="shared" si="1"/>
        <v>1</v>
      </c>
      <c r="I24" s="13">
        <v>-482304855.67000002</v>
      </c>
    </row>
    <row r="25" spans="1:9" ht="47.25" x14ac:dyDescent="0.25">
      <c r="A25" s="11">
        <v>20</v>
      </c>
      <c r="B25" s="12">
        <v>44834</v>
      </c>
      <c r="C25" s="11">
        <v>20</v>
      </c>
      <c r="D25" s="11" t="str">
        <f>"1454"</f>
        <v>1454</v>
      </c>
      <c r="E25" s="10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25" s="11" t="str">
        <f t="shared" si="4"/>
        <v>1</v>
      </c>
      <c r="G25" s="11" t="str">
        <f>"1"</f>
        <v>1</v>
      </c>
      <c r="H25" s="11" t="str">
        <f t="shared" si="1"/>
        <v>1</v>
      </c>
      <c r="I25" s="13">
        <v>10149203.4</v>
      </c>
    </row>
    <row r="26" spans="1:9" ht="15.75" x14ac:dyDescent="0.25">
      <c r="A26" s="11">
        <v>21</v>
      </c>
      <c r="B26" s="12">
        <v>44834</v>
      </c>
      <c r="C26" s="11">
        <v>20</v>
      </c>
      <c r="D26" s="11" t="str">
        <f>"1001"</f>
        <v>1001</v>
      </c>
      <c r="E26" s="10" t="str">
        <f>"Наличность в кассе"</f>
        <v>Наличность в кассе</v>
      </c>
      <c r="F26" s="11" t="str">
        <f t="shared" si="4"/>
        <v>1</v>
      </c>
      <c r="G26" s="11" t="str">
        <f>"3"</f>
        <v>3</v>
      </c>
      <c r="H26" s="11" t="str">
        <f t="shared" si="1"/>
        <v>1</v>
      </c>
      <c r="I26" s="13">
        <v>1528449165</v>
      </c>
    </row>
    <row r="27" spans="1:9" ht="31.5" x14ac:dyDescent="0.25">
      <c r="A27" s="11">
        <v>22</v>
      </c>
      <c r="B27" s="12">
        <v>44834</v>
      </c>
      <c r="C27" s="11">
        <v>20</v>
      </c>
      <c r="D27" s="11" t="str">
        <f>"1055"</f>
        <v>1055</v>
      </c>
      <c r="E27" s="10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27" s="11" t="str">
        <f t="shared" si="4"/>
        <v>1</v>
      </c>
      <c r="G27" s="11" t="str">
        <f>"3"</f>
        <v>3</v>
      </c>
      <c r="H27" s="11" t="str">
        <f t="shared" si="1"/>
        <v>1</v>
      </c>
      <c r="I27" s="13">
        <v>1466969678.2</v>
      </c>
    </row>
    <row r="28" spans="1:9" ht="31.5" x14ac:dyDescent="0.25">
      <c r="A28" s="11">
        <v>23</v>
      </c>
      <c r="B28" s="12">
        <v>44834</v>
      </c>
      <c r="C28" s="11">
        <v>20</v>
      </c>
      <c r="D28" s="11" t="str">
        <f>"1101"</f>
        <v>1101</v>
      </c>
      <c r="E28" s="10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28" s="11" t="str">
        <f t="shared" si="4"/>
        <v>1</v>
      </c>
      <c r="G28" s="11" t="str">
        <f>"3"</f>
        <v>3</v>
      </c>
      <c r="H28" s="11" t="str">
        <f t="shared" si="1"/>
        <v>1</v>
      </c>
      <c r="I28" s="13">
        <v>51999089386.860001</v>
      </c>
    </row>
    <row r="29" spans="1:9" ht="47.25" x14ac:dyDescent="0.25">
      <c r="A29" s="11">
        <v>24</v>
      </c>
      <c r="B29" s="12">
        <v>44834</v>
      </c>
      <c r="C29" s="11">
        <v>20</v>
      </c>
      <c r="D29" s="11" t="str">
        <f>"1267"</f>
        <v>1267</v>
      </c>
      <c r="E29" s="10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29" s="11" t="str">
        <f t="shared" si="4"/>
        <v>1</v>
      </c>
      <c r="G29" s="11" t="str">
        <f>"5"</f>
        <v>5</v>
      </c>
      <c r="H29" s="11" t="str">
        <f t="shared" si="1"/>
        <v>1</v>
      </c>
      <c r="I29" s="13">
        <v>28000000</v>
      </c>
    </row>
    <row r="30" spans="1:9" ht="31.5" x14ac:dyDescent="0.25">
      <c r="A30" s="11">
        <v>25</v>
      </c>
      <c r="B30" s="12">
        <v>44834</v>
      </c>
      <c r="C30" s="11">
        <v>20</v>
      </c>
      <c r="D30" s="11" t="str">
        <f>"1051"</f>
        <v>1051</v>
      </c>
      <c r="E30" s="10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30" s="11" t="str">
        <f t="shared" si="4"/>
        <v>1</v>
      </c>
      <c r="G30" s="11" t="str">
        <f>"3"</f>
        <v>3</v>
      </c>
      <c r="H30" s="11" t="str">
        <f t="shared" si="1"/>
        <v>1</v>
      </c>
      <c r="I30" s="13">
        <v>113000747692.34</v>
      </c>
    </row>
    <row r="31" spans="1:9" ht="31.5" x14ac:dyDescent="0.25">
      <c r="A31" s="11">
        <v>26</v>
      </c>
      <c r="B31" s="12">
        <v>44834</v>
      </c>
      <c r="C31" s="11">
        <v>20</v>
      </c>
      <c r="D31" s="11" t="str">
        <f>"1411"</f>
        <v>1411</v>
      </c>
      <c r="E31" s="10" t="str">
        <f>"Краткосрочные займы, предоставленные клиентам"</f>
        <v>Краткосрочные займы, предоставленные клиентам</v>
      </c>
      <c r="F31" s="11" t="str">
        <f t="shared" si="4"/>
        <v>1</v>
      </c>
      <c r="G31" s="11" t="str">
        <f>"9"</f>
        <v>9</v>
      </c>
      <c r="H31" s="11" t="str">
        <f t="shared" si="1"/>
        <v>1</v>
      </c>
      <c r="I31" s="13">
        <v>92775510.510000005</v>
      </c>
    </row>
    <row r="32" spans="1:9" ht="15.75" x14ac:dyDescent="0.25">
      <c r="A32" s="11">
        <v>27</v>
      </c>
      <c r="B32" s="12">
        <v>44834</v>
      </c>
      <c r="C32" s="11">
        <v>20</v>
      </c>
      <c r="D32" s="11" t="str">
        <f>"1434"</f>
        <v>1434</v>
      </c>
      <c r="E32" s="10" t="str">
        <f>"Дисконт по займам, предоставленным клиентам"</f>
        <v>Дисконт по займам, предоставленным клиентам</v>
      </c>
      <c r="F32" s="11" t="str">
        <f t="shared" si="4"/>
        <v>1</v>
      </c>
      <c r="G32" s="11" t="str">
        <f>"9"</f>
        <v>9</v>
      </c>
      <c r="H32" s="11" t="str">
        <f t="shared" si="1"/>
        <v>1</v>
      </c>
      <c r="I32" s="13">
        <v>-91694944712.330002</v>
      </c>
    </row>
    <row r="33" spans="1:9" ht="15.75" x14ac:dyDescent="0.25">
      <c r="A33" s="11">
        <v>28</v>
      </c>
      <c r="B33" s="12">
        <v>44834</v>
      </c>
      <c r="C33" s="11">
        <v>20</v>
      </c>
      <c r="D33" s="11" t="str">
        <f>"1434"</f>
        <v>1434</v>
      </c>
      <c r="E33" s="10" t="str">
        <f>"Дисконт по займам, предоставленным клиентам"</f>
        <v>Дисконт по займам, предоставленным клиентам</v>
      </c>
      <c r="F33" s="11" t="str">
        <f>"2"</f>
        <v>2</v>
      </c>
      <c r="G33" s="11" t="str">
        <f>"9"</f>
        <v>9</v>
      </c>
      <c r="H33" s="11" t="str">
        <f t="shared" si="1"/>
        <v>1</v>
      </c>
      <c r="I33" s="13">
        <v>-42621.21</v>
      </c>
    </row>
    <row r="34" spans="1:9" ht="31.5" x14ac:dyDescent="0.25">
      <c r="A34" s="11">
        <v>29</v>
      </c>
      <c r="B34" s="12">
        <v>44834</v>
      </c>
      <c r="C34" s="11">
        <v>20</v>
      </c>
      <c r="D34" s="11" t="str">
        <f t="shared" ref="D34:D40" si="5">"1452"</f>
        <v>1452</v>
      </c>
      <c r="E34" s="10" t="str">
        <f t="shared" ref="E34:E40" si="6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34" s="11" t="str">
        <f>"1"</f>
        <v>1</v>
      </c>
      <c r="G34" s="11" t="str">
        <f>"6"</f>
        <v>6</v>
      </c>
      <c r="H34" s="11" t="str">
        <f t="shared" si="1"/>
        <v>1</v>
      </c>
      <c r="I34" s="13">
        <v>8000000000</v>
      </c>
    </row>
    <row r="35" spans="1:9" ht="31.5" x14ac:dyDescent="0.25">
      <c r="A35" s="11">
        <v>30</v>
      </c>
      <c r="B35" s="12">
        <v>44834</v>
      </c>
      <c r="C35" s="11">
        <v>20</v>
      </c>
      <c r="D35" s="11" t="str">
        <f t="shared" si="5"/>
        <v>1452</v>
      </c>
      <c r="E35" s="10" t="str">
        <f t="shared" si="6"/>
        <v>Ценные бумаги, учитываемые по справедливой стоимости через прочий совокупный доход</v>
      </c>
      <c r="F35" s="11" t="str">
        <f>"1"</f>
        <v>1</v>
      </c>
      <c r="G35" s="11" t="str">
        <f>"2"</f>
        <v>2</v>
      </c>
      <c r="H35" s="11" t="str">
        <f t="shared" si="1"/>
        <v>1</v>
      </c>
      <c r="I35" s="13">
        <v>2800000000</v>
      </c>
    </row>
    <row r="36" spans="1:9" ht="31.5" x14ac:dyDescent="0.25">
      <c r="A36" s="11">
        <v>31</v>
      </c>
      <c r="B36" s="12">
        <v>44834</v>
      </c>
      <c r="C36" s="11">
        <v>20</v>
      </c>
      <c r="D36" s="11" t="str">
        <f t="shared" si="5"/>
        <v>1452</v>
      </c>
      <c r="E36" s="10" t="str">
        <f t="shared" si="6"/>
        <v>Ценные бумаги, учитываемые по справедливой стоимости через прочий совокупный доход</v>
      </c>
      <c r="F36" s="11" t="str">
        <f>"2"</f>
        <v>2</v>
      </c>
      <c r="G36" s="11" t="str">
        <f>"3"</f>
        <v>3</v>
      </c>
      <c r="H36" s="11" t="str">
        <f t="shared" si="1"/>
        <v>1</v>
      </c>
      <c r="I36" s="13">
        <v>1500000000</v>
      </c>
    </row>
    <row r="37" spans="1:9" ht="31.5" x14ac:dyDescent="0.25">
      <c r="A37" s="11">
        <v>32</v>
      </c>
      <c r="B37" s="12">
        <v>44834</v>
      </c>
      <c r="C37" s="11">
        <v>20</v>
      </c>
      <c r="D37" s="11" t="str">
        <f t="shared" si="5"/>
        <v>1452</v>
      </c>
      <c r="E37" s="10" t="str">
        <f t="shared" si="6"/>
        <v>Ценные бумаги, учитываемые по справедливой стоимости через прочий совокупный доход</v>
      </c>
      <c r="F37" s="11" t="str">
        <f>"1"</f>
        <v>1</v>
      </c>
      <c r="G37" s="11" t="str">
        <f>"1"</f>
        <v>1</v>
      </c>
      <c r="H37" s="11" t="str">
        <f t="shared" si="1"/>
        <v>1</v>
      </c>
      <c r="I37" s="13">
        <v>29512136000</v>
      </c>
    </row>
    <row r="38" spans="1:9" ht="31.5" x14ac:dyDescent="0.25">
      <c r="A38" s="11">
        <v>33</v>
      </c>
      <c r="B38" s="12">
        <v>44834</v>
      </c>
      <c r="C38" s="11">
        <v>20</v>
      </c>
      <c r="D38" s="11" t="str">
        <f t="shared" si="5"/>
        <v>1452</v>
      </c>
      <c r="E38" s="10" t="str">
        <f t="shared" si="6"/>
        <v>Ценные бумаги, учитываемые по справедливой стоимости через прочий совокупный доход</v>
      </c>
      <c r="F38" s="11" t="str">
        <f t="shared" ref="F38:F43" si="7">"1"</f>
        <v>1</v>
      </c>
      <c r="G38" s="11" t="str">
        <f>"4"</f>
        <v>4</v>
      </c>
      <c r="H38" s="11" t="str">
        <f t="shared" si="1"/>
        <v>1</v>
      </c>
      <c r="I38" s="13">
        <v>7562983195</v>
      </c>
    </row>
    <row r="39" spans="1:9" ht="31.5" x14ac:dyDescent="0.25">
      <c r="A39" s="11">
        <v>34</v>
      </c>
      <c r="B39" s="12">
        <v>44834</v>
      </c>
      <c r="C39" s="11">
        <v>20</v>
      </c>
      <c r="D39" s="11" t="str">
        <f t="shared" si="5"/>
        <v>1452</v>
      </c>
      <c r="E39" s="10" t="str">
        <f t="shared" si="6"/>
        <v>Ценные бумаги, учитываемые по справедливой стоимости через прочий совокупный доход</v>
      </c>
      <c r="F39" s="11" t="str">
        <f t="shared" si="7"/>
        <v>1</v>
      </c>
      <c r="G39" s="11" t="str">
        <f>"7"</f>
        <v>7</v>
      </c>
      <c r="H39" s="11" t="str">
        <f t="shared" si="1"/>
        <v>1</v>
      </c>
      <c r="I39" s="13">
        <v>600000000</v>
      </c>
    </row>
    <row r="40" spans="1:9" ht="31.5" x14ac:dyDescent="0.25">
      <c r="A40" s="11">
        <v>35</v>
      </c>
      <c r="B40" s="12">
        <v>44834</v>
      </c>
      <c r="C40" s="11">
        <v>20</v>
      </c>
      <c r="D40" s="11" t="str">
        <f t="shared" si="5"/>
        <v>1452</v>
      </c>
      <c r="E40" s="10" t="str">
        <f t="shared" si="6"/>
        <v>Ценные бумаги, учитываемые по справедливой стоимости через прочий совокупный доход</v>
      </c>
      <c r="F40" s="11" t="str">
        <f t="shared" si="7"/>
        <v>1</v>
      </c>
      <c r="G40" s="11" t="str">
        <f>"5"</f>
        <v>5</v>
      </c>
      <c r="H40" s="11" t="str">
        <f t="shared" si="1"/>
        <v>1</v>
      </c>
      <c r="I40" s="13">
        <v>14000000000</v>
      </c>
    </row>
    <row r="41" spans="1:9" ht="63" x14ac:dyDescent="0.25">
      <c r="A41" s="11">
        <v>36</v>
      </c>
      <c r="B41" s="12">
        <v>44834</v>
      </c>
      <c r="C41" s="11">
        <v>20</v>
      </c>
      <c r="D41" s="11" t="str">
        <f>"1456"</f>
        <v>1456</v>
      </c>
      <c r="E41" s="10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41" s="11" t="str">
        <f t="shared" si="7"/>
        <v>1</v>
      </c>
      <c r="G41" s="11" t="str">
        <f>"4"</f>
        <v>4</v>
      </c>
      <c r="H41" s="11" t="str">
        <f t="shared" si="1"/>
        <v>1</v>
      </c>
      <c r="I41" s="13">
        <v>6390</v>
      </c>
    </row>
    <row r="42" spans="1:9" ht="63" x14ac:dyDescent="0.25">
      <c r="A42" s="11">
        <v>37</v>
      </c>
      <c r="B42" s="12">
        <v>44834</v>
      </c>
      <c r="C42" s="11">
        <v>20</v>
      </c>
      <c r="D42" s="11" t="str">
        <f>"1456"</f>
        <v>1456</v>
      </c>
      <c r="E42" s="10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42" s="11" t="str">
        <f t="shared" si="7"/>
        <v>1</v>
      </c>
      <c r="G42" s="11" t="str">
        <f>"5"</f>
        <v>5</v>
      </c>
      <c r="H42" s="11" t="str">
        <f t="shared" si="1"/>
        <v>1</v>
      </c>
      <c r="I42" s="13">
        <v>318520475.62</v>
      </c>
    </row>
    <row r="43" spans="1:9" ht="31.5" x14ac:dyDescent="0.25">
      <c r="A43" s="11">
        <v>38</v>
      </c>
      <c r="B43" s="12">
        <v>44834</v>
      </c>
      <c r="C43" s="11">
        <v>20</v>
      </c>
      <c r="D43" s="11" t="str">
        <f>"1428"</f>
        <v>1428</v>
      </c>
      <c r="E43" s="10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3" s="11" t="str">
        <f t="shared" si="7"/>
        <v>1</v>
      </c>
      <c r="G43" s="11" t="str">
        <f>"9"</f>
        <v>9</v>
      </c>
      <c r="H43" s="11" t="str">
        <f t="shared" si="1"/>
        <v>1</v>
      </c>
      <c r="I43" s="13">
        <v>-7848413132.1400003</v>
      </c>
    </row>
    <row r="44" spans="1:9" ht="31.5" x14ac:dyDescent="0.25">
      <c r="A44" s="11">
        <v>39</v>
      </c>
      <c r="B44" s="12">
        <v>44834</v>
      </c>
      <c r="C44" s="11">
        <v>20</v>
      </c>
      <c r="D44" s="11" t="str">
        <f>"1428"</f>
        <v>1428</v>
      </c>
      <c r="E44" s="10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4" s="11" t="str">
        <f>"2"</f>
        <v>2</v>
      </c>
      <c r="G44" s="11" t="str">
        <f>"9"</f>
        <v>9</v>
      </c>
      <c r="H44" s="11" t="str">
        <f t="shared" si="1"/>
        <v>1</v>
      </c>
      <c r="I44" s="13">
        <v>-47843.9</v>
      </c>
    </row>
    <row r="45" spans="1:9" ht="31.5" x14ac:dyDescent="0.25">
      <c r="A45" s="11">
        <v>40</v>
      </c>
      <c r="B45" s="12">
        <v>44834</v>
      </c>
      <c r="C45" s="11">
        <v>20</v>
      </c>
      <c r="D45" s="11" t="str">
        <f>"1486"</f>
        <v>1486</v>
      </c>
      <c r="E45" s="10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45" s="11" t="str">
        <f>"1"</f>
        <v>1</v>
      </c>
      <c r="G45" s="11" t="str">
        <f>"3"</f>
        <v>3</v>
      </c>
      <c r="H45" s="11" t="str">
        <f t="shared" si="1"/>
        <v>1</v>
      </c>
      <c r="I45" s="13">
        <v>-3416167.46</v>
      </c>
    </row>
    <row r="46" spans="1:9" ht="31.5" x14ac:dyDescent="0.25">
      <c r="A46" s="11">
        <v>41</v>
      </c>
      <c r="B46" s="12">
        <v>44834</v>
      </c>
      <c r="C46" s="11">
        <v>20</v>
      </c>
      <c r="D46" s="11" t="str">
        <f>"1486"</f>
        <v>1486</v>
      </c>
      <c r="E46" s="10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46" s="11" t="str">
        <f>"1"</f>
        <v>1</v>
      </c>
      <c r="G46" s="11" t="str">
        <f>"5"</f>
        <v>5</v>
      </c>
      <c r="H46" s="11" t="str">
        <f t="shared" si="1"/>
        <v>1</v>
      </c>
      <c r="I46" s="13">
        <v>-3322745.08</v>
      </c>
    </row>
    <row r="47" spans="1:9" ht="31.5" x14ac:dyDescent="0.25">
      <c r="A47" s="11">
        <v>42</v>
      </c>
      <c r="B47" s="12">
        <v>44834</v>
      </c>
      <c r="C47" s="11">
        <v>20</v>
      </c>
      <c r="D47" s="11" t="str">
        <f>"1486"</f>
        <v>1486</v>
      </c>
      <c r="E47" s="10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47" s="11" t="str">
        <f>"1"</f>
        <v>1</v>
      </c>
      <c r="G47" s="11" t="str">
        <f>"4"</f>
        <v>4</v>
      </c>
      <c r="H47" s="11" t="str">
        <f t="shared" si="1"/>
        <v>1</v>
      </c>
      <c r="I47" s="13">
        <v>-46090791.140000001</v>
      </c>
    </row>
    <row r="48" spans="1:9" ht="31.5" x14ac:dyDescent="0.25">
      <c r="A48" s="11">
        <v>43</v>
      </c>
      <c r="B48" s="12">
        <v>44834</v>
      </c>
      <c r="C48" s="11">
        <v>20</v>
      </c>
      <c r="D48" s="11" t="str">
        <f>"1486"</f>
        <v>1486</v>
      </c>
      <c r="E48" s="10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48" s="11" t="str">
        <f>"1"</f>
        <v>1</v>
      </c>
      <c r="G48" s="11" t="str">
        <f>"1"</f>
        <v>1</v>
      </c>
      <c r="H48" s="11" t="str">
        <f t="shared" si="1"/>
        <v>1</v>
      </c>
      <c r="I48" s="13">
        <v>-10206555.939999999</v>
      </c>
    </row>
    <row r="49" spans="1:9" ht="31.5" x14ac:dyDescent="0.25">
      <c r="A49" s="11">
        <v>44</v>
      </c>
      <c r="B49" s="12">
        <v>44834</v>
      </c>
      <c r="C49" s="11">
        <v>20</v>
      </c>
      <c r="D49" s="11" t="str">
        <f>"1486"</f>
        <v>1486</v>
      </c>
      <c r="E49" s="10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49" s="11" t="str">
        <f>"2"</f>
        <v>2</v>
      </c>
      <c r="G49" s="11" t="str">
        <f>"3"</f>
        <v>3</v>
      </c>
      <c r="H49" s="11" t="str">
        <f t="shared" si="1"/>
        <v>1</v>
      </c>
      <c r="I49" s="13">
        <v>-450270.81</v>
      </c>
    </row>
    <row r="50" spans="1:9" ht="47.25" x14ac:dyDescent="0.25">
      <c r="A50" s="11">
        <v>45</v>
      </c>
      <c r="B50" s="12">
        <v>44834</v>
      </c>
      <c r="C50" s="11">
        <v>20</v>
      </c>
      <c r="D50" s="11" t="str">
        <f>"1453"</f>
        <v>1453</v>
      </c>
      <c r="E50" s="10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50" s="11" t="str">
        <f>"1"</f>
        <v>1</v>
      </c>
      <c r="G50" s="11" t="str">
        <f>"7"</f>
        <v>7</v>
      </c>
      <c r="H50" s="11" t="str">
        <f t="shared" si="1"/>
        <v>1</v>
      </c>
      <c r="I50" s="13">
        <v>-10723.31</v>
      </c>
    </row>
    <row r="51" spans="1:9" ht="47.25" x14ac:dyDescent="0.25">
      <c r="A51" s="11">
        <v>46</v>
      </c>
      <c r="B51" s="12">
        <v>44834</v>
      </c>
      <c r="C51" s="11">
        <v>20</v>
      </c>
      <c r="D51" s="11" t="str">
        <f>"1453"</f>
        <v>1453</v>
      </c>
      <c r="E51" s="10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51" s="11" t="str">
        <f>"1"</f>
        <v>1</v>
      </c>
      <c r="G51" s="11" t="str">
        <f>"1"</f>
        <v>1</v>
      </c>
      <c r="H51" s="11" t="str">
        <f t="shared" si="1"/>
        <v>1</v>
      </c>
      <c r="I51" s="13">
        <v>-441691225.06999999</v>
      </c>
    </row>
    <row r="52" spans="1:9" ht="47.25" x14ac:dyDescent="0.25">
      <c r="A52" s="11">
        <v>47</v>
      </c>
      <c r="B52" s="12">
        <v>44834</v>
      </c>
      <c r="C52" s="11">
        <v>20</v>
      </c>
      <c r="D52" s="11" t="str">
        <f>"1453"</f>
        <v>1453</v>
      </c>
      <c r="E52" s="10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52" s="11" t="str">
        <f>"1"</f>
        <v>1</v>
      </c>
      <c r="G52" s="11" t="str">
        <f>"5"</f>
        <v>5</v>
      </c>
      <c r="H52" s="11" t="str">
        <f t="shared" si="1"/>
        <v>1</v>
      </c>
      <c r="I52" s="13">
        <v>-78774506.459999993</v>
      </c>
    </row>
    <row r="53" spans="1:9" ht="31.5" x14ac:dyDescent="0.25">
      <c r="A53" s="11">
        <v>48</v>
      </c>
      <c r="B53" s="12">
        <v>44834</v>
      </c>
      <c r="C53" s="11">
        <v>20</v>
      </c>
      <c r="D53" s="11" t="str">
        <f>"1255"</f>
        <v>1255</v>
      </c>
      <c r="E53" s="10" t="str">
        <f>"Долгосрочные вклады, размещенные в других банках"</f>
        <v>Долгосрочные вклады, размещенные в других банках</v>
      </c>
      <c r="F53" s="11" t="str">
        <f>"1"</f>
        <v>1</v>
      </c>
      <c r="G53" s="11" t="str">
        <f>"4"</f>
        <v>4</v>
      </c>
      <c r="H53" s="11" t="str">
        <f t="shared" si="1"/>
        <v>1</v>
      </c>
      <c r="I53" s="13">
        <v>100000000000</v>
      </c>
    </row>
    <row r="54" spans="1:9" ht="31.5" x14ac:dyDescent="0.25">
      <c r="A54" s="11">
        <v>49</v>
      </c>
      <c r="B54" s="12">
        <v>44834</v>
      </c>
      <c r="C54" s="11">
        <v>20</v>
      </c>
      <c r="D54" s="11" t="str">
        <f>"1610"</f>
        <v>1610</v>
      </c>
      <c r="E54" s="10" t="str">
        <f>"Долгосрочные активы, предназначенные для продажи"</f>
        <v>Долгосрочные активы, предназначенные для продажи</v>
      </c>
      <c r="F54" s="11" t="str">
        <f>""</f>
        <v/>
      </c>
      <c r="G54" s="11" t="str">
        <f>""</f>
        <v/>
      </c>
      <c r="H54" s="11" t="str">
        <f>""</f>
        <v/>
      </c>
      <c r="I54" s="13">
        <v>191475562.18000001</v>
      </c>
    </row>
    <row r="55" spans="1:9" ht="31.5" x14ac:dyDescent="0.25">
      <c r="A55" s="11">
        <v>50</v>
      </c>
      <c r="B55" s="12">
        <v>44834</v>
      </c>
      <c r="C55" s="11">
        <v>20</v>
      </c>
      <c r="D55" s="11" t="str">
        <f>"1657"</f>
        <v>1657</v>
      </c>
      <c r="E55" s="10" t="str">
        <f>"Капитальные затраты по активам в форме права пользования"</f>
        <v>Капитальные затраты по активам в форме права пользования</v>
      </c>
      <c r="F55" s="11" t="str">
        <f>""</f>
        <v/>
      </c>
      <c r="G55" s="11" t="str">
        <f>""</f>
        <v/>
      </c>
      <c r="H55" s="11" t="str">
        <f>""</f>
        <v/>
      </c>
      <c r="I55" s="13">
        <v>16410172</v>
      </c>
    </row>
    <row r="56" spans="1:9" ht="15.75" x14ac:dyDescent="0.25">
      <c r="A56" s="11">
        <v>51</v>
      </c>
      <c r="B56" s="12">
        <v>44834</v>
      </c>
      <c r="C56" s="11">
        <v>20</v>
      </c>
      <c r="D56" s="11" t="str">
        <f>"1652"</f>
        <v>1652</v>
      </c>
      <c r="E56" s="10" t="str">
        <f>"Земля, здания и сооружения"</f>
        <v>Земля, здания и сооружения</v>
      </c>
      <c r="F56" s="11" t="str">
        <f>""</f>
        <v/>
      </c>
      <c r="G56" s="11" t="str">
        <f>""</f>
        <v/>
      </c>
      <c r="H56" s="11" t="str">
        <f>""</f>
        <v/>
      </c>
      <c r="I56" s="13">
        <v>2352649012.9000001</v>
      </c>
    </row>
    <row r="57" spans="1:9" ht="31.5" x14ac:dyDescent="0.25">
      <c r="A57" s="11">
        <v>52</v>
      </c>
      <c r="B57" s="12">
        <v>44834</v>
      </c>
      <c r="C57" s="11">
        <v>20</v>
      </c>
      <c r="D57" s="11" t="str">
        <f>"1651"</f>
        <v>1651</v>
      </c>
      <c r="E57" s="10" t="str">
        <f>"Строящиеся (устанавливаемые) основные средства"</f>
        <v>Строящиеся (устанавливаемые) основные средства</v>
      </c>
      <c r="F57" s="11" t="str">
        <f>""</f>
        <v/>
      </c>
      <c r="G57" s="11" t="str">
        <f>""</f>
        <v/>
      </c>
      <c r="H57" s="11" t="str">
        <f>""</f>
        <v/>
      </c>
      <c r="I57" s="13">
        <v>4274488.45</v>
      </c>
    </row>
    <row r="58" spans="1:9" ht="15.75" x14ac:dyDescent="0.25">
      <c r="A58" s="11">
        <v>53</v>
      </c>
      <c r="B58" s="12">
        <v>44834</v>
      </c>
      <c r="C58" s="11">
        <v>20</v>
      </c>
      <c r="D58" s="11" t="str">
        <f>"1653"</f>
        <v>1653</v>
      </c>
      <c r="E58" s="10" t="str">
        <f>"Компьютерное оборудование"</f>
        <v>Компьютерное оборудование</v>
      </c>
      <c r="F58" s="11" t="str">
        <f>""</f>
        <v/>
      </c>
      <c r="G58" s="11" t="str">
        <f>""</f>
        <v/>
      </c>
      <c r="H58" s="11" t="str">
        <f>""</f>
        <v/>
      </c>
      <c r="I58" s="13">
        <v>4615743415</v>
      </c>
    </row>
    <row r="59" spans="1:9" ht="31.5" x14ac:dyDescent="0.25">
      <c r="A59" s="11">
        <v>54</v>
      </c>
      <c r="B59" s="12">
        <v>44834</v>
      </c>
      <c r="C59" s="11">
        <v>20</v>
      </c>
      <c r="D59" s="11" t="str">
        <f>"1463"</f>
        <v>1463</v>
      </c>
      <c r="E59" s="10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F59" s="11" t="str">
        <f>"1"</f>
        <v>1</v>
      </c>
      <c r="G59" s="11" t="str">
        <f>"5"</f>
        <v>5</v>
      </c>
      <c r="H59" s="11" t="str">
        <f t="shared" ref="H59:H66" si="8">"1"</f>
        <v>1</v>
      </c>
      <c r="I59" s="13">
        <v>-269639.82</v>
      </c>
    </row>
    <row r="60" spans="1:9" ht="15.75" x14ac:dyDescent="0.25">
      <c r="A60" s="11">
        <v>55</v>
      </c>
      <c r="B60" s="12">
        <v>44834</v>
      </c>
      <c r="C60" s="11">
        <v>20</v>
      </c>
      <c r="D60" s="11" t="str">
        <f>"1424"</f>
        <v>1424</v>
      </c>
      <c r="E60" s="10" t="str">
        <f>"Просроченная задолженность клиентов по займам"</f>
        <v>Просроченная задолженность клиентов по займам</v>
      </c>
      <c r="F60" s="11" t="str">
        <f>"2"</f>
        <v>2</v>
      </c>
      <c r="G60" s="11" t="str">
        <f>"9"</f>
        <v>9</v>
      </c>
      <c r="H60" s="11" t="str">
        <f t="shared" si="8"/>
        <v>1</v>
      </c>
      <c r="I60" s="13">
        <v>2083787.65</v>
      </c>
    </row>
    <row r="61" spans="1:9" ht="15.75" x14ac:dyDescent="0.25">
      <c r="A61" s="11">
        <v>56</v>
      </c>
      <c r="B61" s="12">
        <v>44834</v>
      </c>
      <c r="C61" s="11">
        <v>20</v>
      </c>
      <c r="D61" s="11" t="str">
        <f>"1424"</f>
        <v>1424</v>
      </c>
      <c r="E61" s="10" t="str">
        <f>"Просроченная задолженность клиентов по займам"</f>
        <v>Просроченная задолженность клиентов по займам</v>
      </c>
      <c r="F61" s="11" t="str">
        <f>"1"</f>
        <v>1</v>
      </c>
      <c r="G61" s="11" t="str">
        <f>"9"</f>
        <v>9</v>
      </c>
      <c r="H61" s="11" t="str">
        <f t="shared" si="8"/>
        <v>1</v>
      </c>
      <c r="I61" s="13">
        <v>1111515303.0699999</v>
      </c>
    </row>
    <row r="62" spans="1:9" ht="31.5" x14ac:dyDescent="0.25">
      <c r="A62" s="11">
        <v>57</v>
      </c>
      <c r="B62" s="12">
        <v>44834</v>
      </c>
      <c r="C62" s="11">
        <v>20</v>
      </c>
      <c r="D62" s="11" t="str">
        <f>"1482"</f>
        <v>1482</v>
      </c>
      <c r="E62" s="10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62" s="11" t="str">
        <f>"1"</f>
        <v>1</v>
      </c>
      <c r="G62" s="11" t="str">
        <f>"4"</f>
        <v>4</v>
      </c>
      <c r="H62" s="11" t="str">
        <f t="shared" si="8"/>
        <v>1</v>
      </c>
      <c r="I62" s="13">
        <v>-1654919.68</v>
      </c>
    </row>
    <row r="63" spans="1:9" ht="31.5" x14ac:dyDescent="0.25">
      <c r="A63" s="11">
        <v>58</v>
      </c>
      <c r="B63" s="12">
        <v>44834</v>
      </c>
      <c r="C63" s="11">
        <v>20</v>
      </c>
      <c r="D63" s="11" t="str">
        <f>"1482"</f>
        <v>1482</v>
      </c>
      <c r="E63" s="10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63" s="11" t="str">
        <f>"1"</f>
        <v>1</v>
      </c>
      <c r="G63" s="11" t="str">
        <f>"3"</f>
        <v>3</v>
      </c>
      <c r="H63" s="11" t="str">
        <f t="shared" si="8"/>
        <v>1</v>
      </c>
      <c r="I63" s="13">
        <v>-1320983841.5899999</v>
      </c>
    </row>
    <row r="64" spans="1:9" ht="31.5" x14ac:dyDescent="0.25">
      <c r="A64" s="11">
        <v>59</v>
      </c>
      <c r="B64" s="12">
        <v>44834</v>
      </c>
      <c r="C64" s="11">
        <v>20</v>
      </c>
      <c r="D64" s="11" t="str">
        <f>"1482"</f>
        <v>1482</v>
      </c>
      <c r="E64" s="10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64" s="11" t="str">
        <f>"1"</f>
        <v>1</v>
      </c>
      <c r="G64" s="11" t="str">
        <f>"5"</f>
        <v>5</v>
      </c>
      <c r="H64" s="11" t="str">
        <f t="shared" si="8"/>
        <v>1</v>
      </c>
      <c r="I64" s="13">
        <v>-164095269.94</v>
      </c>
    </row>
    <row r="65" spans="1:9" ht="31.5" x14ac:dyDescent="0.25">
      <c r="A65" s="11">
        <v>60</v>
      </c>
      <c r="B65" s="12">
        <v>44834</v>
      </c>
      <c r="C65" s="11">
        <v>20</v>
      </c>
      <c r="D65" s="11" t="str">
        <f>"1482"</f>
        <v>1482</v>
      </c>
      <c r="E65" s="10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65" s="11" t="str">
        <f>"2"</f>
        <v>2</v>
      </c>
      <c r="G65" s="11" t="str">
        <f>"3"</f>
        <v>3</v>
      </c>
      <c r="H65" s="11" t="str">
        <f t="shared" si="8"/>
        <v>1</v>
      </c>
      <c r="I65" s="13">
        <v>-47929373.640000001</v>
      </c>
    </row>
    <row r="66" spans="1:9" ht="31.5" x14ac:dyDescent="0.25">
      <c r="A66" s="11">
        <v>61</v>
      </c>
      <c r="B66" s="12">
        <v>44834</v>
      </c>
      <c r="C66" s="11">
        <v>20</v>
      </c>
      <c r="D66" s="11" t="str">
        <f>"1482"</f>
        <v>1482</v>
      </c>
      <c r="E66" s="10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66" s="11" t="str">
        <f>"1"</f>
        <v>1</v>
      </c>
      <c r="G66" s="11" t="str">
        <f>"1"</f>
        <v>1</v>
      </c>
      <c r="H66" s="11" t="str">
        <f t="shared" si="8"/>
        <v>1</v>
      </c>
      <c r="I66" s="13">
        <v>-2902684718.3699999</v>
      </c>
    </row>
    <row r="67" spans="1:9" ht="15.75" x14ac:dyDescent="0.25">
      <c r="A67" s="11">
        <v>62</v>
      </c>
      <c r="B67" s="12">
        <v>44834</v>
      </c>
      <c r="C67" s="11">
        <v>20</v>
      </c>
      <c r="D67" s="11" t="str">
        <f>"1655"</f>
        <v>1655</v>
      </c>
      <c r="E67" s="10" t="str">
        <f>"Активы в форме права пользования"</f>
        <v>Активы в форме права пользования</v>
      </c>
      <c r="F67" s="11" t="str">
        <f>""</f>
        <v/>
      </c>
      <c r="G67" s="11" t="str">
        <f>""</f>
        <v/>
      </c>
      <c r="H67" s="11" t="str">
        <f>""</f>
        <v/>
      </c>
      <c r="I67" s="13">
        <v>1331657159.52</v>
      </c>
    </row>
    <row r="68" spans="1:9" ht="31.5" x14ac:dyDescent="0.25">
      <c r="A68" s="11">
        <v>63</v>
      </c>
      <c r="B68" s="12">
        <v>44834</v>
      </c>
      <c r="C68" s="11">
        <v>20</v>
      </c>
      <c r="D68" s="11" t="str">
        <f>"1693"</f>
        <v>1693</v>
      </c>
      <c r="E68" s="10" t="str">
        <f>"Начисленная амортизация по компьютерному оборудованию"</f>
        <v>Начисленная амортизация по компьютерному оборудованию</v>
      </c>
      <c r="F68" s="11" t="str">
        <f>""</f>
        <v/>
      </c>
      <c r="G68" s="11" t="str">
        <f>""</f>
        <v/>
      </c>
      <c r="H68" s="11" t="str">
        <f>""</f>
        <v/>
      </c>
      <c r="I68" s="13">
        <v>-2832529228.0100002</v>
      </c>
    </row>
    <row r="69" spans="1:9" ht="15.75" x14ac:dyDescent="0.25">
      <c r="A69" s="11">
        <v>64</v>
      </c>
      <c r="B69" s="12">
        <v>44834</v>
      </c>
      <c r="C69" s="11">
        <v>20</v>
      </c>
      <c r="D69" s="11" t="str">
        <f>"1654"</f>
        <v>1654</v>
      </c>
      <c r="E69" s="10" t="str">
        <f>"Прочие основные средства"</f>
        <v>Прочие основные средства</v>
      </c>
      <c r="F69" s="11" t="str">
        <f>""</f>
        <v/>
      </c>
      <c r="G69" s="11" t="str">
        <f>""</f>
        <v/>
      </c>
      <c r="H69" s="11" t="str">
        <f>""</f>
        <v/>
      </c>
      <c r="I69" s="13">
        <v>3700710974.2600002</v>
      </c>
    </row>
    <row r="70" spans="1:9" ht="15.75" x14ac:dyDescent="0.25">
      <c r="A70" s="11">
        <v>65</v>
      </c>
      <c r="B70" s="12">
        <v>44834</v>
      </c>
      <c r="C70" s="11">
        <v>20</v>
      </c>
      <c r="D70" s="11" t="str">
        <f>"1659"</f>
        <v>1659</v>
      </c>
      <c r="E70" s="10" t="str">
        <f>"Нематериальные активы"</f>
        <v>Нематериальные активы</v>
      </c>
      <c r="F70" s="11" t="str">
        <f>""</f>
        <v/>
      </c>
      <c r="G70" s="11" t="str">
        <f>""</f>
        <v/>
      </c>
      <c r="H70" s="11" t="str">
        <f>""</f>
        <v/>
      </c>
      <c r="I70" s="13">
        <v>10134583469.41</v>
      </c>
    </row>
    <row r="71" spans="1:9" ht="31.5" x14ac:dyDescent="0.25">
      <c r="A71" s="11">
        <v>66</v>
      </c>
      <c r="B71" s="12">
        <v>44834</v>
      </c>
      <c r="C71" s="11">
        <v>20</v>
      </c>
      <c r="D71" s="11" t="str">
        <f>"1699"</f>
        <v>1699</v>
      </c>
      <c r="E71" s="10" t="str">
        <f>"Начисленная амортизация по нематериальным активам"</f>
        <v>Начисленная амортизация по нематериальным активам</v>
      </c>
      <c r="F71" s="11" t="str">
        <f>""</f>
        <v/>
      </c>
      <c r="G71" s="11" t="str">
        <f>""</f>
        <v/>
      </c>
      <c r="H71" s="11" t="str">
        <f>""</f>
        <v/>
      </c>
      <c r="I71" s="13">
        <v>-4721694958.0799999</v>
      </c>
    </row>
    <row r="72" spans="1:9" ht="31.5" x14ac:dyDescent="0.25">
      <c r="A72" s="11">
        <v>67</v>
      </c>
      <c r="B72" s="12">
        <v>44834</v>
      </c>
      <c r="C72" s="11">
        <v>20</v>
      </c>
      <c r="D72" s="11" t="str">
        <f>"1660"</f>
        <v>1660</v>
      </c>
      <c r="E72" s="10" t="str">
        <f>"Создаваемые (разрабатываемые) нематериальные активы"</f>
        <v>Создаваемые (разрабатываемые) нематериальные активы</v>
      </c>
      <c r="F72" s="11" t="str">
        <f>""</f>
        <v/>
      </c>
      <c r="G72" s="11" t="str">
        <f>""</f>
        <v/>
      </c>
      <c r="H72" s="11" t="str">
        <f>""</f>
        <v/>
      </c>
      <c r="I72" s="13">
        <v>21328378</v>
      </c>
    </row>
    <row r="73" spans="1:9" ht="31.5" x14ac:dyDescent="0.25">
      <c r="A73" s="11">
        <v>68</v>
      </c>
      <c r="B73" s="12">
        <v>44834</v>
      </c>
      <c r="C73" s="11">
        <v>20</v>
      </c>
      <c r="D73" s="11" t="str">
        <f>"1697"</f>
        <v>1697</v>
      </c>
      <c r="E73" s="10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73" s="11" t="str">
        <f>""</f>
        <v/>
      </c>
      <c r="G73" s="11" t="str">
        <f>""</f>
        <v/>
      </c>
      <c r="H73" s="11" t="str">
        <f>""</f>
        <v/>
      </c>
      <c r="I73" s="13">
        <v>-5329346.41</v>
      </c>
    </row>
    <row r="74" spans="1:9" ht="15.75" x14ac:dyDescent="0.25">
      <c r="A74" s="11">
        <v>69</v>
      </c>
      <c r="B74" s="12">
        <v>44834</v>
      </c>
      <c r="C74" s="11">
        <v>20</v>
      </c>
      <c r="D74" s="11" t="str">
        <f>"1461"</f>
        <v>1461</v>
      </c>
      <c r="E74" s="10" t="str">
        <f>"Операции «обратное РЕПО» с ценными бумагами"</f>
        <v>Операции «обратное РЕПО» с ценными бумагами</v>
      </c>
      <c r="F74" s="11" t="str">
        <f>"1"</f>
        <v>1</v>
      </c>
      <c r="G74" s="11" t="str">
        <f>"5"</f>
        <v>5</v>
      </c>
      <c r="H74" s="11" t="str">
        <f>"1"</f>
        <v>1</v>
      </c>
      <c r="I74" s="13">
        <v>16263490824.690001</v>
      </c>
    </row>
    <row r="75" spans="1:9" ht="31.5" x14ac:dyDescent="0.25">
      <c r="A75" s="11">
        <v>70</v>
      </c>
      <c r="B75" s="12">
        <v>44834</v>
      </c>
      <c r="C75" s="11">
        <v>20</v>
      </c>
      <c r="D75" s="11" t="str">
        <f>"1745"</f>
        <v>1745</v>
      </c>
      <c r="E75" s="10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75" s="11" t="str">
        <f>"2"</f>
        <v>2</v>
      </c>
      <c r="G75" s="11" t="str">
        <f>"3"</f>
        <v>3</v>
      </c>
      <c r="H75" s="11" t="str">
        <f>"1"</f>
        <v>1</v>
      </c>
      <c r="I75" s="13">
        <v>98705945.010000005</v>
      </c>
    </row>
    <row r="76" spans="1:9" ht="31.5" x14ac:dyDescent="0.25">
      <c r="A76" s="11">
        <v>71</v>
      </c>
      <c r="B76" s="12">
        <v>44834</v>
      </c>
      <c r="C76" s="11">
        <v>20</v>
      </c>
      <c r="D76" s="11" t="str">
        <f>"1745"</f>
        <v>1745</v>
      </c>
      <c r="E76" s="10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76" s="11" t="str">
        <f>"1"</f>
        <v>1</v>
      </c>
      <c r="G76" s="11" t="str">
        <f>"5"</f>
        <v>5</v>
      </c>
      <c r="H76" s="11" t="str">
        <f>"1"</f>
        <v>1</v>
      </c>
      <c r="I76" s="13">
        <v>183930555.56</v>
      </c>
    </row>
    <row r="77" spans="1:9" ht="31.5" x14ac:dyDescent="0.25">
      <c r="A77" s="11">
        <v>72</v>
      </c>
      <c r="B77" s="12">
        <v>44834</v>
      </c>
      <c r="C77" s="11">
        <v>20</v>
      </c>
      <c r="D77" s="11" t="str">
        <f>"1745"</f>
        <v>1745</v>
      </c>
      <c r="E77" s="10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77" s="11" t="str">
        <f>"1"</f>
        <v>1</v>
      </c>
      <c r="G77" s="11" t="str">
        <f>"4"</f>
        <v>4</v>
      </c>
      <c r="H77" s="11" t="str">
        <f>"1"</f>
        <v>1</v>
      </c>
      <c r="I77" s="13">
        <v>597039949.00999999</v>
      </c>
    </row>
    <row r="78" spans="1:9" ht="31.5" x14ac:dyDescent="0.25">
      <c r="A78" s="11">
        <v>73</v>
      </c>
      <c r="B78" s="12">
        <v>44834</v>
      </c>
      <c r="C78" s="11">
        <v>20</v>
      </c>
      <c r="D78" s="11" t="str">
        <f>"1745"</f>
        <v>1745</v>
      </c>
      <c r="E78" s="10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78" s="11" t="str">
        <f>"1"</f>
        <v>1</v>
      </c>
      <c r="G78" s="11" t="str">
        <f>"1"</f>
        <v>1</v>
      </c>
      <c r="H78" s="11" t="str">
        <f>"1"</f>
        <v>1</v>
      </c>
      <c r="I78" s="13">
        <v>1516386666.6700001</v>
      </c>
    </row>
    <row r="79" spans="1:9" ht="15.75" x14ac:dyDescent="0.25">
      <c r="A79" s="11">
        <v>74</v>
      </c>
      <c r="B79" s="12">
        <v>44834</v>
      </c>
      <c r="C79" s="11">
        <v>20</v>
      </c>
      <c r="D79" s="11" t="str">
        <f>"1658"</f>
        <v>1658</v>
      </c>
      <c r="E79" s="10" t="str">
        <f>"Транспортные средства"</f>
        <v>Транспортные средства</v>
      </c>
      <c r="F79" s="11" t="str">
        <f>""</f>
        <v/>
      </c>
      <c r="G79" s="11" t="str">
        <f>""</f>
        <v/>
      </c>
      <c r="H79" s="11" t="str">
        <f>""</f>
        <v/>
      </c>
      <c r="I79" s="13">
        <v>283326899.60000002</v>
      </c>
    </row>
    <row r="80" spans="1:9" ht="31.5" x14ac:dyDescent="0.25">
      <c r="A80" s="11">
        <v>75</v>
      </c>
      <c r="B80" s="12">
        <v>44834</v>
      </c>
      <c r="C80" s="11">
        <v>20</v>
      </c>
      <c r="D80" s="11" t="str">
        <f>"1481"</f>
        <v>1481</v>
      </c>
      <c r="E80" s="10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80" s="11" t="str">
        <f>"1"</f>
        <v>1</v>
      </c>
      <c r="G80" s="11" t="str">
        <f>"5"</f>
        <v>5</v>
      </c>
      <c r="H80" s="11" t="str">
        <f t="shared" ref="H80:H85" si="9">"1"</f>
        <v>1</v>
      </c>
      <c r="I80" s="13">
        <v>5000000000</v>
      </c>
    </row>
    <row r="81" spans="1:9" ht="31.5" x14ac:dyDescent="0.25">
      <c r="A81" s="11">
        <v>76</v>
      </c>
      <c r="B81" s="12">
        <v>44834</v>
      </c>
      <c r="C81" s="11">
        <v>20</v>
      </c>
      <c r="D81" s="11" t="str">
        <f>"1481"</f>
        <v>1481</v>
      </c>
      <c r="E81" s="10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81" s="11" t="str">
        <f>"1"</f>
        <v>1</v>
      </c>
      <c r="G81" s="11" t="str">
        <f>"1"</f>
        <v>1</v>
      </c>
      <c r="H81" s="11" t="str">
        <f t="shared" si="9"/>
        <v>1</v>
      </c>
      <c r="I81" s="13">
        <v>51200000000</v>
      </c>
    </row>
    <row r="82" spans="1:9" ht="31.5" x14ac:dyDescent="0.25">
      <c r="A82" s="11">
        <v>77</v>
      </c>
      <c r="B82" s="12">
        <v>44834</v>
      </c>
      <c r="C82" s="11">
        <v>20</v>
      </c>
      <c r="D82" s="11" t="str">
        <f>"1481"</f>
        <v>1481</v>
      </c>
      <c r="E82" s="10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82" s="11" t="str">
        <f>"2"</f>
        <v>2</v>
      </c>
      <c r="G82" s="11" t="str">
        <f>"3"</f>
        <v>3</v>
      </c>
      <c r="H82" s="11" t="str">
        <f t="shared" si="9"/>
        <v>1</v>
      </c>
      <c r="I82" s="13">
        <v>4049439600</v>
      </c>
    </row>
    <row r="83" spans="1:9" ht="31.5" x14ac:dyDescent="0.25">
      <c r="A83" s="11">
        <v>78</v>
      </c>
      <c r="B83" s="12">
        <v>44834</v>
      </c>
      <c r="C83" s="11">
        <v>20</v>
      </c>
      <c r="D83" s="11" t="str">
        <f>"1481"</f>
        <v>1481</v>
      </c>
      <c r="E83" s="10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83" s="11" t="str">
        <f>"1"</f>
        <v>1</v>
      </c>
      <c r="G83" s="11" t="str">
        <f>"4"</f>
        <v>4</v>
      </c>
      <c r="H83" s="11" t="str">
        <f t="shared" si="9"/>
        <v>1</v>
      </c>
      <c r="I83" s="13">
        <v>19156362000</v>
      </c>
    </row>
    <row r="84" spans="1:9" ht="31.5" x14ac:dyDescent="0.25">
      <c r="A84" s="11">
        <v>79</v>
      </c>
      <c r="B84" s="12">
        <v>44834</v>
      </c>
      <c r="C84" s="11">
        <v>20</v>
      </c>
      <c r="D84" s="11" t="str">
        <f>"1481"</f>
        <v>1481</v>
      </c>
      <c r="E84" s="10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84" s="11" t="str">
        <f>"1"</f>
        <v>1</v>
      </c>
      <c r="G84" s="11" t="str">
        <f>"3"</f>
        <v>3</v>
      </c>
      <c r="H84" s="11" t="str">
        <f t="shared" si="9"/>
        <v>1</v>
      </c>
      <c r="I84" s="13">
        <v>195000000000</v>
      </c>
    </row>
    <row r="85" spans="1:9" ht="31.5" x14ac:dyDescent="0.25">
      <c r="A85" s="11">
        <v>80</v>
      </c>
      <c r="B85" s="12">
        <v>44834</v>
      </c>
      <c r="C85" s="11">
        <v>20</v>
      </c>
      <c r="D85" s="11" t="str">
        <f>"1748"</f>
        <v>1748</v>
      </c>
      <c r="E85" s="10" t="str">
        <f>"Начисленные доходы по операциям «обратное РЕПО» с ценными бумагами"</f>
        <v>Начисленные доходы по операциям «обратное РЕПО» с ценными бумагами</v>
      </c>
      <c r="F85" s="11" t="str">
        <f>"1"</f>
        <v>1</v>
      </c>
      <c r="G85" s="11" t="str">
        <f>"5"</f>
        <v>5</v>
      </c>
      <c r="H85" s="11" t="str">
        <f t="shared" si="9"/>
        <v>1</v>
      </c>
      <c r="I85" s="13">
        <v>39129151.369999997</v>
      </c>
    </row>
    <row r="86" spans="1:9" ht="31.5" x14ac:dyDescent="0.25">
      <c r="A86" s="11">
        <v>81</v>
      </c>
      <c r="B86" s="12">
        <v>44834</v>
      </c>
      <c r="C86" s="11">
        <v>20</v>
      </c>
      <c r="D86" s="11" t="str">
        <f>"1694"</f>
        <v>1694</v>
      </c>
      <c r="E86" s="10" t="str">
        <f>"Начисленная амортизация по прочим основным средствам"</f>
        <v>Начисленная амортизация по прочим основным средствам</v>
      </c>
      <c r="F86" s="11" t="str">
        <f>""</f>
        <v/>
      </c>
      <c r="G86" s="11" t="str">
        <f>""</f>
        <v/>
      </c>
      <c r="H86" s="11" t="str">
        <f>""</f>
        <v/>
      </c>
      <c r="I86" s="13">
        <v>-2764052506.4000001</v>
      </c>
    </row>
    <row r="87" spans="1:9" ht="31.5" x14ac:dyDescent="0.25">
      <c r="A87" s="11">
        <v>82</v>
      </c>
      <c r="B87" s="12">
        <v>44834</v>
      </c>
      <c r="C87" s="11">
        <v>20</v>
      </c>
      <c r="D87" s="11" t="str">
        <f>"1695"</f>
        <v>1695</v>
      </c>
      <c r="E87" s="10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87" s="11" t="str">
        <f>""</f>
        <v/>
      </c>
      <c r="G87" s="11" t="str">
        <f>""</f>
        <v/>
      </c>
      <c r="H87" s="11" t="str">
        <f>""</f>
        <v/>
      </c>
      <c r="I87" s="13">
        <v>-774861129.05999994</v>
      </c>
    </row>
    <row r="88" spans="1:9" ht="47.25" x14ac:dyDescent="0.25">
      <c r="A88" s="11">
        <v>83</v>
      </c>
      <c r="B88" s="12">
        <v>44834</v>
      </c>
      <c r="C88" s="11">
        <v>20</v>
      </c>
      <c r="D88" s="11" t="str">
        <f>"1741"</f>
        <v>1741</v>
      </c>
      <c r="E88" s="10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88" s="11" t="str">
        <f>"1"</f>
        <v>1</v>
      </c>
      <c r="G88" s="11" t="str">
        <f>"9"</f>
        <v>9</v>
      </c>
      <c r="H88" s="11" t="str">
        <f>"1"</f>
        <v>1</v>
      </c>
      <c r="I88" s="13">
        <v>247591655.90000001</v>
      </c>
    </row>
    <row r="89" spans="1:9" ht="31.5" x14ac:dyDescent="0.25">
      <c r="A89" s="11">
        <v>84</v>
      </c>
      <c r="B89" s="12">
        <v>44834</v>
      </c>
      <c r="C89" s="11">
        <v>20</v>
      </c>
      <c r="D89" s="11" t="str">
        <f>"1740"</f>
        <v>1740</v>
      </c>
      <c r="E89" s="10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89" s="11" t="str">
        <f>"1"</f>
        <v>1</v>
      </c>
      <c r="G89" s="11" t="str">
        <f>"9"</f>
        <v>9</v>
      </c>
      <c r="H89" s="11" t="str">
        <f>"1"</f>
        <v>1</v>
      </c>
      <c r="I89" s="13">
        <v>7521722961.6300001</v>
      </c>
    </row>
    <row r="90" spans="1:9" ht="31.5" x14ac:dyDescent="0.25">
      <c r="A90" s="11">
        <v>85</v>
      </c>
      <c r="B90" s="12">
        <v>44834</v>
      </c>
      <c r="C90" s="11">
        <v>20</v>
      </c>
      <c r="D90" s="11" t="str">
        <f>"1740"</f>
        <v>1740</v>
      </c>
      <c r="E90" s="10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90" s="11" t="str">
        <f>"2"</f>
        <v>2</v>
      </c>
      <c r="G90" s="11" t="str">
        <f>"9"</f>
        <v>9</v>
      </c>
      <c r="H90" s="11" t="str">
        <f>"1"</f>
        <v>1</v>
      </c>
      <c r="I90" s="13">
        <v>55306.239999999998</v>
      </c>
    </row>
    <row r="91" spans="1:9" ht="31.5" x14ac:dyDescent="0.25">
      <c r="A91" s="11">
        <v>86</v>
      </c>
      <c r="B91" s="12">
        <v>44834</v>
      </c>
      <c r="C91" s="11">
        <v>20</v>
      </c>
      <c r="D91" s="11" t="str">
        <f>"1698"</f>
        <v>1698</v>
      </c>
      <c r="E91" s="10" t="str">
        <f>"Начисленная амортизация по транспортным средствам"</f>
        <v>Начисленная амортизация по транспортным средствам</v>
      </c>
      <c r="F91" s="11" t="str">
        <f>""</f>
        <v/>
      </c>
      <c r="G91" s="11" t="str">
        <f>""</f>
        <v/>
      </c>
      <c r="H91" s="11" t="str">
        <f>""</f>
        <v/>
      </c>
      <c r="I91" s="13">
        <v>-191043169.50999999</v>
      </c>
    </row>
    <row r="92" spans="1:9" ht="47.25" x14ac:dyDescent="0.25">
      <c r="A92" s="11">
        <v>87</v>
      </c>
      <c r="B92" s="12">
        <v>44834</v>
      </c>
      <c r="C92" s="11">
        <v>20</v>
      </c>
      <c r="D92" s="11" t="str">
        <f t="shared" ref="D92:D98" si="10">"1746"</f>
        <v>1746</v>
      </c>
      <c r="E92" s="10" t="str">
        <f t="shared" ref="E92:E98" si="11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92" s="11" t="str">
        <f>"1"</f>
        <v>1</v>
      </c>
      <c r="G92" s="11" t="str">
        <f>"2"</f>
        <v>2</v>
      </c>
      <c r="H92" s="11" t="str">
        <f t="shared" ref="H92:H105" si="12">"1"</f>
        <v>1</v>
      </c>
      <c r="I92" s="13">
        <v>9240000</v>
      </c>
    </row>
    <row r="93" spans="1:9" ht="47.25" x14ac:dyDescent="0.25">
      <c r="A93" s="11">
        <v>88</v>
      </c>
      <c r="B93" s="12">
        <v>44834</v>
      </c>
      <c r="C93" s="11">
        <v>20</v>
      </c>
      <c r="D93" s="11" t="str">
        <f t="shared" si="10"/>
        <v>1746</v>
      </c>
      <c r="E93" s="10" t="str">
        <f t="shared" si="11"/>
        <v>Начисленные доходы по ценным бумагам, учитываемым по справедливой стоимости через прочий совокупный доход</v>
      </c>
      <c r="F93" s="11" t="str">
        <f>"1"</f>
        <v>1</v>
      </c>
      <c r="G93" s="11" t="str">
        <f>"5"</f>
        <v>5</v>
      </c>
      <c r="H93" s="11" t="str">
        <f t="shared" si="12"/>
        <v>1</v>
      </c>
      <c r="I93" s="13">
        <v>564319444.44000006</v>
      </c>
    </row>
    <row r="94" spans="1:9" ht="47.25" x14ac:dyDescent="0.25">
      <c r="A94" s="11">
        <v>89</v>
      </c>
      <c r="B94" s="12">
        <v>44834</v>
      </c>
      <c r="C94" s="11">
        <v>20</v>
      </c>
      <c r="D94" s="11" t="str">
        <f t="shared" si="10"/>
        <v>1746</v>
      </c>
      <c r="E94" s="10" t="str">
        <f t="shared" si="11"/>
        <v>Начисленные доходы по ценным бумагам, учитываемым по справедливой стоимости через прочий совокупный доход</v>
      </c>
      <c r="F94" s="11" t="str">
        <f>"1"</f>
        <v>1</v>
      </c>
      <c r="G94" s="11" t="str">
        <f>"4"</f>
        <v>4</v>
      </c>
      <c r="H94" s="11" t="str">
        <f t="shared" si="12"/>
        <v>1</v>
      </c>
      <c r="I94" s="13">
        <v>218818888.88999999</v>
      </c>
    </row>
    <row r="95" spans="1:9" ht="47.25" x14ac:dyDescent="0.25">
      <c r="A95" s="11">
        <v>90</v>
      </c>
      <c r="B95" s="12">
        <v>44834</v>
      </c>
      <c r="C95" s="11">
        <v>20</v>
      </c>
      <c r="D95" s="11" t="str">
        <f t="shared" si="10"/>
        <v>1746</v>
      </c>
      <c r="E95" s="10" t="str">
        <f t="shared" si="11"/>
        <v>Начисленные доходы по ценным бумагам, учитываемым по справедливой стоимости через прочий совокупный доход</v>
      </c>
      <c r="F95" s="11" t="str">
        <f>"1"</f>
        <v>1</v>
      </c>
      <c r="G95" s="11" t="str">
        <f>"7"</f>
        <v>7</v>
      </c>
      <c r="H95" s="11" t="str">
        <f t="shared" si="12"/>
        <v>1</v>
      </c>
      <c r="I95" s="13">
        <v>11400000</v>
      </c>
    </row>
    <row r="96" spans="1:9" ht="47.25" x14ac:dyDescent="0.25">
      <c r="A96" s="11">
        <v>91</v>
      </c>
      <c r="B96" s="12">
        <v>44834</v>
      </c>
      <c r="C96" s="11">
        <v>20</v>
      </c>
      <c r="D96" s="11" t="str">
        <f t="shared" si="10"/>
        <v>1746</v>
      </c>
      <c r="E96" s="10" t="str">
        <f t="shared" si="11"/>
        <v>Начисленные доходы по ценным бумагам, учитываемым по справедливой стоимости через прочий совокупный доход</v>
      </c>
      <c r="F96" s="11" t="str">
        <f>"2"</f>
        <v>2</v>
      </c>
      <c r="G96" s="11" t="str">
        <f>"3"</f>
        <v>3</v>
      </c>
      <c r="H96" s="11" t="str">
        <f t="shared" si="12"/>
        <v>1</v>
      </c>
      <c r="I96" s="13">
        <v>48687500</v>
      </c>
    </row>
    <row r="97" spans="1:9" ht="47.25" x14ac:dyDescent="0.25">
      <c r="A97" s="11">
        <v>92</v>
      </c>
      <c r="B97" s="12">
        <v>44834</v>
      </c>
      <c r="C97" s="11">
        <v>20</v>
      </c>
      <c r="D97" s="11" t="str">
        <f t="shared" si="10"/>
        <v>1746</v>
      </c>
      <c r="E97" s="10" t="str">
        <f t="shared" si="11"/>
        <v>Начисленные доходы по ценным бумагам, учитываемым по справедливой стоимости через прочий совокупный доход</v>
      </c>
      <c r="F97" s="11" t="str">
        <f>"1"</f>
        <v>1</v>
      </c>
      <c r="G97" s="11" t="str">
        <f>"1"</f>
        <v>1</v>
      </c>
      <c r="H97" s="11" t="str">
        <f t="shared" si="12"/>
        <v>1</v>
      </c>
      <c r="I97" s="13">
        <v>1242653247.0599999</v>
      </c>
    </row>
    <row r="98" spans="1:9" ht="47.25" x14ac:dyDescent="0.25">
      <c r="A98" s="11">
        <v>93</v>
      </c>
      <c r="B98" s="12">
        <v>44834</v>
      </c>
      <c r="C98" s="11">
        <v>20</v>
      </c>
      <c r="D98" s="11" t="str">
        <f t="shared" si="10"/>
        <v>1746</v>
      </c>
      <c r="E98" s="10" t="str">
        <f t="shared" si="11"/>
        <v>Начисленные доходы по ценным бумагам, учитываемым по справедливой стоимости через прочий совокупный доход</v>
      </c>
      <c r="F98" s="11" t="str">
        <f>"1"</f>
        <v>1</v>
      </c>
      <c r="G98" s="11" t="str">
        <f>"6"</f>
        <v>6</v>
      </c>
      <c r="H98" s="11" t="str">
        <f t="shared" si="12"/>
        <v>1</v>
      </c>
      <c r="I98" s="13">
        <v>184291666.66</v>
      </c>
    </row>
    <row r="99" spans="1:9" ht="15.75" x14ac:dyDescent="0.25">
      <c r="A99" s="11">
        <v>94</v>
      </c>
      <c r="B99" s="12">
        <v>44834</v>
      </c>
      <c r="C99" s="11">
        <v>20</v>
      </c>
      <c r="D99" s="11" t="str">
        <f>"1793"</f>
        <v>1793</v>
      </c>
      <c r="E99" s="10" t="str">
        <f>"Расходы будущих периодов"</f>
        <v>Расходы будущих периодов</v>
      </c>
      <c r="F99" s="11" t="str">
        <f>"1"</f>
        <v>1</v>
      </c>
      <c r="G99" s="11" t="str">
        <f>"1"</f>
        <v>1</v>
      </c>
      <c r="H99" s="11" t="str">
        <f t="shared" si="12"/>
        <v>1</v>
      </c>
      <c r="I99" s="13">
        <v>31200000</v>
      </c>
    </row>
    <row r="100" spans="1:9" ht="15.75" x14ac:dyDescent="0.25">
      <c r="A100" s="11">
        <v>95</v>
      </c>
      <c r="B100" s="12">
        <v>44834</v>
      </c>
      <c r="C100" s="11">
        <v>20</v>
      </c>
      <c r="D100" s="11" t="str">
        <f>"1793"</f>
        <v>1793</v>
      </c>
      <c r="E100" s="10" t="str">
        <f>"Расходы будущих периодов"</f>
        <v>Расходы будущих периодов</v>
      </c>
      <c r="F100" s="11" t="str">
        <f>"1"</f>
        <v>1</v>
      </c>
      <c r="G100" s="11" t="str">
        <f>"5"</f>
        <v>5</v>
      </c>
      <c r="H100" s="11" t="str">
        <f t="shared" si="12"/>
        <v>1</v>
      </c>
      <c r="I100" s="13">
        <v>75377728.560000002</v>
      </c>
    </row>
    <row r="101" spans="1:9" ht="15.75" x14ac:dyDescent="0.25">
      <c r="A101" s="11">
        <v>96</v>
      </c>
      <c r="B101" s="12">
        <v>44834</v>
      </c>
      <c r="C101" s="11">
        <v>20</v>
      </c>
      <c r="D101" s="11" t="str">
        <f>"1793"</f>
        <v>1793</v>
      </c>
      <c r="E101" s="10" t="str">
        <f>"Расходы будущих периодов"</f>
        <v>Расходы будущих периодов</v>
      </c>
      <c r="F101" s="11" t="str">
        <f>"2"</f>
        <v>2</v>
      </c>
      <c r="G101" s="11" t="str">
        <f>"3"</f>
        <v>3</v>
      </c>
      <c r="H101" s="11" t="str">
        <f t="shared" si="12"/>
        <v>1</v>
      </c>
      <c r="I101" s="13">
        <v>63439999.990000002</v>
      </c>
    </row>
    <row r="102" spans="1:9" ht="15.75" x14ac:dyDescent="0.25">
      <c r="A102" s="11">
        <v>97</v>
      </c>
      <c r="B102" s="12">
        <v>44834</v>
      </c>
      <c r="C102" s="11">
        <v>20</v>
      </c>
      <c r="D102" s="11" t="str">
        <f>"1799"</f>
        <v>1799</v>
      </c>
      <c r="E102" s="10" t="str">
        <f>"Прочие предоплаты"</f>
        <v>Прочие предоплаты</v>
      </c>
      <c r="F102" s="11" t="str">
        <f>"1"</f>
        <v>1</v>
      </c>
      <c r="G102" s="11" t="str">
        <f>"7"</f>
        <v>7</v>
      </c>
      <c r="H102" s="11" t="str">
        <f t="shared" si="12"/>
        <v>1</v>
      </c>
      <c r="I102" s="13">
        <v>3238760.64</v>
      </c>
    </row>
    <row r="103" spans="1:9" ht="15.75" x14ac:dyDescent="0.25">
      <c r="A103" s="11">
        <v>98</v>
      </c>
      <c r="B103" s="12">
        <v>44834</v>
      </c>
      <c r="C103" s="11">
        <v>20</v>
      </c>
      <c r="D103" s="11" t="str">
        <f>"1799"</f>
        <v>1799</v>
      </c>
      <c r="E103" s="10" t="str">
        <f>"Прочие предоплаты"</f>
        <v>Прочие предоплаты</v>
      </c>
      <c r="F103" s="11" t="str">
        <f>"1"</f>
        <v>1</v>
      </c>
      <c r="G103" s="11" t="str">
        <f>"5"</f>
        <v>5</v>
      </c>
      <c r="H103" s="11" t="str">
        <f t="shared" si="12"/>
        <v>1</v>
      </c>
      <c r="I103" s="13">
        <v>3162376.01</v>
      </c>
    </row>
    <row r="104" spans="1:9" ht="15.75" x14ac:dyDescent="0.25">
      <c r="A104" s="11">
        <v>99</v>
      </c>
      <c r="B104" s="12">
        <v>44834</v>
      </c>
      <c r="C104" s="11">
        <v>20</v>
      </c>
      <c r="D104" s="11" t="str">
        <f>"1799"</f>
        <v>1799</v>
      </c>
      <c r="E104" s="10" t="str">
        <f>"Прочие предоплаты"</f>
        <v>Прочие предоплаты</v>
      </c>
      <c r="F104" s="11" t="str">
        <f>"1"</f>
        <v>1</v>
      </c>
      <c r="G104" s="11" t="str">
        <f>"8"</f>
        <v>8</v>
      </c>
      <c r="H104" s="11" t="str">
        <f t="shared" si="12"/>
        <v>1</v>
      </c>
      <c r="I104" s="13">
        <v>2952600</v>
      </c>
    </row>
    <row r="105" spans="1:9" ht="15.75" x14ac:dyDescent="0.25">
      <c r="A105" s="11">
        <v>100</v>
      </c>
      <c r="B105" s="12">
        <v>44834</v>
      </c>
      <c r="C105" s="11">
        <v>20</v>
      </c>
      <c r="D105" s="11" t="str">
        <f>"1799"</f>
        <v>1799</v>
      </c>
      <c r="E105" s="10" t="str">
        <f>"Прочие предоплаты"</f>
        <v>Прочие предоплаты</v>
      </c>
      <c r="F105" s="11" t="str">
        <f>"2"</f>
        <v>2</v>
      </c>
      <c r="G105" s="11" t="str">
        <f>"7"</f>
        <v>7</v>
      </c>
      <c r="H105" s="11" t="str">
        <f t="shared" si="12"/>
        <v>1</v>
      </c>
      <c r="I105" s="13">
        <v>2141595</v>
      </c>
    </row>
    <row r="106" spans="1:9" ht="31.5" x14ac:dyDescent="0.25">
      <c r="A106" s="11">
        <v>101</v>
      </c>
      <c r="B106" s="12">
        <v>44834</v>
      </c>
      <c r="C106" s="11">
        <v>20</v>
      </c>
      <c r="D106" s="11" t="str">
        <f>"1692"</f>
        <v>1692</v>
      </c>
      <c r="E106" s="10" t="str">
        <f>"Начисленная амортизация по зданиям и сооружениям"</f>
        <v>Начисленная амортизация по зданиям и сооружениям</v>
      </c>
      <c r="F106" s="11" t="str">
        <f>""</f>
        <v/>
      </c>
      <c r="G106" s="11" t="str">
        <f>""</f>
        <v/>
      </c>
      <c r="H106" s="11" t="str">
        <f>""</f>
        <v/>
      </c>
      <c r="I106" s="13">
        <v>-550816954.63</v>
      </c>
    </row>
    <row r="107" spans="1:9" ht="31.5" x14ac:dyDescent="0.25">
      <c r="A107" s="11">
        <v>102</v>
      </c>
      <c r="B107" s="12">
        <v>44834</v>
      </c>
      <c r="C107" s="11">
        <v>20</v>
      </c>
      <c r="D107" s="11" t="str">
        <f>"1725"</f>
        <v>1725</v>
      </c>
      <c r="E107" s="10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107" s="11" t="str">
        <f>"1"</f>
        <v>1</v>
      </c>
      <c r="G107" s="11" t="str">
        <f>"4"</f>
        <v>4</v>
      </c>
      <c r="H107" s="11" t="str">
        <f>"1"</f>
        <v>1</v>
      </c>
      <c r="I107" s="13">
        <v>138888888.88999999</v>
      </c>
    </row>
    <row r="108" spans="1:9" ht="15.75" x14ac:dyDescent="0.25">
      <c r="A108" s="11">
        <v>103</v>
      </c>
      <c r="B108" s="12">
        <v>44834</v>
      </c>
      <c r="C108" s="11">
        <v>20</v>
      </c>
      <c r="D108" s="11" t="str">
        <f>"1602"</f>
        <v>1602</v>
      </c>
      <c r="E108" s="10" t="str">
        <f>"Прочие запасы"</f>
        <v>Прочие запасы</v>
      </c>
      <c r="F108" s="11" t="str">
        <f>""</f>
        <v/>
      </c>
      <c r="G108" s="11" t="str">
        <f>""</f>
        <v/>
      </c>
      <c r="H108" s="11" t="str">
        <f>""</f>
        <v/>
      </c>
      <c r="I108" s="13">
        <v>39271132.689999998</v>
      </c>
    </row>
    <row r="109" spans="1:9" ht="31.5" x14ac:dyDescent="0.25">
      <c r="A109" s="11">
        <v>104</v>
      </c>
      <c r="B109" s="12">
        <v>44834</v>
      </c>
      <c r="C109" s="11">
        <v>20</v>
      </c>
      <c r="D109" s="11" t="str">
        <f>"1851"</f>
        <v>1851</v>
      </c>
      <c r="E109" s="10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09" s="11" t="str">
        <f>"1"</f>
        <v>1</v>
      </c>
      <c r="G109" s="11" t="str">
        <f>"1"</f>
        <v>1</v>
      </c>
      <c r="H109" s="11" t="str">
        <f>"1"</f>
        <v>1</v>
      </c>
      <c r="I109" s="13">
        <v>653170222.51999998</v>
      </c>
    </row>
    <row r="110" spans="1:9" ht="47.25" x14ac:dyDescent="0.25">
      <c r="A110" s="11">
        <v>105</v>
      </c>
      <c r="B110" s="12">
        <v>44834</v>
      </c>
      <c r="C110" s="11">
        <v>20</v>
      </c>
      <c r="D110" s="11" t="str">
        <f>"1878"</f>
        <v>1878</v>
      </c>
      <c r="E110" s="10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110" s="11" t="str">
        <f t="shared" ref="F110:F115" si="13">"1"</f>
        <v>1</v>
      </c>
      <c r="G110" s="11" t="str">
        <f>"9"</f>
        <v>9</v>
      </c>
      <c r="H110" s="11" t="str">
        <f t="shared" ref="H110:H115" si="14">"1"</f>
        <v>1</v>
      </c>
      <c r="I110" s="13">
        <v>-4149745.85</v>
      </c>
    </row>
    <row r="111" spans="1:9" ht="15.75" x14ac:dyDescent="0.25">
      <c r="A111" s="11">
        <v>106</v>
      </c>
      <c r="B111" s="12">
        <v>44834</v>
      </c>
      <c r="C111" s="11">
        <v>20</v>
      </c>
      <c r="D111" s="11" t="str">
        <f>"1879"</f>
        <v>1879</v>
      </c>
      <c r="E111" s="10" t="str">
        <f>"Начисленная неустойка (штраф, пеня)"</f>
        <v>Начисленная неустойка (штраф, пеня)</v>
      </c>
      <c r="F111" s="11" t="str">
        <f t="shared" si="13"/>
        <v>1</v>
      </c>
      <c r="G111" s="11" t="str">
        <f>"9"</f>
        <v>9</v>
      </c>
      <c r="H111" s="11" t="str">
        <f t="shared" si="14"/>
        <v>1</v>
      </c>
      <c r="I111" s="13">
        <v>28608261.100000001</v>
      </c>
    </row>
    <row r="112" spans="1:9" ht="15.75" x14ac:dyDescent="0.25">
      <c r="A112" s="11">
        <v>107</v>
      </c>
      <c r="B112" s="12">
        <v>44834</v>
      </c>
      <c r="C112" s="11">
        <v>20</v>
      </c>
      <c r="D112" s="11" t="str">
        <f>"1860"</f>
        <v>1860</v>
      </c>
      <c r="E112" s="10" t="str">
        <f>"Прочие дебиторы по банковской деятельности"</f>
        <v>Прочие дебиторы по банковской деятельности</v>
      </c>
      <c r="F112" s="11" t="str">
        <f t="shared" si="13"/>
        <v>1</v>
      </c>
      <c r="G112" s="11" t="str">
        <f>"1"</f>
        <v>1</v>
      </c>
      <c r="H112" s="11" t="str">
        <f t="shared" si="14"/>
        <v>1</v>
      </c>
      <c r="I112" s="13">
        <v>657605</v>
      </c>
    </row>
    <row r="113" spans="1:9" ht="15.75" x14ac:dyDescent="0.25">
      <c r="A113" s="11">
        <v>108</v>
      </c>
      <c r="B113" s="12">
        <v>44834</v>
      </c>
      <c r="C113" s="11">
        <v>20</v>
      </c>
      <c r="D113" s="11" t="str">
        <f>"1860"</f>
        <v>1860</v>
      </c>
      <c r="E113" s="10" t="str">
        <f>"Прочие дебиторы по банковской деятельности"</f>
        <v>Прочие дебиторы по банковской деятельности</v>
      </c>
      <c r="F113" s="11" t="str">
        <f t="shared" si="13"/>
        <v>1</v>
      </c>
      <c r="G113" s="11" t="str">
        <f>"6"</f>
        <v>6</v>
      </c>
      <c r="H113" s="11" t="str">
        <f t="shared" si="14"/>
        <v>1</v>
      </c>
      <c r="I113" s="13">
        <v>9359000</v>
      </c>
    </row>
    <row r="114" spans="1:9" ht="15.75" x14ac:dyDescent="0.25">
      <c r="A114" s="11">
        <v>109</v>
      </c>
      <c r="B114" s="12">
        <v>44834</v>
      </c>
      <c r="C114" s="11">
        <v>20</v>
      </c>
      <c r="D114" s="11" t="str">
        <f>"1860"</f>
        <v>1860</v>
      </c>
      <c r="E114" s="10" t="str">
        <f>"Прочие дебиторы по банковской деятельности"</f>
        <v>Прочие дебиторы по банковской деятельности</v>
      </c>
      <c r="F114" s="11" t="str">
        <f t="shared" si="13"/>
        <v>1</v>
      </c>
      <c r="G114" s="11" t="str">
        <f>"4"</f>
        <v>4</v>
      </c>
      <c r="H114" s="11" t="str">
        <f t="shared" si="14"/>
        <v>1</v>
      </c>
      <c r="I114" s="13">
        <v>4901684691.4899998</v>
      </c>
    </row>
    <row r="115" spans="1:9" ht="15.75" x14ac:dyDescent="0.25">
      <c r="A115" s="11">
        <v>110</v>
      </c>
      <c r="B115" s="12">
        <v>44834</v>
      </c>
      <c r="C115" s="11">
        <v>20</v>
      </c>
      <c r="D115" s="11" t="str">
        <f>"1860"</f>
        <v>1860</v>
      </c>
      <c r="E115" s="10" t="str">
        <f>"Прочие дебиторы по банковской деятельности"</f>
        <v>Прочие дебиторы по банковской деятельности</v>
      </c>
      <c r="F115" s="11" t="str">
        <f t="shared" si="13"/>
        <v>1</v>
      </c>
      <c r="G115" s="11" t="str">
        <f>"9"</f>
        <v>9</v>
      </c>
      <c r="H115" s="11" t="str">
        <f t="shared" si="14"/>
        <v>1</v>
      </c>
      <c r="I115" s="13">
        <v>22342048.879999999</v>
      </c>
    </row>
    <row r="116" spans="1:9" ht="15.75" x14ac:dyDescent="0.25">
      <c r="A116" s="11">
        <v>111</v>
      </c>
      <c r="B116" s="12">
        <v>44834</v>
      </c>
      <c r="C116" s="11">
        <v>20</v>
      </c>
      <c r="D116" s="11" t="str">
        <f>"1854"</f>
        <v>1854</v>
      </c>
      <c r="E116" s="10" t="str">
        <f>"Расчеты с работниками"</f>
        <v>Расчеты с работниками</v>
      </c>
      <c r="F116" s="11" t="str">
        <f>""</f>
        <v/>
      </c>
      <c r="G116" s="11" t="str">
        <f>""</f>
        <v/>
      </c>
      <c r="H116" s="11" t="str">
        <f>""</f>
        <v/>
      </c>
      <c r="I116" s="13">
        <v>12820408.039999999</v>
      </c>
    </row>
    <row r="117" spans="1:9" ht="47.25" x14ac:dyDescent="0.25">
      <c r="A117" s="11">
        <v>112</v>
      </c>
      <c r="B117" s="12">
        <v>44834</v>
      </c>
      <c r="C117" s="11">
        <v>20</v>
      </c>
      <c r="D117" s="11" t="str">
        <f>"1877"</f>
        <v>1877</v>
      </c>
      <c r="E117" s="10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117" s="11" t="str">
        <f t="shared" ref="F117:F122" si="15">"1"</f>
        <v>1</v>
      </c>
      <c r="G117" s="11" t="str">
        <f>"9"</f>
        <v>9</v>
      </c>
      <c r="H117" s="11" t="str">
        <f t="shared" ref="H117:H148" si="16">"1"</f>
        <v>1</v>
      </c>
      <c r="I117" s="13">
        <v>-21230048.879999999</v>
      </c>
    </row>
    <row r="118" spans="1:9" ht="63" x14ac:dyDescent="0.25">
      <c r="A118" s="11">
        <v>113</v>
      </c>
      <c r="B118" s="12">
        <v>44834</v>
      </c>
      <c r="C118" s="11">
        <v>20</v>
      </c>
      <c r="D118" s="11" t="str">
        <f>"2032"</f>
        <v>2032</v>
      </c>
      <c r="E118" s="10" t="str">
        <f>"Дисконт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Дисконт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118" s="11" t="str">
        <f t="shared" si="15"/>
        <v>1</v>
      </c>
      <c r="G118" s="11" t="str">
        <f>"1"</f>
        <v>1</v>
      </c>
      <c r="H118" s="11" t="str">
        <f t="shared" si="16"/>
        <v>1</v>
      </c>
      <c r="I118" s="13">
        <v>-301385293260.87</v>
      </c>
    </row>
    <row r="119" spans="1:9" ht="63" x14ac:dyDescent="0.25">
      <c r="A119" s="11">
        <v>114</v>
      </c>
      <c r="B119" s="12">
        <v>44834</v>
      </c>
      <c r="C119" s="11">
        <v>20</v>
      </c>
      <c r="D119" s="11" t="str">
        <f>"2032"</f>
        <v>2032</v>
      </c>
      <c r="E119" s="10" t="str">
        <f>"Дисконт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Дисконт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119" s="11" t="str">
        <f t="shared" si="15"/>
        <v>1</v>
      </c>
      <c r="G119" s="11" t="str">
        <f>"6"</f>
        <v>6</v>
      </c>
      <c r="H119" s="11" t="str">
        <f t="shared" si="16"/>
        <v>1</v>
      </c>
      <c r="I119" s="13">
        <v>-13910060734.139999</v>
      </c>
    </row>
    <row r="120" spans="1:9" ht="63" x14ac:dyDescent="0.25">
      <c r="A120" s="11">
        <v>115</v>
      </c>
      <c r="B120" s="12">
        <v>44834</v>
      </c>
      <c r="C120" s="11">
        <v>20</v>
      </c>
      <c r="D120" s="11" t="str">
        <f>"2032"</f>
        <v>2032</v>
      </c>
      <c r="E120" s="10" t="str">
        <f>"Дисконт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Дисконт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120" s="11" t="str">
        <f t="shared" si="15"/>
        <v>1</v>
      </c>
      <c r="G120" s="11" t="str">
        <f>"2"</f>
        <v>2</v>
      </c>
      <c r="H120" s="11" t="str">
        <f t="shared" si="16"/>
        <v>1</v>
      </c>
      <c r="I120" s="13">
        <v>-41310759421.080002</v>
      </c>
    </row>
    <row r="121" spans="1:9" ht="15.75" x14ac:dyDescent="0.25">
      <c r="A121" s="11">
        <v>116</v>
      </c>
      <c r="B121" s="12">
        <v>44834</v>
      </c>
      <c r="C121" s="11">
        <v>20</v>
      </c>
      <c r="D121" s="11" t="str">
        <f>"1867"</f>
        <v>1867</v>
      </c>
      <c r="E121" s="10" t="str">
        <f>"Прочие дебиторы по неосновной деятельности"</f>
        <v>Прочие дебиторы по неосновной деятельности</v>
      </c>
      <c r="F121" s="11" t="str">
        <f t="shared" si="15"/>
        <v>1</v>
      </c>
      <c r="G121" s="11" t="str">
        <f>"9"</f>
        <v>9</v>
      </c>
      <c r="H121" s="11" t="str">
        <f t="shared" si="16"/>
        <v>1</v>
      </c>
      <c r="I121" s="13">
        <v>1516318.57</v>
      </c>
    </row>
    <row r="122" spans="1:9" ht="15.75" x14ac:dyDescent="0.25">
      <c r="A122" s="11">
        <v>117</v>
      </c>
      <c r="B122" s="12">
        <v>44834</v>
      </c>
      <c r="C122" s="11">
        <v>20</v>
      </c>
      <c r="D122" s="11" t="str">
        <f>"1867"</f>
        <v>1867</v>
      </c>
      <c r="E122" s="10" t="str">
        <f>"Прочие дебиторы по неосновной деятельности"</f>
        <v>Прочие дебиторы по неосновной деятельности</v>
      </c>
      <c r="F122" s="11" t="str">
        <f t="shared" si="15"/>
        <v>1</v>
      </c>
      <c r="G122" s="11" t="str">
        <f>"7"</f>
        <v>7</v>
      </c>
      <c r="H122" s="11" t="str">
        <f t="shared" si="16"/>
        <v>1</v>
      </c>
      <c r="I122" s="13">
        <v>7368814.6600000001</v>
      </c>
    </row>
    <row r="123" spans="1:9" ht="31.5" x14ac:dyDescent="0.25">
      <c r="A123" s="11">
        <v>118</v>
      </c>
      <c r="B123" s="12">
        <v>44834</v>
      </c>
      <c r="C123" s="11">
        <v>20</v>
      </c>
      <c r="D123" s="11" t="str">
        <f>"2046"</f>
        <v>2046</v>
      </c>
      <c r="E123" s="10" t="str">
        <f>"Долгосрочные займы, полученные от международных финансовых организаций"</f>
        <v>Долгосрочные займы, полученные от международных финансовых организаций</v>
      </c>
      <c r="F123" s="11" t="str">
        <f>"2"</f>
        <v>2</v>
      </c>
      <c r="G123" s="11" t="str">
        <f>""</f>
        <v/>
      </c>
      <c r="H123" s="11" t="str">
        <f t="shared" si="16"/>
        <v>1</v>
      </c>
      <c r="I123" s="13">
        <v>22400000000</v>
      </c>
    </row>
    <row r="124" spans="1:9" ht="63" x14ac:dyDescent="0.25">
      <c r="A124" s="11">
        <v>119</v>
      </c>
      <c r="B124" s="12">
        <v>44834</v>
      </c>
      <c r="C124" s="11">
        <v>20</v>
      </c>
      <c r="D124" s="11" t="str">
        <f>"2036"</f>
        <v>2036</v>
      </c>
      <c r="E124" s="10" t="str">
        <f>"Долгосрочные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холдинга"</f>
        <v>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</v>
      </c>
      <c r="F124" s="11" t="str">
        <f>"1"</f>
        <v>1</v>
      </c>
      <c r="G124" s="11" t="str">
        <f>"6"</f>
        <v>6</v>
      </c>
      <c r="H124" s="11" t="str">
        <f t="shared" si="16"/>
        <v>1</v>
      </c>
      <c r="I124" s="13">
        <v>22000000000</v>
      </c>
    </row>
    <row r="125" spans="1:9" ht="63" x14ac:dyDescent="0.25">
      <c r="A125" s="11">
        <v>120</v>
      </c>
      <c r="B125" s="12">
        <v>44834</v>
      </c>
      <c r="C125" s="11">
        <v>20</v>
      </c>
      <c r="D125" s="11" t="str">
        <f>"2036"</f>
        <v>2036</v>
      </c>
      <c r="E125" s="10" t="str">
        <f>"Долгосрочные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холдинга"</f>
        <v>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</v>
      </c>
      <c r="F125" s="11" t="str">
        <f>"1"</f>
        <v>1</v>
      </c>
      <c r="G125" s="11" t="str">
        <f>"2"</f>
        <v>2</v>
      </c>
      <c r="H125" s="11" t="str">
        <f t="shared" si="16"/>
        <v>1</v>
      </c>
      <c r="I125" s="13">
        <v>51168623680</v>
      </c>
    </row>
    <row r="126" spans="1:9" ht="63" x14ac:dyDescent="0.25">
      <c r="A126" s="11">
        <v>121</v>
      </c>
      <c r="B126" s="12">
        <v>44834</v>
      </c>
      <c r="C126" s="11">
        <v>20</v>
      </c>
      <c r="D126" s="11" t="str">
        <f>"2036"</f>
        <v>2036</v>
      </c>
      <c r="E126" s="10" t="str">
        <f>"Долгосрочные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холдинга"</f>
        <v>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</v>
      </c>
      <c r="F126" s="11" t="str">
        <f>"1"</f>
        <v>1</v>
      </c>
      <c r="G126" s="11" t="str">
        <f>"1"</f>
        <v>1</v>
      </c>
      <c r="H126" s="11" t="str">
        <f t="shared" si="16"/>
        <v>1</v>
      </c>
      <c r="I126" s="13">
        <v>363200000000</v>
      </c>
    </row>
    <row r="127" spans="1:9" ht="31.5" x14ac:dyDescent="0.25">
      <c r="A127" s="11">
        <v>122</v>
      </c>
      <c r="B127" s="12">
        <v>44834</v>
      </c>
      <c r="C127" s="11">
        <v>20</v>
      </c>
      <c r="D127" s="11" t="str">
        <f>"2041"</f>
        <v>2041</v>
      </c>
      <c r="E127" s="10" t="str">
        <f>"Дисконт по займам, полученным от международных финансовых организаций"</f>
        <v>Дисконт по займам, полученным от международных финансовых организаций</v>
      </c>
      <c r="F127" s="11" t="str">
        <f>"2"</f>
        <v>2</v>
      </c>
      <c r="G127" s="11" t="str">
        <f>""</f>
        <v/>
      </c>
      <c r="H127" s="11" t="str">
        <f t="shared" si="16"/>
        <v>1</v>
      </c>
      <c r="I127" s="13">
        <v>-97086264.819999993</v>
      </c>
    </row>
    <row r="128" spans="1:9" ht="15.75" x14ac:dyDescent="0.25">
      <c r="A128" s="11">
        <v>123</v>
      </c>
      <c r="B128" s="12">
        <v>44834</v>
      </c>
      <c r="C128" s="11">
        <v>20</v>
      </c>
      <c r="D128" s="11" t="str">
        <f>"2127"</f>
        <v>2127</v>
      </c>
      <c r="E128" s="10" t="str">
        <f>"Долгосрочные вклады других банков"</f>
        <v>Долгосрочные вклады других банков</v>
      </c>
      <c r="F128" s="11" t="str">
        <f>"1"</f>
        <v>1</v>
      </c>
      <c r="G128" s="11" t="str">
        <f>"4"</f>
        <v>4</v>
      </c>
      <c r="H128" s="11" t="str">
        <f t="shared" si="16"/>
        <v>1</v>
      </c>
      <c r="I128" s="13">
        <v>80000000000</v>
      </c>
    </row>
    <row r="129" spans="1:9" ht="15.75" x14ac:dyDescent="0.25">
      <c r="A129" s="11">
        <v>124</v>
      </c>
      <c r="B129" s="12">
        <v>44834</v>
      </c>
      <c r="C129" s="11">
        <v>20</v>
      </c>
      <c r="D129" s="11" t="str">
        <f>"2207"</f>
        <v>2207</v>
      </c>
      <c r="E129" s="10" t="str">
        <f>"Долгосрочные вклады физических лиц"</f>
        <v>Долгосрочные вклады физических лиц</v>
      </c>
      <c r="F129" s="11" t="str">
        <f>"2"</f>
        <v>2</v>
      </c>
      <c r="G129" s="11" t="str">
        <f>"9"</f>
        <v>9</v>
      </c>
      <c r="H129" s="11" t="str">
        <f t="shared" si="16"/>
        <v>1</v>
      </c>
      <c r="I129" s="13">
        <v>9063920.5099999998</v>
      </c>
    </row>
    <row r="130" spans="1:9" ht="15.75" x14ac:dyDescent="0.25">
      <c r="A130" s="11">
        <v>125</v>
      </c>
      <c r="B130" s="12">
        <v>44834</v>
      </c>
      <c r="C130" s="11">
        <v>20</v>
      </c>
      <c r="D130" s="11" t="str">
        <f>"2207"</f>
        <v>2207</v>
      </c>
      <c r="E130" s="10" t="str">
        <f>"Долгосрочные вклады физических лиц"</f>
        <v>Долгосрочные вклады физических лиц</v>
      </c>
      <c r="F130" s="11" t="str">
        <f>"1"</f>
        <v>1</v>
      </c>
      <c r="G130" s="11" t="str">
        <f>"9"</f>
        <v>9</v>
      </c>
      <c r="H130" s="11" t="str">
        <f t="shared" si="16"/>
        <v>1</v>
      </c>
      <c r="I130" s="13">
        <v>992393921912.98999</v>
      </c>
    </row>
    <row r="131" spans="1:9" ht="15.75" x14ac:dyDescent="0.25">
      <c r="A131" s="11">
        <v>126</v>
      </c>
      <c r="B131" s="12">
        <v>44834</v>
      </c>
      <c r="C131" s="11">
        <v>20</v>
      </c>
      <c r="D131" s="11" t="str">
        <f>"2204"</f>
        <v>2204</v>
      </c>
      <c r="E131" s="10" t="str">
        <f>"Текущие счета физических лиц"</f>
        <v>Текущие счета физических лиц</v>
      </c>
      <c r="F131" s="11" t="str">
        <f>"1"</f>
        <v>1</v>
      </c>
      <c r="G131" s="11" t="str">
        <f>"9"</f>
        <v>9</v>
      </c>
      <c r="H131" s="11" t="str">
        <f t="shared" si="16"/>
        <v>1</v>
      </c>
      <c r="I131" s="13">
        <v>35071648024.540001</v>
      </c>
    </row>
    <row r="132" spans="1:9" ht="15.75" x14ac:dyDescent="0.25">
      <c r="A132" s="11">
        <v>127</v>
      </c>
      <c r="B132" s="12">
        <v>44834</v>
      </c>
      <c r="C132" s="11">
        <v>20</v>
      </c>
      <c r="D132" s="11" t="str">
        <f>"2204"</f>
        <v>2204</v>
      </c>
      <c r="E132" s="10" t="str">
        <f>"Текущие счета физических лиц"</f>
        <v>Текущие счета физических лиц</v>
      </c>
      <c r="F132" s="11" t="str">
        <f>"2"</f>
        <v>2</v>
      </c>
      <c r="G132" s="11" t="str">
        <f>"9"</f>
        <v>9</v>
      </c>
      <c r="H132" s="11" t="str">
        <f t="shared" si="16"/>
        <v>1</v>
      </c>
      <c r="I132" s="13">
        <v>13426615.4</v>
      </c>
    </row>
    <row r="133" spans="1:9" ht="15.75" x14ac:dyDescent="0.25">
      <c r="A133" s="11">
        <v>128</v>
      </c>
      <c r="B133" s="12">
        <v>44834</v>
      </c>
      <c r="C133" s="11">
        <v>20</v>
      </c>
      <c r="D133" s="11" t="str">
        <f>"2201"</f>
        <v>2201</v>
      </c>
      <c r="E133" s="10" t="str">
        <f>"Деньги государственного бюджета"</f>
        <v>Деньги государственного бюджета</v>
      </c>
      <c r="F133" s="11" t="str">
        <f t="shared" ref="F133:F138" si="17">"1"</f>
        <v>1</v>
      </c>
      <c r="G133" s="11" t="str">
        <f>"2"</f>
        <v>2</v>
      </c>
      <c r="H133" s="11" t="str">
        <f t="shared" si="16"/>
        <v>1</v>
      </c>
      <c r="I133" s="13">
        <v>2909759396.0999999</v>
      </c>
    </row>
    <row r="134" spans="1:9" ht="15.75" x14ac:dyDescent="0.25">
      <c r="A134" s="11">
        <v>129</v>
      </c>
      <c r="B134" s="12">
        <v>44834</v>
      </c>
      <c r="C134" s="11">
        <v>20</v>
      </c>
      <c r="D134" s="11" t="str">
        <f>"2201"</f>
        <v>2201</v>
      </c>
      <c r="E134" s="10" t="str">
        <f>"Деньги государственного бюджета"</f>
        <v>Деньги государственного бюджета</v>
      </c>
      <c r="F134" s="11" t="str">
        <f t="shared" si="17"/>
        <v>1</v>
      </c>
      <c r="G134" s="11" t="str">
        <f>"1"</f>
        <v>1</v>
      </c>
      <c r="H134" s="11" t="str">
        <f t="shared" si="16"/>
        <v>1</v>
      </c>
      <c r="I134" s="13">
        <v>3255010584.4000001</v>
      </c>
    </row>
    <row r="135" spans="1:9" ht="15.75" x14ac:dyDescent="0.25">
      <c r="A135" s="11">
        <v>130</v>
      </c>
      <c r="B135" s="12">
        <v>44834</v>
      </c>
      <c r="C135" s="11">
        <v>20</v>
      </c>
      <c r="D135" s="11" t="str">
        <f>"2227"</f>
        <v>2227</v>
      </c>
      <c r="E135" s="10" t="str">
        <f>"Обязательства по аренде"</f>
        <v>Обязательства по аренде</v>
      </c>
      <c r="F135" s="11" t="str">
        <f t="shared" si="17"/>
        <v>1</v>
      </c>
      <c r="G135" s="11" t="str">
        <f>"7"</f>
        <v>7</v>
      </c>
      <c r="H135" s="11" t="str">
        <f t="shared" si="16"/>
        <v>1</v>
      </c>
      <c r="I135" s="13">
        <v>244951341.78</v>
      </c>
    </row>
    <row r="136" spans="1:9" ht="15.75" x14ac:dyDescent="0.25">
      <c r="A136" s="11">
        <v>131</v>
      </c>
      <c r="B136" s="12">
        <v>44834</v>
      </c>
      <c r="C136" s="11">
        <v>20</v>
      </c>
      <c r="D136" s="11" t="str">
        <f>"2227"</f>
        <v>2227</v>
      </c>
      <c r="E136" s="10" t="str">
        <f>"Обязательства по аренде"</f>
        <v>Обязательства по аренде</v>
      </c>
      <c r="F136" s="11" t="str">
        <f t="shared" si="17"/>
        <v>1</v>
      </c>
      <c r="G136" s="11" t="str">
        <f>"9"</f>
        <v>9</v>
      </c>
      <c r="H136" s="11" t="str">
        <f t="shared" si="16"/>
        <v>1</v>
      </c>
      <c r="I136" s="13">
        <v>364153835.57999998</v>
      </c>
    </row>
    <row r="137" spans="1:9" ht="15.75" x14ac:dyDescent="0.25">
      <c r="A137" s="11">
        <v>132</v>
      </c>
      <c r="B137" s="12">
        <v>44834</v>
      </c>
      <c r="C137" s="11">
        <v>20</v>
      </c>
      <c r="D137" s="11" t="str">
        <f>"2227"</f>
        <v>2227</v>
      </c>
      <c r="E137" s="10" t="str">
        <f>"Обязательства по аренде"</f>
        <v>Обязательства по аренде</v>
      </c>
      <c r="F137" s="11" t="str">
        <f t="shared" si="17"/>
        <v>1</v>
      </c>
      <c r="G137" s="11" t="str">
        <f>"8"</f>
        <v>8</v>
      </c>
      <c r="H137" s="11" t="str">
        <f t="shared" si="16"/>
        <v>1</v>
      </c>
      <c r="I137" s="13">
        <v>38777871.840000004</v>
      </c>
    </row>
    <row r="138" spans="1:9" ht="63" x14ac:dyDescent="0.25">
      <c r="A138" s="11">
        <v>133</v>
      </c>
      <c r="B138" s="12">
        <v>44834</v>
      </c>
      <c r="C138" s="11">
        <v>20</v>
      </c>
      <c r="D138" s="11" t="str">
        <f>"2140"</f>
        <v>2140</v>
      </c>
      <c r="E138" s="10" t="str">
        <f>"Дисконт по вкладам, привлеченным от Национального Банка Республики Казахстан, иностранных центральных банков и других банков"</f>
        <v>Дисконт по вкладам, привлеченным от Национального Банка Республики Казахстан, иностранных центральных банков и других банков</v>
      </c>
      <c r="F138" s="11" t="str">
        <f t="shared" si="17"/>
        <v>1</v>
      </c>
      <c r="G138" s="11" t="str">
        <f>"4"</f>
        <v>4</v>
      </c>
      <c r="H138" s="11" t="str">
        <f t="shared" si="16"/>
        <v>1</v>
      </c>
      <c r="I138" s="13">
        <v>-3345719629.1799998</v>
      </c>
    </row>
    <row r="139" spans="1:9" ht="31.5" x14ac:dyDescent="0.25">
      <c r="A139" s="11">
        <v>134</v>
      </c>
      <c r="B139" s="12">
        <v>44834</v>
      </c>
      <c r="C139" s="11">
        <v>20</v>
      </c>
      <c r="D139" s="11" t="str">
        <f>"2213"</f>
        <v>2213</v>
      </c>
      <c r="E139" s="10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139" s="11" t="str">
        <f>"2"</f>
        <v>2</v>
      </c>
      <c r="G139" s="11" t="str">
        <f>"9"</f>
        <v>9</v>
      </c>
      <c r="H139" s="11" t="str">
        <f t="shared" si="16"/>
        <v>1</v>
      </c>
      <c r="I139" s="13">
        <v>3256277.26</v>
      </c>
    </row>
    <row r="140" spans="1:9" ht="31.5" x14ac:dyDescent="0.25">
      <c r="A140" s="11">
        <v>135</v>
      </c>
      <c r="B140" s="12">
        <v>44834</v>
      </c>
      <c r="C140" s="11">
        <v>20</v>
      </c>
      <c r="D140" s="11" t="str">
        <f>"2213"</f>
        <v>2213</v>
      </c>
      <c r="E140" s="10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140" s="11" t="str">
        <f t="shared" ref="F140:F145" si="18">"1"</f>
        <v>1</v>
      </c>
      <c r="G140" s="11" t="str">
        <f>"9"</f>
        <v>9</v>
      </c>
      <c r="H140" s="11" t="str">
        <f t="shared" si="16"/>
        <v>1</v>
      </c>
      <c r="I140" s="13">
        <v>980184351177.59998</v>
      </c>
    </row>
    <row r="141" spans="1:9" ht="15.75" x14ac:dyDescent="0.25">
      <c r="A141" s="11">
        <v>136</v>
      </c>
      <c r="B141" s="12">
        <v>44834</v>
      </c>
      <c r="C141" s="11">
        <v>20</v>
      </c>
      <c r="D141" s="11" t="str">
        <f>"2217"</f>
        <v>2217</v>
      </c>
      <c r="E141" s="10" t="str">
        <f>"Долгосрочные вклады юридических лиц"</f>
        <v>Долгосрочные вклады юридических лиц</v>
      </c>
      <c r="F141" s="11" t="str">
        <f t="shared" si="18"/>
        <v>1</v>
      </c>
      <c r="G141" s="11" t="str">
        <f>"8"</f>
        <v>8</v>
      </c>
      <c r="H141" s="11" t="str">
        <f t="shared" si="16"/>
        <v>1</v>
      </c>
      <c r="I141" s="13">
        <v>91449521.900000006</v>
      </c>
    </row>
    <row r="142" spans="1:9" ht="15.75" x14ac:dyDescent="0.25">
      <c r="A142" s="11">
        <v>137</v>
      </c>
      <c r="B142" s="12">
        <v>44834</v>
      </c>
      <c r="C142" s="11">
        <v>20</v>
      </c>
      <c r="D142" s="11" t="str">
        <f>"2217"</f>
        <v>2217</v>
      </c>
      <c r="E142" s="10" t="str">
        <f>"Долгосрочные вклады юридических лиц"</f>
        <v>Долгосрочные вклады юридических лиц</v>
      </c>
      <c r="F142" s="11" t="str">
        <f t="shared" si="18"/>
        <v>1</v>
      </c>
      <c r="G142" s="11" t="str">
        <f>"7"</f>
        <v>7</v>
      </c>
      <c r="H142" s="11" t="str">
        <f t="shared" si="16"/>
        <v>1</v>
      </c>
      <c r="I142" s="13">
        <v>99617</v>
      </c>
    </row>
    <row r="143" spans="1:9" ht="15.75" x14ac:dyDescent="0.25">
      <c r="A143" s="11">
        <v>138</v>
      </c>
      <c r="B143" s="12">
        <v>44834</v>
      </c>
      <c r="C143" s="11">
        <v>20</v>
      </c>
      <c r="D143" s="11" t="str">
        <f>"2203"</f>
        <v>2203</v>
      </c>
      <c r="E143" s="10" t="str">
        <f>"Текущие счета юридических лиц"</f>
        <v>Текущие счета юридических лиц</v>
      </c>
      <c r="F143" s="11" t="str">
        <f t="shared" si="18"/>
        <v>1</v>
      </c>
      <c r="G143" s="11" t="str">
        <f>"5"</f>
        <v>5</v>
      </c>
      <c r="H143" s="11" t="str">
        <f t="shared" si="16"/>
        <v>1</v>
      </c>
      <c r="I143" s="13">
        <v>124622798040.55</v>
      </c>
    </row>
    <row r="144" spans="1:9" ht="15.75" x14ac:dyDescent="0.25">
      <c r="A144" s="11">
        <v>139</v>
      </c>
      <c r="B144" s="12">
        <v>44834</v>
      </c>
      <c r="C144" s="11">
        <v>20</v>
      </c>
      <c r="D144" s="11" t="str">
        <f>"2203"</f>
        <v>2203</v>
      </c>
      <c r="E144" s="10" t="str">
        <f>"Текущие счета юридических лиц"</f>
        <v>Текущие счета юридических лиц</v>
      </c>
      <c r="F144" s="11" t="str">
        <f t="shared" si="18"/>
        <v>1</v>
      </c>
      <c r="G144" s="11" t="str">
        <f>"8"</f>
        <v>8</v>
      </c>
      <c r="H144" s="11" t="str">
        <f t="shared" si="16"/>
        <v>1</v>
      </c>
      <c r="I144" s="13">
        <v>511026.98</v>
      </c>
    </row>
    <row r="145" spans="1:9" ht="15.75" x14ac:dyDescent="0.25">
      <c r="A145" s="11">
        <v>140</v>
      </c>
      <c r="B145" s="12">
        <v>44834</v>
      </c>
      <c r="C145" s="11">
        <v>20</v>
      </c>
      <c r="D145" s="11" t="str">
        <f>"2203"</f>
        <v>2203</v>
      </c>
      <c r="E145" s="10" t="str">
        <f>"Текущие счета юридических лиц"</f>
        <v>Текущие счета юридических лиц</v>
      </c>
      <c r="F145" s="11" t="str">
        <f t="shared" si="18"/>
        <v>1</v>
      </c>
      <c r="G145" s="11" t="str">
        <f>"7"</f>
        <v>7</v>
      </c>
      <c r="H145" s="11" t="str">
        <f t="shared" si="16"/>
        <v>1</v>
      </c>
      <c r="I145" s="13">
        <v>51114241.369999997</v>
      </c>
    </row>
    <row r="146" spans="1:9" ht="15.75" x14ac:dyDescent="0.25">
      <c r="A146" s="11">
        <v>141</v>
      </c>
      <c r="B146" s="12">
        <v>44834</v>
      </c>
      <c r="C146" s="11">
        <v>20</v>
      </c>
      <c r="D146" s="11" t="str">
        <f>"2238"</f>
        <v>2238</v>
      </c>
      <c r="E146" s="10" t="str">
        <f>"Премия по вкладам, привлеченным от клиентов"</f>
        <v>Премия по вкладам, привлеченным от клиентов</v>
      </c>
      <c r="F146" s="11" t="str">
        <f>"2"</f>
        <v>2</v>
      </c>
      <c r="G146" s="11" t="str">
        <f>"9"</f>
        <v>9</v>
      </c>
      <c r="H146" s="11" t="str">
        <f t="shared" si="16"/>
        <v>1</v>
      </c>
      <c r="I146" s="13">
        <v>21042.37</v>
      </c>
    </row>
    <row r="147" spans="1:9" ht="15.75" x14ac:dyDescent="0.25">
      <c r="A147" s="11">
        <v>142</v>
      </c>
      <c r="B147" s="12">
        <v>44834</v>
      </c>
      <c r="C147" s="11">
        <v>20</v>
      </c>
      <c r="D147" s="11" t="str">
        <f>"2238"</f>
        <v>2238</v>
      </c>
      <c r="E147" s="10" t="str">
        <f>"Премия по вкладам, привлеченным от клиентов"</f>
        <v>Премия по вкладам, привлеченным от клиентов</v>
      </c>
      <c r="F147" s="11" t="str">
        <f>"1"</f>
        <v>1</v>
      </c>
      <c r="G147" s="11" t="str">
        <f>"9"</f>
        <v>9</v>
      </c>
      <c r="H147" s="11" t="str">
        <f t="shared" si="16"/>
        <v>1</v>
      </c>
      <c r="I147" s="13">
        <v>303502160.93000001</v>
      </c>
    </row>
    <row r="148" spans="1:9" ht="31.5" x14ac:dyDescent="0.25">
      <c r="A148" s="11">
        <v>143</v>
      </c>
      <c r="B148" s="12">
        <v>44834</v>
      </c>
      <c r="C148" s="11">
        <v>20</v>
      </c>
      <c r="D148" s="11" t="str">
        <f>"2723"</f>
        <v>2723</v>
      </c>
      <c r="E148" s="10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148" s="11" t="str">
        <f>"2"</f>
        <v>2</v>
      </c>
      <c r="G148" s="11" t="str">
        <f>"9"</f>
        <v>9</v>
      </c>
      <c r="H148" s="11" t="str">
        <f t="shared" si="16"/>
        <v>1</v>
      </c>
      <c r="I148" s="13">
        <v>48630.25</v>
      </c>
    </row>
    <row r="149" spans="1:9" ht="31.5" x14ac:dyDescent="0.25">
      <c r="A149" s="11">
        <v>144</v>
      </c>
      <c r="B149" s="12">
        <v>44834</v>
      </c>
      <c r="C149" s="11">
        <v>20</v>
      </c>
      <c r="D149" s="11" t="str">
        <f>"2723"</f>
        <v>2723</v>
      </c>
      <c r="E149" s="10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149" s="11" t="str">
        <f>"1"</f>
        <v>1</v>
      </c>
      <c r="G149" s="11" t="str">
        <f>"9"</f>
        <v>9</v>
      </c>
      <c r="H149" s="11" t="str">
        <f t="shared" ref="H149:H184" si="19">"1"</f>
        <v>1</v>
      </c>
      <c r="I149" s="13">
        <v>12083735465.959999</v>
      </c>
    </row>
    <row r="150" spans="1:9" ht="63" x14ac:dyDescent="0.25">
      <c r="A150" s="11">
        <v>145</v>
      </c>
      <c r="B150" s="12">
        <v>44834</v>
      </c>
      <c r="C150" s="11">
        <v>20</v>
      </c>
      <c r="D150" s="11" t="str">
        <f>"2703"</f>
        <v>2703</v>
      </c>
      <c r="E150" s="10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150" s="11" t="str">
        <f>"1"</f>
        <v>1</v>
      </c>
      <c r="G150" s="11" t="str">
        <f>"6"</f>
        <v>6</v>
      </c>
      <c r="H150" s="11" t="str">
        <f t="shared" si="19"/>
        <v>1</v>
      </c>
      <c r="I150" s="13">
        <v>458333.33</v>
      </c>
    </row>
    <row r="151" spans="1:9" ht="63" x14ac:dyDescent="0.25">
      <c r="A151" s="11">
        <v>146</v>
      </c>
      <c r="B151" s="12">
        <v>44834</v>
      </c>
      <c r="C151" s="11">
        <v>20</v>
      </c>
      <c r="D151" s="11" t="str">
        <f>"2703"</f>
        <v>2703</v>
      </c>
      <c r="E151" s="10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151" s="11" t="str">
        <f>"1"</f>
        <v>1</v>
      </c>
      <c r="G151" s="11" t="str">
        <f>"1"</f>
        <v>1</v>
      </c>
      <c r="H151" s="11" t="str">
        <f t="shared" si="19"/>
        <v>1</v>
      </c>
      <c r="I151" s="13">
        <v>111356111.26000001</v>
      </c>
    </row>
    <row r="152" spans="1:9" ht="63" x14ac:dyDescent="0.25">
      <c r="A152" s="11">
        <v>147</v>
      </c>
      <c r="B152" s="12">
        <v>44834</v>
      </c>
      <c r="C152" s="11">
        <v>20</v>
      </c>
      <c r="D152" s="11" t="str">
        <f>"2703"</f>
        <v>2703</v>
      </c>
      <c r="E152" s="10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152" s="11" t="str">
        <f>"1"</f>
        <v>1</v>
      </c>
      <c r="G152" s="11" t="str">
        <f>"2"</f>
        <v>2</v>
      </c>
      <c r="H152" s="11" t="str">
        <f t="shared" si="19"/>
        <v>1</v>
      </c>
      <c r="I152" s="13">
        <v>2158254.5299999998</v>
      </c>
    </row>
    <row r="153" spans="1:9" ht="31.5" x14ac:dyDescent="0.25">
      <c r="A153" s="11">
        <v>148</v>
      </c>
      <c r="B153" s="12">
        <v>44834</v>
      </c>
      <c r="C153" s="11">
        <v>20</v>
      </c>
      <c r="D153" s="11" t="str">
        <f>"2704"</f>
        <v>2704</v>
      </c>
      <c r="E153" s="10" t="str">
        <f>"Начисленные расходы по займам, полученным от международных финансовых организаций"</f>
        <v>Начисленные расходы по займам, полученным от международных финансовых организаций</v>
      </c>
      <c r="F153" s="11" t="str">
        <f>"2"</f>
        <v>2</v>
      </c>
      <c r="G153" s="11" t="str">
        <f>""</f>
        <v/>
      </c>
      <c r="H153" s="11" t="str">
        <f t="shared" si="19"/>
        <v>1</v>
      </c>
      <c r="I153" s="13">
        <v>104704833.31999999</v>
      </c>
    </row>
    <row r="154" spans="1:9" ht="15.75" x14ac:dyDescent="0.25">
      <c r="A154" s="11">
        <v>149</v>
      </c>
      <c r="B154" s="12">
        <v>44834</v>
      </c>
      <c r="C154" s="11">
        <v>20</v>
      </c>
      <c r="D154" s="11" t="str">
        <f>"2301"</f>
        <v>2301</v>
      </c>
      <c r="E154" s="10" t="str">
        <f>"Выпущенные в обращение облигации"</f>
        <v>Выпущенные в обращение облигации</v>
      </c>
      <c r="F154" s="11" t="str">
        <f t="shared" ref="F154:F163" si="20">"1"</f>
        <v>1</v>
      </c>
      <c r="G154" s="11" t="str">
        <f>"7"</f>
        <v>7</v>
      </c>
      <c r="H154" s="11" t="str">
        <f t="shared" si="19"/>
        <v>1</v>
      </c>
      <c r="I154" s="13">
        <v>1316432000</v>
      </c>
    </row>
    <row r="155" spans="1:9" ht="15.75" x14ac:dyDescent="0.25">
      <c r="A155" s="11">
        <v>150</v>
      </c>
      <c r="B155" s="12">
        <v>44834</v>
      </c>
      <c r="C155" s="11">
        <v>20</v>
      </c>
      <c r="D155" s="11" t="str">
        <f>"2301"</f>
        <v>2301</v>
      </c>
      <c r="E155" s="10" t="str">
        <f>"Выпущенные в обращение облигации"</f>
        <v>Выпущенные в обращение облигации</v>
      </c>
      <c r="F155" s="11" t="str">
        <f t="shared" si="20"/>
        <v>1</v>
      </c>
      <c r="G155" s="11" t="str">
        <f>"5"</f>
        <v>5</v>
      </c>
      <c r="H155" s="11" t="str">
        <f t="shared" si="19"/>
        <v>1</v>
      </c>
      <c r="I155" s="13">
        <v>40000000000</v>
      </c>
    </row>
    <row r="156" spans="1:9" ht="15.75" x14ac:dyDescent="0.25">
      <c r="A156" s="11">
        <v>151</v>
      </c>
      <c r="B156" s="12">
        <v>44834</v>
      </c>
      <c r="C156" s="11">
        <v>20</v>
      </c>
      <c r="D156" s="11" t="str">
        <f>"2301"</f>
        <v>2301</v>
      </c>
      <c r="E156" s="10" t="str">
        <f>"Выпущенные в обращение облигации"</f>
        <v>Выпущенные в обращение облигации</v>
      </c>
      <c r="F156" s="11" t="str">
        <f t="shared" si="20"/>
        <v>1</v>
      </c>
      <c r="G156" s="11" t="str">
        <f>"6"</f>
        <v>6</v>
      </c>
      <c r="H156" s="11" t="str">
        <f t="shared" si="19"/>
        <v>1</v>
      </c>
      <c r="I156" s="13">
        <v>267700000000</v>
      </c>
    </row>
    <row r="157" spans="1:9" ht="31.5" x14ac:dyDescent="0.25">
      <c r="A157" s="11">
        <v>152</v>
      </c>
      <c r="B157" s="12">
        <v>44834</v>
      </c>
      <c r="C157" s="11">
        <v>20</v>
      </c>
      <c r="D157" s="11" t="str">
        <f>"2305"</f>
        <v>2305</v>
      </c>
      <c r="E157" s="10" t="str">
        <f>"Дисконт по выпущенным в обращение ценным бумагам"</f>
        <v>Дисконт по выпущенным в обращение ценным бумагам</v>
      </c>
      <c r="F157" s="11" t="str">
        <f t="shared" si="20"/>
        <v>1</v>
      </c>
      <c r="G157" s="11" t="str">
        <f>"6"</f>
        <v>6</v>
      </c>
      <c r="H157" s="11" t="str">
        <f t="shared" si="19"/>
        <v>1</v>
      </c>
      <c r="I157" s="13">
        <v>-120035045552.02</v>
      </c>
    </row>
    <row r="158" spans="1:9" ht="31.5" x14ac:dyDescent="0.25">
      <c r="A158" s="11">
        <v>153</v>
      </c>
      <c r="B158" s="12">
        <v>44834</v>
      </c>
      <c r="C158" s="11">
        <v>20</v>
      </c>
      <c r="D158" s="11" t="str">
        <f>"2305"</f>
        <v>2305</v>
      </c>
      <c r="E158" s="10" t="str">
        <f>"Дисконт по выпущенным в обращение ценным бумагам"</f>
        <v>Дисконт по выпущенным в обращение ценным бумагам</v>
      </c>
      <c r="F158" s="11" t="str">
        <f t="shared" si="20"/>
        <v>1</v>
      </c>
      <c r="G158" s="11" t="str">
        <f>"7"</f>
        <v>7</v>
      </c>
      <c r="H158" s="11" t="str">
        <f t="shared" si="19"/>
        <v>1</v>
      </c>
      <c r="I158" s="13">
        <v>-225655512.22</v>
      </c>
    </row>
    <row r="159" spans="1:9" ht="31.5" x14ac:dyDescent="0.25">
      <c r="A159" s="11">
        <v>154</v>
      </c>
      <c r="B159" s="12">
        <v>44834</v>
      </c>
      <c r="C159" s="11">
        <v>20</v>
      </c>
      <c r="D159" s="11" t="str">
        <f>"2305"</f>
        <v>2305</v>
      </c>
      <c r="E159" s="10" t="str">
        <f>"Дисконт по выпущенным в обращение ценным бумагам"</f>
        <v>Дисконт по выпущенным в обращение ценным бумагам</v>
      </c>
      <c r="F159" s="11" t="str">
        <f t="shared" si="20"/>
        <v>1</v>
      </c>
      <c r="G159" s="11" t="str">
        <f>"5"</f>
        <v>5</v>
      </c>
      <c r="H159" s="11" t="str">
        <f t="shared" si="19"/>
        <v>1</v>
      </c>
      <c r="I159" s="13">
        <v>-345555098.97000003</v>
      </c>
    </row>
    <row r="160" spans="1:9" ht="31.5" x14ac:dyDescent="0.25">
      <c r="A160" s="11">
        <v>155</v>
      </c>
      <c r="B160" s="12">
        <v>44834</v>
      </c>
      <c r="C160" s="11">
        <v>20</v>
      </c>
      <c r="D160" s="11" t="str">
        <f>"2745"</f>
        <v>2745</v>
      </c>
      <c r="E160" s="10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160" s="11" t="str">
        <f t="shared" si="20"/>
        <v>1</v>
      </c>
      <c r="G160" s="11" t="str">
        <f>"7"</f>
        <v>7</v>
      </c>
      <c r="H160" s="11" t="str">
        <f t="shared" si="19"/>
        <v>1</v>
      </c>
      <c r="I160" s="13">
        <v>2135221.9</v>
      </c>
    </row>
    <row r="161" spans="1:9" ht="31.5" x14ac:dyDescent="0.25">
      <c r="A161" s="11">
        <v>156</v>
      </c>
      <c r="B161" s="12">
        <v>44834</v>
      </c>
      <c r="C161" s="11">
        <v>20</v>
      </c>
      <c r="D161" s="11" t="str">
        <f>"2745"</f>
        <v>2745</v>
      </c>
      <c r="E161" s="10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161" s="11" t="str">
        <f t="shared" si="20"/>
        <v>1</v>
      </c>
      <c r="G161" s="11" t="str">
        <f>"8"</f>
        <v>8</v>
      </c>
      <c r="H161" s="11" t="str">
        <f t="shared" si="19"/>
        <v>1</v>
      </c>
      <c r="I161" s="13">
        <v>718337.99</v>
      </c>
    </row>
    <row r="162" spans="1:9" ht="31.5" x14ac:dyDescent="0.25">
      <c r="A162" s="11">
        <v>157</v>
      </c>
      <c r="B162" s="12">
        <v>44834</v>
      </c>
      <c r="C162" s="11">
        <v>20</v>
      </c>
      <c r="D162" s="11" t="str">
        <f>"2745"</f>
        <v>2745</v>
      </c>
      <c r="E162" s="10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162" s="11" t="str">
        <f t="shared" si="20"/>
        <v>1</v>
      </c>
      <c r="G162" s="11" t="str">
        <f>"9"</f>
        <v>9</v>
      </c>
      <c r="H162" s="11" t="str">
        <f t="shared" si="19"/>
        <v>1</v>
      </c>
      <c r="I162" s="13">
        <v>3171980.86</v>
      </c>
    </row>
    <row r="163" spans="1:9" ht="31.5" x14ac:dyDescent="0.25">
      <c r="A163" s="11">
        <v>158</v>
      </c>
      <c r="B163" s="12">
        <v>44834</v>
      </c>
      <c r="C163" s="11">
        <v>20</v>
      </c>
      <c r="D163" s="11" t="str">
        <f>"2721"</f>
        <v>2721</v>
      </c>
      <c r="E163" s="10" t="str">
        <f>"Начисленные расходы по срочным вкладам клиентов"</f>
        <v>Начисленные расходы по срочным вкладам клиентов</v>
      </c>
      <c r="F163" s="11" t="str">
        <f t="shared" si="20"/>
        <v>1</v>
      </c>
      <c r="G163" s="11" t="str">
        <f>"7"</f>
        <v>7</v>
      </c>
      <c r="H163" s="11" t="str">
        <f t="shared" si="19"/>
        <v>1</v>
      </c>
      <c r="I163" s="13">
        <v>104.78</v>
      </c>
    </row>
    <row r="164" spans="1:9" ht="31.5" x14ac:dyDescent="0.25">
      <c r="A164" s="11">
        <v>159</v>
      </c>
      <c r="B164" s="12">
        <v>44834</v>
      </c>
      <c r="C164" s="11">
        <v>20</v>
      </c>
      <c r="D164" s="11" t="str">
        <f>"2721"</f>
        <v>2721</v>
      </c>
      <c r="E164" s="10" t="str">
        <f>"Начисленные расходы по срочным вкладам клиентов"</f>
        <v>Начисленные расходы по срочным вкладам клиентов</v>
      </c>
      <c r="F164" s="11" t="str">
        <f>"2"</f>
        <v>2</v>
      </c>
      <c r="G164" s="11" t="str">
        <f>"9"</f>
        <v>9</v>
      </c>
      <c r="H164" s="11" t="str">
        <f t="shared" si="19"/>
        <v>1</v>
      </c>
      <c r="I164" s="13">
        <v>133113.51</v>
      </c>
    </row>
    <row r="165" spans="1:9" ht="31.5" x14ac:dyDescent="0.25">
      <c r="A165" s="11">
        <v>160</v>
      </c>
      <c r="B165" s="12">
        <v>44834</v>
      </c>
      <c r="C165" s="11">
        <v>20</v>
      </c>
      <c r="D165" s="11" t="str">
        <f>"2721"</f>
        <v>2721</v>
      </c>
      <c r="E165" s="10" t="str">
        <f>"Начисленные расходы по срочным вкладам клиентов"</f>
        <v>Начисленные расходы по срочным вкладам клиентов</v>
      </c>
      <c r="F165" s="11" t="str">
        <f>"1"</f>
        <v>1</v>
      </c>
      <c r="G165" s="11" t="str">
        <f>"9"</f>
        <v>9</v>
      </c>
      <c r="H165" s="11" t="str">
        <f t="shared" si="19"/>
        <v>1</v>
      </c>
      <c r="I165" s="13">
        <v>12002412794.9</v>
      </c>
    </row>
    <row r="166" spans="1:9" ht="31.5" x14ac:dyDescent="0.25">
      <c r="A166" s="11">
        <v>161</v>
      </c>
      <c r="B166" s="12">
        <v>44834</v>
      </c>
      <c r="C166" s="11">
        <v>20</v>
      </c>
      <c r="D166" s="11" t="str">
        <f>"2721"</f>
        <v>2721</v>
      </c>
      <c r="E166" s="10" t="str">
        <f>"Начисленные расходы по срочным вкладам клиентов"</f>
        <v>Начисленные расходы по срочным вкладам клиентов</v>
      </c>
      <c r="F166" s="11" t="str">
        <f>"1"</f>
        <v>1</v>
      </c>
      <c r="G166" s="11" t="str">
        <f>"8"</f>
        <v>8</v>
      </c>
      <c r="H166" s="11" t="str">
        <f t="shared" si="19"/>
        <v>1</v>
      </c>
      <c r="I166" s="13">
        <v>48456.74</v>
      </c>
    </row>
    <row r="167" spans="1:9" ht="31.5" x14ac:dyDescent="0.25">
      <c r="A167" s="11">
        <v>162</v>
      </c>
      <c r="B167" s="12">
        <v>44834</v>
      </c>
      <c r="C167" s="11">
        <v>20</v>
      </c>
      <c r="D167" s="11" t="str">
        <f>"2712"</f>
        <v>2712</v>
      </c>
      <c r="E167" s="10" t="str">
        <f>"Начисленные расходы по срочным вкладам других банков"</f>
        <v>Начисленные расходы по срочным вкладам других банков</v>
      </c>
      <c r="F167" s="11" t="str">
        <f>"1"</f>
        <v>1</v>
      </c>
      <c r="G167" s="11" t="str">
        <f>"4"</f>
        <v>4</v>
      </c>
      <c r="H167" s="11" t="str">
        <f t="shared" si="19"/>
        <v>1</v>
      </c>
      <c r="I167" s="13">
        <v>111111111.11</v>
      </c>
    </row>
    <row r="168" spans="1:9" ht="15.75" x14ac:dyDescent="0.25">
      <c r="A168" s="11">
        <v>163</v>
      </c>
      <c r="B168" s="12">
        <v>44834</v>
      </c>
      <c r="C168" s="11">
        <v>20</v>
      </c>
      <c r="D168" s="11" t="str">
        <f>"2818"</f>
        <v>2818</v>
      </c>
      <c r="E168" s="10" t="str">
        <f>"Начисленные прочие комиссионные расходы"</f>
        <v>Начисленные прочие комиссионные расходы</v>
      </c>
      <c r="F168" s="11" t="str">
        <f>"2"</f>
        <v>2</v>
      </c>
      <c r="G168" s="11" t="str">
        <f>""</f>
        <v/>
      </c>
      <c r="H168" s="11" t="str">
        <f t="shared" si="19"/>
        <v>1</v>
      </c>
      <c r="I168" s="13">
        <v>975000</v>
      </c>
    </row>
    <row r="169" spans="1:9" ht="31.5" x14ac:dyDescent="0.25">
      <c r="A169" s="11">
        <v>164</v>
      </c>
      <c r="B169" s="12">
        <v>44834</v>
      </c>
      <c r="C169" s="11">
        <v>20</v>
      </c>
      <c r="D169" s="11" t="str">
        <f t="shared" ref="D169:D175" si="21">"2770"</f>
        <v>2770</v>
      </c>
      <c r="E169" s="10" t="str">
        <f t="shared" ref="E169:E175" si="22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69" s="11" t="str">
        <f>"1"</f>
        <v>1</v>
      </c>
      <c r="G169" s="11" t="str">
        <f>"6"</f>
        <v>6</v>
      </c>
      <c r="H169" s="11" t="str">
        <f t="shared" si="19"/>
        <v>1</v>
      </c>
      <c r="I169" s="13">
        <v>6757210.4400000004</v>
      </c>
    </row>
    <row r="170" spans="1:9" ht="31.5" x14ac:dyDescent="0.25">
      <c r="A170" s="11">
        <v>165</v>
      </c>
      <c r="B170" s="12">
        <v>44834</v>
      </c>
      <c r="C170" s="11">
        <v>20</v>
      </c>
      <c r="D170" s="11" t="str">
        <f t="shared" si="21"/>
        <v>2770</v>
      </c>
      <c r="E170" s="10" t="str">
        <f t="shared" si="22"/>
        <v>Начисленные расходы по административно-хозяйственной деятельности</v>
      </c>
      <c r="F170" s="11" t="str">
        <f>"1"</f>
        <v>1</v>
      </c>
      <c r="G170" s="11" t="str">
        <f>"7"</f>
        <v>7</v>
      </c>
      <c r="H170" s="11" t="str">
        <f t="shared" si="19"/>
        <v>1</v>
      </c>
      <c r="I170" s="13">
        <v>292219839.44999999</v>
      </c>
    </row>
    <row r="171" spans="1:9" ht="31.5" x14ac:dyDescent="0.25">
      <c r="A171" s="11">
        <v>166</v>
      </c>
      <c r="B171" s="12">
        <v>44834</v>
      </c>
      <c r="C171" s="11">
        <v>20</v>
      </c>
      <c r="D171" s="11" t="str">
        <f t="shared" si="21"/>
        <v>2770</v>
      </c>
      <c r="E171" s="10" t="str">
        <f t="shared" si="22"/>
        <v>Начисленные расходы по административно-хозяйственной деятельности</v>
      </c>
      <c r="F171" s="11" t="str">
        <f>"2"</f>
        <v>2</v>
      </c>
      <c r="G171" s="11" t="str">
        <f>"7"</f>
        <v>7</v>
      </c>
      <c r="H171" s="11" t="str">
        <f t="shared" si="19"/>
        <v>1</v>
      </c>
      <c r="I171" s="13">
        <v>134774711.63999999</v>
      </c>
    </row>
    <row r="172" spans="1:9" ht="31.5" x14ac:dyDescent="0.25">
      <c r="A172" s="11">
        <v>167</v>
      </c>
      <c r="B172" s="12">
        <v>44834</v>
      </c>
      <c r="C172" s="11">
        <v>20</v>
      </c>
      <c r="D172" s="11" t="str">
        <f t="shared" si="21"/>
        <v>2770</v>
      </c>
      <c r="E172" s="10" t="str">
        <f t="shared" si="22"/>
        <v>Начисленные расходы по административно-хозяйственной деятельности</v>
      </c>
      <c r="F172" s="11" t="str">
        <f>"1"</f>
        <v>1</v>
      </c>
      <c r="G172" s="11" t="str">
        <f>"1"</f>
        <v>1</v>
      </c>
      <c r="H172" s="11" t="str">
        <f t="shared" si="19"/>
        <v>1</v>
      </c>
      <c r="I172" s="13">
        <v>12357397.99</v>
      </c>
    </row>
    <row r="173" spans="1:9" ht="31.5" x14ac:dyDescent="0.25">
      <c r="A173" s="11">
        <v>168</v>
      </c>
      <c r="B173" s="12">
        <v>44834</v>
      </c>
      <c r="C173" s="11">
        <v>20</v>
      </c>
      <c r="D173" s="11" t="str">
        <f t="shared" si="21"/>
        <v>2770</v>
      </c>
      <c r="E173" s="10" t="str">
        <f t="shared" si="22"/>
        <v>Начисленные расходы по административно-хозяйственной деятельности</v>
      </c>
      <c r="F173" s="11" t="str">
        <f t="shared" ref="F173:F184" si="23">"1"</f>
        <v>1</v>
      </c>
      <c r="G173" s="11" t="str">
        <f>"5"</f>
        <v>5</v>
      </c>
      <c r="H173" s="11" t="str">
        <f t="shared" si="19"/>
        <v>1</v>
      </c>
      <c r="I173" s="13">
        <v>43517248.719999999</v>
      </c>
    </row>
    <row r="174" spans="1:9" ht="31.5" x14ac:dyDescent="0.25">
      <c r="A174" s="11">
        <v>169</v>
      </c>
      <c r="B174" s="12">
        <v>44834</v>
      </c>
      <c r="C174" s="11">
        <v>20</v>
      </c>
      <c r="D174" s="11" t="str">
        <f t="shared" si="21"/>
        <v>2770</v>
      </c>
      <c r="E174" s="10" t="str">
        <f t="shared" si="22"/>
        <v>Начисленные расходы по административно-хозяйственной деятельности</v>
      </c>
      <c r="F174" s="11" t="str">
        <f t="shared" si="23"/>
        <v>1</v>
      </c>
      <c r="G174" s="11" t="str">
        <f>"8"</f>
        <v>8</v>
      </c>
      <c r="H174" s="11" t="str">
        <f t="shared" si="19"/>
        <v>1</v>
      </c>
      <c r="I174" s="13">
        <v>1777633.93</v>
      </c>
    </row>
    <row r="175" spans="1:9" ht="31.5" x14ac:dyDescent="0.25">
      <c r="A175" s="11">
        <v>170</v>
      </c>
      <c r="B175" s="12">
        <v>44834</v>
      </c>
      <c r="C175" s="11">
        <v>20</v>
      </c>
      <c r="D175" s="11" t="str">
        <f t="shared" si="21"/>
        <v>2770</v>
      </c>
      <c r="E175" s="10" t="str">
        <f t="shared" si="22"/>
        <v>Начисленные расходы по административно-хозяйственной деятельности</v>
      </c>
      <c r="F175" s="11" t="str">
        <f t="shared" si="23"/>
        <v>1</v>
      </c>
      <c r="G175" s="11" t="str">
        <f>"9"</f>
        <v>9</v>
      </c>
      <c r="H175" s="11" t="str">
        <f t="shared" si="19"/>
        <v>1</v>
      </c>
      <c r="I175" s="13">
        <v>61898169.759999998</v>
      </c>
    </row>
    <row r="176" spans="1:9" ht="15.75" x14ac:dyDescent="0.25">
      <c r="A176" s="11">
        <v>171</v>
      </c>
      <c r="B176" s="12">
        <v>44834</v>
      </c>
      <c r="C176" s="11">
        <v>20</v>
      </c>
      <c r="D176" s="11" t="str">
        <f>"2794"</f>
        <v>2794</v>
      </c>
      <c r="E176" s="10" t="str">
        <f>"Доходы будущих периодов"</f>
        <v>Доходы будущих периодов</v>
      </c>
      <c r="F176" s="11" t="str">
        <f t="shared" si="23"/>
        <v>1</v>
      </c>
      <c r="G176" s="11" t="str">
        <f>"1"</f>
        <v>1</v>
      </c>
      <c r="H176" s="11" t="str">
        <f t="shared" si="19"/>
        <v>1</v>
      </c>
      <c r="I176" s="13">
        <v>161642768340.78</v>
      </c>
    </row>
    <row r="177" spans="1:9" ht="15.75" x14ac:dyDescent="0.25">
      <c r="A177" s="11">
        <v>172</v>
      </c>
      <c r="B177" s="12">
        <v>44834</v>
      </c>
      <c r="C177" s="11">
        <v>20</v>
      </c>
      <c r="D177" s="11" t="str">
        <f>"2794"</f>
        <v>2794</v>
      </c>
      <c r="E177" s="10" t="str">
        <f>"Доходы будущих периодов"</f>
        <v>Доходы будущих периодов</v>
      </c>
      <c r="F177" s="11" t="str">
        <f t="shared" si="23"/>
        <v>1</v>
      </c>
      <c r="G177" s="11" t="str">
        <f>"6"</f>
        <v>6</v>
      </c>
      <c r="H177" s="11" t="str">
        <f t="shared" si="19"/>
        <v>1</v>
      </c>
      <c r="I177" s="13">
        <v>95062796410.240005</v>
      </c>
    </row>
    <row r="178" spans="1:9" ht="15.75" x14ac:dyDescent="0.25">
      <c r="A178" s="11">
        <v>173</v>
      </c>
      <c r="B178" s="12">
        <v>44834</v>
      </c>
      <c r="C178" s="11">
        <v>20</v>
      </c>
      <c r="D178" s="11" t="str">
        <f>"2794"</f>
        <v>2794</v>
      </c>
      <c r="E178" s="10" t="str">
        <f>"Доходы будущих периодов"</f>
        <v>Доходы будущих периодов</v>
      </c>
      <c r="F178" s="11" t="str">
        <f t="shared" si="23"/>
        <v>1</v>
      </c>
      <c r="G178" s="11" t="str">
        <f>"5"</f>
        <v>5</v>
      </c>
      <c r="H178" s="11" t="str">
        <f t="shared" si="19"/>
        <v>1</v>
      </c>
      <c r="I178" s="13">
        <v>76055.67</v>
      </c>
    </row>
    <row r="179" spans="1:9" ht="15.75" x14ac:dyDescent="0.25">
      <c r="A179" s="11">
        <v>174</v>
      </c>
      <c r="B179" s="12">
        <v>44834</v>
      </c>
      <c r="C179" s="11">
        <v>20</v>
      </c>
      <c r="D179" s="11" t="str">
        <f>"2794"</f>
        <v>2794</v>
      </c>
      <c r="E179" s="10" t="str">
        <f>"Доходы будущих периодов"</f>
        <v>Доходы будущих периодов</v>
      </c>
      <c r="F179" s="11" t="str">
        <f t="shared" si="23"/>
        <v>1</v>
      </c>
      <c r="G179" s="11" t="str">
        <f>"2"</f>
        <v>2</v>
      </c>
      <c r="H179" s="11" t="str">
        <f t="shared" si="19"/>
        <v>1</v>
      </c>
      <c r="I179" s="13">
        <v>3208264060.8000002</v>
      </c>
    </row>
    <row r="180" spans="1:9" ht="15.75" x14ac:dyDescent="0.25">
      <c r="A180" s="11">
        <v>175</v>
      </c>
      <c r="B180" s="12">
        <v>44834</v>
      </c>
      <c r="C180" s="11">
        <v>20</v>
      </c>
      <c r="D180" s="11" t="str">
        <f>"2731"</f>
        <v>2731</v>
      </c>
      <c r="E180" s="10" t="str">
        <f>"Начисленные расходы по прочим операциям"</f>
        <v>Начисленные расходы по прочим операциям</v>
      </c>
      <c r="F180" s="11" t="str">
        <f t="shared" si="23"/>
        <v>1</v>
      </c>
      <c r="G180" s="11" t="str">
        <f>"8"</f>
        <v>8</v>
      </c>
      <c r="H180" s="11" t="str">
        <f t="shared" si="19"/>
        <v>1</v>
      </c>
      <c r="I180" s="13">
        <v>19718.2</v>
      </c>
    </row>
    <row r="181" spans="1:9" ht="31.5" x14ac:dyDescent="0.25">
      <c r="A181" s="11">
        <v>176</v>
      </c>
      <c r="B181" s="12">
        <v>44834</v>
      </c>
      <c r="C181" s="11">
        <v>20</v>
      </c>
      <c r="D181" s="11" t="str">
        <f>"2730"</f>
        <v>2730</v>
      </c>
      <c r="E181" s="10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181" s="11" t="str">
        <f t="shared" si="23"/>
        <v>1</v>
      </c>
      <c r="G181" s="11" t="str">
        <f>"7"</f>
        <v>7</v>
      </c>
      <c r="H181" s="11" t="str">
        <f t="shared" si="19"/>
        <v>1</v>
      </c>
      <c r="I181" s="13">
        <v>9800104.8900000006</v>
      </c>
    </row>
    <row r="182" spans="1:9" ht="31.5" x14ac:dyDescent="0.25">
      <c r="A182" s="11">
        <v>177</v>
      </c>
      <c r="B182" s="12">
        <v>44834</v>
      </c>
      <c r="C182" s="11">
        <v>20</v>
      </c>
      <c r="D182" s="11" t="str">
        <f>"2730"</f>
        <v>2730</v>
      </c>
      <c r="E182" s="10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182" s="11" t="str">
        <f t="shared" si="23"/>
        <v>1</v>
      </c>
      <c r="G182" s="11" t="str">
        <f>"5"</f>
        <v>5</v>
      </c>
      <c r="H182" s="11" t="str">
        <f t="shared" si="19"/>
        <v>1</v>
      </c>
      <c r="I182" s="13">
        <v>833011111.11000001</v>
      </c>
    </row>
    <row r="183" spans="1:9" ht="31.5" x14ac:dyDescent="0.25">
      <c r="A183" s="11">
        <v>178</v>
      </c>
      <c r="B183" s="12">
        <v>44834</v>
      </c>
      <c r="C183" s="11">
        <v>20</v>
      </c>
      <c r="D183" s="11" t="str">
        <f>"2730"</f>
        <v>2730</v>
      </c>
      <c r="E183" s="10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183" s="11" t="str">
        <f t="shared" si="23"/>
        <v>1</v>
      </c>
      <c r="G183" s="11" t="str">
        <f>"6"</f>
        <v>6</v>
      </c>
      <c r="H183" s="11" t="str">
        <f t="shared" si="19"/>
        <v>1</v>
      </c>
      <c r="I183" s="13">
        <v>4358999222.2200003</v>
      </c>
    </row>
    <row r="184" spans="1:9" ht="15.75" x14ac:dyDescent="0.25">
      <c r="A184" s="11">
        <v>179</v>
      </c>
      <c r="B184" s="12">
        <v>44834</v>
      </c>
      <c r="C184" s="11">
        <v>20</v>
      </c>
      <c r="D184" s="11" t="str">
        <f>"2870"</f>
        <v>2870</v>
      </c>
      <c r="E184" s="10" t="str">
        <f>"Прочие транзитные счета"</f>
        <v>Прочие транзитные счета</v>
      </c>
      <c r="F184" s="11" t="str">
        <f t="shared" si="23"/>
        <v>1</v>
      </c>
      <c r="G184" s="11" t="str">
        <f>"9"</f>
        <v>9</v>
      </c>
      <c r="H184" s="11" t="str">
        <f t="shared" si="19"/>
        <v>1</v>
      </c>
      <c r="I184" s="13">
        <v>2629000</v>
      </c>
    </row>
    <row r="185" spans="1:9" ht="15.75" x14ac:dyDescent="0.25">
      <c r="A185" s="11">
        <v>180</v>
      </c>
      <c r="B185" s="12">
        <v>44834</v>
      </c>
      <c r="C185" s="11">
        <v>20</v>
      </c>
      <c r="D185" s="11" t="str">
        <f>"2857"</f>
        <v>2857</v>
      </c>
      <c r="E185" s="10" t="str">
        <f>"Отложенные налоговые обязательства"</f>
        <v>Отложенные налоговые обязательства</v>
      </c>
      <c r="F185" s="11" t="str">
        <f>""</f>
        <v/>
      </c>
      <c r="G185" s="11" t="str">
        <f>""</f>
        <v/>
      </c>
      <c r="H185" s="11" t="str">
        <f>""</f>
        <v/>
      </c>
      <c r="I185" s="13">
        <v>25816879694.689999</v>
      </c>
    </row>
    <row r="186" spans="1:9" ht="15.75" x14ac:dyDescent="0.25">
      <c r="A186" s="11">
        <v>181</v>
      </c>
      <c r="B186" s="12">
        <v>44834</v>
      </c>
      <c r="C186" s="11">
        <v>20</v>
      </c>
      <c r="D186" s="11" t="str">
        <f>"2861"</f>
        <v>2861</v>
      </c>
      <c r="E186" s="10" t="str">
        <f>"Резерв на отпускные выплаты"</f>
        <v>Резерв на отпускные выплаты</v>
      </c>
      <c r="F186" s="11" t="str">
        <f>""</f>
        <v/>
      </c>
      <c r="G186" s="11" t="str">
        <f>""</f>
        <v/>
      </c>
      <c r="H186" s="11" t="str">
        <f>""</f>
        <v/>
      </c>
      <c r="I186" s="13">
        <v>1133869093.3599999</v>
      </c>
    </row>
    <row r="187" spans="1:9" ht="31.5" x14ac:dyDescent="0.25">
      <c r="A187" s="11">
        <v>182</v>
      </c>
      <c r="B187" s="12">
        <v>44834</v>
      </c>
      <c r="C187" s="11">
        <v>20</v>
      </c>
      <c r="D187" s="11" t="str">
        <f>"3580"</f>
        <v>3580</v>
      </c>
      <c r="E187" s="10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187" s="11" t="str">
        <f>""</f>
        <v/>
      </c>
      <c r="G187" s="11" t="str">
        <f>""</f>
        <v/>
      </c>
      <c r="H187" s="11" t="str">
        <f>""</f>
        <v/>
      </c>
      <c r="I187" s="13">
        <v>141875349239.56</v>
      </c>
    </row>
    <row r="188" spans="1:9" ht="31.5" x14ac:dyDescent="0.25">
      <c r="A188" s="11">
        <v>183</v>
      </c>
      <c r="B188" s="12">
        <v>44834</v>
      </c>
      <c r="C188" s="11">
        <v>20</v>
      </c>
      <c r="D188" s="11" t="str">
        <f>"2812"</f>
        <v>2812</v>
      </c>
      <c r="E188" s="10" t="str">
        <f>"Начисленные комиссионные расходы по агентским услугам"</f>
        <v>Начисленные комиссионные расходы по агентским услугам</v>
      </c>
      <c r="F188" s="11" t="str">
        <f>"1"</f>
        <v>1</v>
      </c>
      <c r="G188" s="11" t="str">
        <f>""</f>
        <v/>
      </c>
      <c r="H188" s="11" t="str">
        <f>"1"</f>
        <v>1</v>
      </c>
      <c r="I188" s="13">
        <v>284947551</v>
      </c>
    </row>
    <row r="189" spans="1:9" ht="15.75" x14ac:dyDescent="0.25">
      <c r="A189" s="11">
        <v>184</v>
      </c>
      <c r="B189" s="12">
        <v>44834</v>
      </c>
      <c r="C189" s="11">
        <v>20</v>
      </c>
      <c r="D189" s="11" t="str">
        <f>"3001"</f>
        <v>3001</v>
      </c>
      <c r="E189" s="10" t="str">
        <f>"Уставный капитал – простые акции"</f>
        <v>Уставный капитал – простые акции</v>
      </c>
      <c r="F189" s="11" t="str">
        <f>""</f>
        <v/>
      </c>
      <c r="G189" s="11" t="str">
        <f>""</f>
        <v/>
      </c>
      <c r="H189" s="11" t="str">
        <f>""</f>
        <v/>
      </c>
      <c r="I189" s="13">
        <v>78300000000</v>
      </c>
    </row>
    <row r="190" spans="1:9" ht="31.5" x14ac:dyDescent="0.25">
      <c r="A190" s="11">
        <v>185</v>
      </c>
      <c r="B190" s="12">
        <v>44834</v>
      </c>
      <c r="C190" s="11">
        <v>20</v>
      </c>
      <c r="D190" s="11" t="str">
        <f>"3599"</f>
        <v>3599</v>
      </c>
      <c r="E190" s="10" t="str">
        <f>"Нераспределенная чистая прибыль (непокрытый убыток)"</f>
        <v>Нераспределенная чистая прибыль (непокрытый убыток)</v>
      </c>
      <c r="F190" s="11" t="str">
        <f>""</f>
        <v/>
      </c>
      <c r="G190" s="11" t="str">
        <f>""</f>
        <v/>
      </c>
      <c r="H190" s="11" t="str">
        <f>""</f>
        <v/>
      </c>
      <c r="I190" s="13">
        <v>68387271324.449997</v>
      </c>
    </row>
    <row r="191" spans="1:9" ht="31.5" x14ac:dyDescent="0.25">
      <c r="A191" s="11">
        <v>186</v>
      </c>
      <c r="B191" s="12">
        <v>44834</v>
      </c>
      <c r="C191" s="11">
        <v>20</v>
      </c>
      <c r="D191" s="11" t="str">
        <f>"2811"</f>
        <v>2811</v>
      </c>
      <c r="E191" s="10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191" s="11" t="str">
        <f>"1"</f>
        <v>1</v>
      </c>
      <c r="G191" s="11" t="str">
        <f>""</f>
        <v/>
      </c>
      <c r="H191" s="11" t="str">
        <f>"1"</f>
        <v>1</v>
      </c>
      <c r="I191" s="13">
        <v>74178.58</v>
      </c>
    </row>
    <row r="192" spans="1:9" ht="15.75" x14ac:dyDescent="0.25">
      <c r="A192" s="11">
        <v>187</v>
      </c>
      <c r="B192" s="12">
        <v>44834</v>
      </c>
      <c r="C192" s="11">
        <v>20</v>
      </c>
      <c r="D192" s="11" t="str">
        <f>"2867"</f>
        <v>2867</v>
      </c>
      <c r="E192" s="10" t="str">
        <f>"Прочие кредиторы по неосновной деятельности"</f>
        <v>Прочие кредиторы по неосновной деятельности</v>
      </c>
      <c r="F192" s="11" t="str">
        <f>"1"</f>
        <v>1</v>
      </c>
      <c r="G192" s="11" t="str">
        <f>"9"</f>
        <v>9</v>
      </c>
      <c r="H192" s="11" t="str">
        <f>"1"</f>
        <v>1</v>
      </c>
      <c r="I192" s="13">
        <v>130000</v>
      </c>
    </row>
    <row r="193" spans="1:9" ht="15.75" x14ac:dyDescent="0.25">
      <c r="A193" s="11">
        <v>188</v>
      </c>
      <c r="B193" s="12">
        <v>44834</v>
      </c>
      <c r="C193" s="11">
        <v>20</v>
      </c>
      <c r="D193" s="11" t="str">
        <f>"2867"</f>
        <v>2867</v>
      </c>
      <c r="E193" s="10" t="str">
        <f>"Прочие кредиторы по неосновной деятельности"</f>
        <v>Прочие кредиторы по неосновной деятельности</v>
      </c>
      <c r="F193" s="11" t="str">
        <f>"1"</f>
        <v>1</v>
      </c>
      <c r="G193" s="11" t="str">
        <f>"7"</f>
        <v>7</v>
      </c>
      <c r="H193" s="11" t="str">
        <f>"1"</f>
        <v>1</v>
      </c>
      <c r="I193" s="13">
        <v>133225020.78</v>
      </c>
    </row>
    <row r="194" spans="1:9" ht="15.75" x14ac:dyDescent="0.25">
      <c r="A194" s="11">
        <v>189</v>
      </c>
      <c r="B194" s="12">
        <v>44834</v>
      </c>
      <c r="C194" s="11">
        <v>20</v>
      </c>
      <c r="D194" s="11" t="str">
        <f>"2867"</f>
        <v>2867</v>
      </c>
      <c r="E194" s="10" t="str">
        <f>"Прочие кредиторы по неосновной деятельности"</f>
        <v>Прочие кредиторы по неосновной деятельности</v>
      </c>
      <c r="F194" s="11" t="str">
        <f>"2"</f>
        <v>2</v>
      </c>
      <c r="G194" s="11" t="str">
        <f>"7"</f>
        <v>7</v>
      </c>
      <c r="H194" s="11" t="str">
        <f>"2"</f>
        <v>2</v>
      </c>
      <c r="I194" s="13">
        <v>1081174.45</v>
      </c>
    </row>
    <row r="195" spans="1:9" ht="31.5" x14ac:dyDescent="0.25">
      <c r="A195" s="11">
        <v>190</v>
      </c>
      <c r="B195" s="12">
        <v>44834</v>
      </c>
      <c r="C195" s="11">
        <v>20</v>
      </c>
      <c r="D195" s="11" t="str">
        <f>"4052"</f>
        <v>4052</v>
      </c>
      <c r="E195" s="10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195" s="11" t="str">
        <f>""</f>
        <v/>
      </c>
      <c r="G195" s="11" t="str">
        <f>""</f>
        <v/>
      </c>
      <c r="H195" s="11" t="str">
        <f>""</f>
        <v/>
      </c>
      <c r="I195" s="13">
        <v>97265882.489999995</v>
      </c>
    </row>
    <row r="196" spans="1:9" ht="15.75" x14ac:dyDescent="0.25">
      <c r="A196" s="11">
        <v>191</v>
      </c>
      <c r="B196" s="12">
        <v>44834</v>
      </c>
      <c r="C196" s="11">
        <v>20</v>
      </c>
      <c r="D196" s="11" t="str">
        <f>"3101"</f>
        <v>3101</v>
      </c>
      <c r="E196" s="10" t="str">
        <f>"Дополнительный оплаченный капитал"</f>
        <v>Дополнительный оплаченный капитал</v>
      </c>
      <c r="F196" s="11" t="str">
        <f>""</f>
        <v/>
      </c>
      <c r="G196" s="11" t="str">
        <f>""</f>
        <v/>
      </c>
      <c r="H196" s="11" t="str">
        <f>""</f>
        <v/>
      </c>
      <c r="I196" s="13">
        <v>134125224130.75999</v>
      </c>
    </row>
    <row r="197" spans="1:9" ht="31.5" x14ac:dyDescent="0.25">
      <c r="A197" s="11">
        <v>192</v>
      </c>
      <c r="B197" s="12">
        <v>44834</v>
      </c>
      <c r="C197" s="11">
        <v>20</v>
      </c>
      <c r="D197" s="11" t="str">
        <f>"2851"</f>
        <v>2851</v>
      </c>
      <c r="E197" s="10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97" s="11" t="str">
        <f>"1"</f>
        <v>1</v>
      </c>
      <c r="G197" s="11" t="str">
        <f>"1"</f>
        <v>1</v>
      </c>
      <c r="H197" s="11" t="str">
        <f>"1"</f>
        <v>1</v>
      </c>
      <c r="I197" s="13">
        <v>609605825.98000002</v>
      </c>
    </row>
    <row r="198" spans="1:9" ht="47.25" x14ac:dyDescent="0.25">
      <c r="A198" s="11">
        <v>193</v>
      </c>
      <c r="B198" s="12">
        <v>44834</v>
      </c>
      <c r="C198" s="11">
        <v>20</v>
      </c>
      <c r="D198" s="11" t="str">
        <f>"4101"</f>
        <v>4101</v>
      </c>
      <c r="E198" s="10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198" s="11" t="str">
        <f>""</f>
        <v/>
      </c>
      <c r="G198" s="11" t="str">
        <f>""</f>
        <v/>
      </c>
      <c r="H198" s="11" t="str">
        <f>""</f>
        <v/>
      </c>
      <c r="I198" s="13">
        <v>6120567937.4799995</v>
      </c>
    </row>
    <row r="199" spans="1:9" ht="47.25" x14ac:dyDescent="0.25">
      <c r="A199" s="11">
        <v>194</v>
      </c>
      <c r="B199" s="12">
        <v>44834</v>
      </c>
      <c r="C199" s="11">
        <v>20</v>
      </c>
      <c r="D199" s="11" t="str">
        <f>"4103"</f>
        <v>4103</v>
      </c>
      <c r="E199" s="10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199" s="11" t="str">
        <f>""</f>
        <v/>
      </c>
      <c r="G199" s="11" t="str">
        <f>""</f>
        <v/>
      </c>
      <c r="H199" s="11" t="str">
        <f>""</f>
        <v/>
      </c>
      <c r="I199" s="13">
        <v>11696277083.280001</v>
      </c>
    </row>
    <row r="200" spans="1:9" ht="15.75" x14ac:dyDescent="0.25">
      <c r="A200" s="11">
        <v>195</v>
      </c>
      <c r="B200" s="12">
        <v>44834</v>
      </c>
      <c r="C200" s="11">
        <v>20</v>
      </c>
      <c r="D200" s="11" t="str">
        <f>"2854"</f>
        <v>2854</v>
      </c>
      <c r="E200" s="10" t="str">
        <f>"Расчеты с работниками"</f>
        <v>Расчеты с работниками</v>
      </c>
      <c r="F200" s="11" t="str">
        <f>""</f>
        <v/>
      </c>
      <c r="G200" s="11" t="str">
        <f>""</f>
        <v/>
      </c>
      <c r="H200" s="11" t="str">
        <f>""</f>
        <v/>
      </c>
      <c r="I200" s="13">
        <v>655492867.88999999</v>
      </c>
    </row>
    <row r="201" spans="1:9" ht="15.75" x14ac:dyDescent="0.25">
      <c r="A201" s="11">
        <v>196</v>
      </c>
      <c r="B201" s="12">
        <v>44834</v>
      </c>
      <c r="C201" s="11">
        <v>20</v>
      </c>
      <c r="D201" s="11" t="str">
        <f>"3510"</f>
        <v>3510</v>
      </c>
      <c r="E201" s="10" t="str">
        <f>"Резервный капитал"</f>
        <v>Резервный капитал</v>
      </c>
      <c r="F201" s="11" t="str">
        <f>""</f>
        <v/>
      </c>
      <c r="G201" s="11" t="str">
        <f>""</f>
        <v/>
      </c>
      <c r="H201" s="11" t="str">
        <f>""</f>
        <v/>
      </c>
      <c r="I201" s="13">
        <v>2283334818.8800001</v>
      </c>
    </row>
    <row r="202" spans="1:9" ht="47.25" x14ac:dyDescent="0.25">
      <c r="A202" s="11">
        <v>197</v>
      </c>
      <c r="B202" s="12">
        <v>44834</v>
      </c>
      <c r="C202" s="11">
        <v>20</v>
      </c>
      <c r="D202" s="11" t="str">
        <f>"4255"</f>
        <v>4255</v>
      </c>
      <c r="E202" s="10" t="str">
        <f>"Доходы, связанные с получением вознаграждения по долгосрочным вкладам, размещенным в других банках"</f>
        <v>Доходы, связанные с получением вознаграждения по долгосрочным вкладам, размещенным в других банках</v>
      </c>
      <c r="F202" s="11" t="str">
        <f>""</f>
        <v/>
      </c>
      <c r="G202" s="11" t="str">
        <f>""</f>
        <v/>
      </c>
      <c r="H202" s="11" t="str">
        <f>""</f>
        <v/>
      </c>
      <c r="I202" s="13">
        <v>1000000000</v>
      </c>
    </row>
    <row r="203" spans="1:9" ht="31.5" x14ac:dyDescent="0.25">
      <c r="A203" s="11">
        <v>198</v>
      </c>
      <c r="B203" s="12">
        <v>44834</v>
      </c>
      <c r="C203" s="11">
        <v>20</v>
      </c>
      <c r="D203" s="11" t="str">
        <f>"2813"</f>
        <v>2813</v>
      </c>
      <c r="E203" s="10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F203" s="11" t="str">
        <f>"1"</f>
        <v>1</v>
      </c>
      <c r="G203" s="11" t="str">
        <f>""</f>
        <v/>
      </c>
      <c r="H203" s="11" t="str">
        <f>"1"</f>
        <v>1</v>
      </c>
      <c r="I203" s="13">
        <v>4647506.0599999996</v>
      </c>
    </row>
    <row r="204" spans="1:9" ht="63" x14ac:dyDescent="0.25">
      <c r="A204" s="11">
        <v>199</v>
      </c>
      <c r="B204" s="12">
        <v>44834</v>
      </c>
      <c r="C204" s="11">
        <v>20</v>
      </c>
      <c r="D204" s="11" t="str">
        <f>"3562"</f>
        <v>3562</v>
      </c>
      <c r="E204" s="10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204" s="11" t="str">
        <f>"1"</f>
        <v>1</v>
      </c>
      <c r="G204" s="11" t="str">
        <f>""</f>
        <v/>
      </c>
      <c r="H204" s="11" t="str">
        <f>"1"</f>
        <v>1</v>
      </c>
      <c r="I204" s="13">
        <v>99957745.780000001</v>
      </c>
    </row>
    <row r="205" spans="1:9" ht="31.5" x14ac:dyDescent="0.25">
      <c r="A205" s="11">
        <v>200</v>
      </c>
      <c r="B205" s="12">
        <v>44834</v>
      </c>
      <c r="C205" s="11">
        <v>20</v>
      </c>
      <c r="D205" s="11" t="str">
        <f>"4266"</f>
        <v>4266</v>
      </c>
      <c r="E205" s="10" t="str">
        <f>"Доходы по амортизации дисконта по вкладам, размещенным в других банках"</f>
        <v>Доходы по амортизации дисконта по вкладам, размещенным в других банках</v>
      </c>
      <c r="F205" s="11" t="str">
        <f>""</f>
        <v/>
      </c>
      <c r="G205" s="11" t="str">
        <f>""</f>
        <v/>
      </c>
      <c r="H205" s="11" t="str">
        <f>""</f>
        <v/>
      </c>
      <c r="I205" s="13">
        <v>617573378.00999999</v>
      </c>
    </row>
    <row r="206" spans="1:9" ht="31.5" x14ac:dyDescent="0.25">
      <c r="A206" s="11">
        <v>201</v>
      </c>
      <c r="B206" s="12">
        <v>44834</v>
      </c>
      <c r="C206" s="11">
        <v>20</v>
      </c>
      <c r="D206" s="11" t="str">
        <f>"4440"</f>
        <v>4440</v>
      </c>
      <c r="E206" s="10" t="str">
        <f>"Доходы по амортизации премии по вкладам, привлеченным от клиентов"</f>
        <v>Доходы по амортизации премии по вкладам, привлеченным от клиентов</v>
      </c>
      <c r="F206" s="11" t="str">
        <f>""</f>
        <v/>
      </c>
      <c r="G206" s="11" t="str">
        <f>""</f>
        <v/>
      </c>
      <c r="H206" s="11" t="str">
        <f>""</f>
        <v/>
      </c>
      <c r="I206" s="13">
        <v>180401120.96000001</v>
      </c>
    </row>
    <row r="207" spans="1:9" ht="47.25" x14ac:dyDescent="0.25">
      <c r="A207" s="11">
        <v>202</v>
      </c>
      <c r="B207" s="12">
        <v>44834</v>
      </c>
      <c r="C207" s="11">
        <v>20</v>
      </c>
      <c r="D207" s="11" t="str">
        <f>"4453"</f>
        <v>4453</v>
      </c>
      <c r="E207" s="10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207" s="11" t="str">
        <f>""</f>
        <v/>
      </c>
      <c r="G207" s="11" t="str">
        <f>""</f>
        <v/>
      </c>
      <c r="H207" s="11" t="str">
        <f>""</f>
        <v/>
      </c>
      <c r="I207" s="13">
        <v>238178732.69999999</v>
      </c>
    </row>
    <row r="208" spans="1:9" ht="63" x14ac:dyDescent="0.25">
      <c r="A208" s="11">
        <v>203</v>
      </c>
      <c r="B208" s="12">
        <v>44834</v>
      </c>
      <c r="C208" s="11">
        <v>20</v>
      </c>
      <c r="D208" s="11" t="str">
        <f>"4452"</f>
        <v>4452</v>
      </c>
      <c r="E208" s="10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208" s="11" t="str">
        <f>""</f>
        <v/>
      </c>
      <c r="G208" s="11" t="str">
        <f>""</f>
        <v/>
      </c>
      <c r="H208" s="11" t="str">
        <f>""</f>
        <v/>
      </c>
      <c r="I208" s="13">
        <v>5143014131.5900002</v>
      </c>
    </row>
    <row r="209" spans="1:9" ht="15.75" x14ac:dyDescent="0.25">
      <c r="A209" s="11">
        <v>204</v>
      </c>
      <c r="B209" s="12">
        <v>44834</v>
      </c>
      <c r="C209" s="11">
        <v>20</v>
      </c>
      <c r="D209" s="11" t="str">
        <f>"2860"</f>
        <v>2860</v>
      </c>
      <c r="E209" s="10" t="str">
        <f>"Прочие кредиторы по банковской деятельности"</f>
        <v>Прочие кредиторы по банковской деятельности</v>
      </c>
      <c r="F209" s="11" t="str">
        <f>"1"</f>
        <v>1</v>
      </c>
      <c r="G209" s="11" t="str">
        <f>"5"</f>
        <v>5</v>
      </c>
      <c r="H209" s="11" t="str">
        <f>"1"</f>
        <v>1</v>
      </c>
      <c r="I209" s="13">
        <v>577500245.00999999</v>
      </c>
    </row>
    <row r="210" spans="1:9" ht="15.75" x14ac:dyDescent="0.25">
      <c r="A210" s="11">
        <v>205</v>
      </c>
      <c r="B210" s="12">
        <v>44834</v>
      </c>
      <c r="C210" s="11">
        <v>20</v>
      </c>
      <c r="D210" s="11" t="str">
        <f>"2860"</f>
        <v>2860</v>
      </c>
      <c r="E210" s="10" t="str">
        <f>"Прочие кредиторы по банковской деятельности"</f>
        <v>Прочие кредиторы по банковской деятельности</v>
      </c>
      <c r="F210" s="11" t="str">
        <f>"2"</f>
        <v>2</v>
      </c>
      <c r="G210" s="11" t="str">
        <f>"9"</f>
        <v>9</v>
      </c>
      <c r="H210" s="11" t="str">
        <f>"1"</f>
        <v>1</v>
      </c>
      <c r="I210" s="13">
        <v>565570.5</v>
      </c>
    </row>
    <row r="211" spans="1:9" ht="15.75" x14ac:dyDescent="0.25">
      <c r="A211" s="11">
        <v>206</v>
      </c>
      <c r="B211" s="12">
        <v>44834</v>
      </c>
      <c r="C211" s="11">
        <v>20</v>
      </c>
      <c r="D211" s="11" t="str">
        <f>"2860"</f>
        <v>2860</v>
      </c>
      <c r="E211" s="10" t="str">
        <f>"Прочие кредиторы по банковской деятельности"</f>
        <v>Прочие кредиторы по банковской деятельности</v>
      </c>
      <c r="F211" s="11" t="str">
        <f>"1"</f>
        <v>1</v>
      </c>
      <c r="G211" s="11" t="str">
        <f>"8"</f>
        <v>8</v>
      </c>
      <c r="H211" s="11" t="str">
        <f>"1"</f>
        <v>1</v>
      </c>
      <c r="I211" s="13">
        <v>158108018.83000001</v>
      </c>
    </row>
    <row r="212" spans="1:9" ht="15.75" x14ac:dyDescent="0.25">
      <c r="A212" s="11">
        <v>207</v>
      </c>
      <c r="B212" s="12">
        <v>44834</v>
      </c>
      <c r="C212" s="11">
        <v>20</v>
      </c>
      <c r="D212" s="11" t="str">
        <f>"2860"</f>
        <v>2860</v>
      </c>
      <c r="E212" s="10" t="str">
        <f>"Прочие кредиторы по банковской деятельности"</f>
        <v>Прочие кредиторы по банковской деятельности</v>
      </c>
      <c r="F212" s="11" t="str">
        <f>"1"</f>
        <v>1</v>
      </c>
      <c r="G212" s="11" t="str">
        <f>"1"</f>
        <v>1</v>
      </c>
      <c r="H212" s="11" t="str">
        <f>"1"</f>
        <v>1</v>
      </c>
      <c r="I212" s="13">
        <v>19025863.879999999</v>
      </c>
    </row>
    <row r="213" spans="1:9" ht="15.75" x14ac:dyDescent="0.25">
      <c r="A213" s="11">
        <v>208</v>
      </c>
      <c r="B213" s="12">
        <v>44834</v>
      </c>
      <c r="C213" s="11">
        <v>20</v>
      </c>
      <c r="D213" s="11" t="str">
        <f>"2860"</f>
        <v>2860</v>
      </c>
      <c r="E213" s="10" t="str">
        <f>"Прочие кредиторы по банковской деятельности"</f>
        <v>Прочие кредиторы по банковской деятельности</v>
      </c>
      <c r="F213" s="11" t="str">
        <f>"1"</f>
        <v>1</v>
      </c>
      <c r="G213" s="11" t="str">
        <f>"9"</f>
        <v>9</v>
      </c>
      <c r="H213" s="11" t="str">
        <f>"1"</f>
        <v>1</v>
      </c>
      <c r="I213" s="13">
        <v>1755180290.76</v>
      </c>
    </row>
    <row r="214" spans="1:9" ht="47.25" x14ac:dyDescent="0.25">
      <c r="A214" s="11">
        <v>209</v>
      </c>
      <c r="B214" s="12">
        <v>44834</v>
      </c>
      <c r="C214" s="11">
        <v>20</v>
      </c>
      <c r="D214" s="11" t="str">
        <f>"4424"</f>
        <v>4424</v>
      </c>
      <c r="E214" s="10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214" s="11" t="str">
        <f>""</f>
        <v/>
      </c>
      <c r="G214" s="11" t="str">
        <f>""</f>
        <v/>
      </c>
      <c r="H214" s="11" t="str">
        <f>""</f>
        <v/>
      </c>
      <c r="I214" s="13">
        <v>164806362.56999999</v>
      </c>
    </row>
    <row r="215" spans="1:9" ht="31.5" x14ac:dyDescent="0.25">
      <c r="A215" s="11">
        <v>210</v>
      </c>
      <c r="B215" s="12">
        <v>44834</v>
      </c>
      <c r="C215" s="11">
        <v>20</v>
      </c>
      <c r="D215" s="11" t="str">
        <f>"2874"</f>
        <v>2874</v>
      </c>
      <c r="E215" s="10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215" s="11" t="str">
        <f>"1"</f>
        <v>1</v>
      </c>
      <c r="G215" s="11" t="str">
        <f>""</f>
        <v/>
      </c>
      <c r="H215" s="11" t="str">
        <f>"1"</f>
        <v>1</v>
      </c>
      <c r="I215" s="13">
        <v>48419.44</v>
      </c>
    </row>
    <row r="216" spans="1:9" ht="47.25" x14ac:dyDescent="0.25">
      <c r="A216" s="11">
        <v>211</v>
      </c>
      <c r="B216" s="12">
        <v>44834</v>
      </c>
      <c r="C216" s="11">
        <v>20</v>
      </c>
      <c r="D216" s="11" t="str">
        <f>"3561"</f>
        <v>3561</v>
      </c>
      <c r="E216" s="10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216" s="11" t="str">
        <f>"1"</f>
        <v>1</v>
      </c>
      <c r="G216" s="11" t="str">
        <f>""</f>
        <v/>
      </c>
      <c r="H216" s="11" t="str">
        <f>"1"</f>
        <v>1</v>
      </c>
      <c r="I216" s="13">
        <v>-4440264934</v>
      </c>
    </row>
    <row r="217" spans="1:9" ht="47.25" x14ac:dyDescent="0.25">
      <c r="A217" s="11">
        <v>212</v>
      </c>
      <c r="B217" s="12">
        <v>44834</v>
      </c>
      <c r="C217" s="11">
        <v>20</v>
      </c>
      <c r="D217" s="11" t="str">
        <f>"4411"</f>
        <v>4411</v>
      </c>
      <c r="E217" s="10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217" s="11" t="str">
        <f>""</f>
        <v/>
      </c>
      <c r="G217" s="11" t="str">
        <f>""</f>
        <v/>
      </c>
      <c r="H217" s="11" t="str">
        <f>""</f>
        <v/>
      </c>
      <c r="I217" s="13">
        <v>2789449.33</v>
      </c>
    </row>
    <row r="218" spans="1:9" ht="47.25" x14ac:dyDescent="0.25">
      <c r="A218" s="11">
        <v>213</v>
      </c>
      <c r="B218" s="12">
        <v>44834</v>
      </c>
      <c r="C218" s="11">
        <v>20</v>
      </c>
      <c r="D218" s="11" t="str">
        <f>"4417"</f>
        <v>4417</v>
      </c>
      <c r="E218" s="10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218" s="11" t="str">
        <f>""</f>
        <v/>
      </c>
      <c r="G218" s="11" t="str">
        <f>""</f>
        <v/>
      </c>
      <c r="H218" s="11" t="str">
        <f>""</f>
        <v/>
      </c>
      <c r="I218" s="13">
        <v>113431112787.75</v>
      </c>
    </row>
    <row r="219" spans="1:9" ht="47.25" x14ac:dyDescent="0.25">
      <c r="A219" s="11">
        <v>214</v>
      </c>
      <c r="B219" s="12">
        <v>44834</v>
      </c>
      <c r="C219" s="11">
        <v>20</v>
      </c>
      <c r="D219" s="11" t="str">
        <f>"4607"</f>
        <v>4607</v>
      </c>
      <c r="E219" s="10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219" s="11" t="str">
        <f>""</f>
        <v/>
      </c>
      <c r="G219" s="11" t="str">
        <f>""</f>
        <v/>
      </c>
      <c r="H219" s="11" t="str">
        <f>""</f>
        <v/>
      </c>
      <c r="I219" s="13">
        <v>60897668.469999999</v>
      </c>
    </row>
    <row r="220" spans="1:9" ht="15.75" x14ac:dyDescent="0.25">
      <c r="A220" s="11">
        <v>215</v>
      </c>
      <c r="B220" s="12">
        <v>44834</v>
      </c>
      <c r="C220" s="11">
        <v>20</v>
      </c>
      <c r="D220" s="11" t="str">
        <f>"4608"</f>
        <v>4608</v>
      </c>
      <c r="E220" s="10" t="str">
        <f>"Прочие комиссионные доходы"</f>
        <v>Прочие комиссионные доходы</v>
      </c>
      <c r="F220" s="11" t="str">
        <f>""</f>
        <v/>
      </c>
      <c r="G220" s="11" t="str">
        <f>""</f>
        <v/>
      </c>
      <c r="H220" s="11" t="str">
        <f>""</f>
        <v/>
      </c>
      <c r="I220" s="13">
        <v>1008001863.13</v>
      </c>
    </row>
    <row r="221" spans="1:9" ht="47.25" x14ac:dyDescent="0.25">
      <c r="A221" s="11">
        <v>216</v>
      </c>
      <c r="B221" s="12">
        <v>44834</v>
      </c>
      <c r="C221" s="11">
        <v>20</v>
      </c>
      <c r="D221" s="11" t="str">
        <f>"4465"</f>
        <v>4465</v>
      </c>
      <c r="E221" s="10" t="str">
        <f>"Доходы, связанные с получением вознаграждения по операциям «обратное РЕПО» с ценными бумагами"</f>
        <v>Доходы, связанные с получением вознаграждения по операциям «обратное РЕПО» с ценными бумагами</v>
      </c>
      <c r="F221" s="11" t="str">
        <f>""</f>
        <v/>
      </c>
      <c r="G221" s="11" t="str">
        <f>""</f>
        <v/>
      </c>
      <c r="H221" s="11" t="str">
        <f>""</f>
        <v/>
      </c>
      <c r="I221" s="13">
        <v>6065275041.7799997</v>
      </c>
    </row>
    <row r="222" spans="1:9" ht="31.5" x14ac:dyDescent="0.25">
      <c r="A222" s="11">
        <v>217</v>
      </c>
      <c r="B222" s="12">
        <v>44834</v>
      </c>
      <c r="C222" s="11">
        <v>20</v>
      </c>
      <c r="D222" s="11" t="str">
        <f>"4611"</f>
        <v>4611</v>
      </c>
      <c r="E222" s="10" t="str">
        <f>"Комиссионные доходы за услуги по кассовым операциям"</f>
        <v>Комиссионные доходы за услуги по кассовым операциям</v>
      </c>
      <c r="F222" s="11" t="str">
        <f>""</f>
        <v/>
      </c>
      <c r="G222" s="11" t="str">
        <f>""</f>
        <v/>
      </c>
      <c r="H222" s="11" t="str">
        <f>""</f>
        <v/>
      </c>
      <c r="I222" s="13">
        <v>126743059</v>
      </c>
    </row>
    <row r="223" spans="1:9" ht="47.25" x14ac:dyDescent="0.25">
      <c r="A223" s="11">
        <v>218</v>
      </c>
      <c r="B223" s="12">
        <v>44834</v>
      </c>
      <c r="C223" s="11">
        <v>20</v>
      </c>
      <c r="D223" s="11" t="str">
        <f>"4482"</f>
        <v>4482</v>
      </c>
      <c r="E223" s="10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223" s="11" t="str">
        <f>""</f>
        <v/>
      </c>
      <c r="G223" s="11" t="str">
        <f>""</f>
        <v/>
      </c>
      <c r="H223" s="11" t="str">
        <f>""</f>
        <v/>
      </c>
      <c r="I223" s="13">
        <v>22996671354.119999</v>
      </c>
    </row>
    <row r="224" spans="1:9" ht="47.25" x14ac:dyDescent="0.25">
      <c r="A224" s="11">
        <v>219</v>
      </c>
      <c r="B224" s="12">
        <v>44834</v>
      </c>
      <c r="C224" s="11">
        <v>20</v>
      </c>
      <c r="D224" s="11" t="str">
        <f>"4481"</f>
        <v>4481</v>
      </c>
      <c r="E224" s="10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224" s="11" t="str">
        <f>""</f>
        <v/>
      </c>
      <c r="G224" s="11" t="str">
        <f>""</f>
        <v/>
      </c>
      <c r="H224" s="11" t="str">
        <f>""</f>
        <v/>
      </c>
      <c r="I224" s="13">
        <v>5192091794.8599997</v>
      </c>
    </row>
    <row r="225" spans="1:9" ht="31.5" x14ac:dyDescent="0.25">
      <c r="A225" s="11">
        <v>220</v>
      </c>
      <c r="B225" s="12">
        <v>44834</v>
      </c>
      <c r="C225" s="11">
        <v>20</v>
      </c>
      <c r="D225" s="11" t="str">
        <f>"4601"</f>
        <v>4601</v>
      </c>
      <c r="E225" s="10" t="str">
        <f>"Комиссионные доходы за услуги по переводным операциям"</f>
        <v>Комиссионные доходы за услуги по переводным операциям</v>
      </c>
      <c r="F225" s="11" t="str">
        <f>""</f>
        <v/>
      </c>
      <c r="G225" s="11" t="str">
        <f>""</f>
        <v/>
      </c>
      <c r="H225" s="11" t="str">
        <f>""</f>
        <v/>
      </c>
      <c r="I225" s="13">
        <v>825209048</v>
      </c>
    </row>
    <row r="226" spans="1:9" ht="15.75" x14ac:dyDescent="0.25">
      <c r="A226" s="11">
        <v>221</v>
      </c>
      <c r="B226" s="12">
        <v>44834</v>
      </c>
      <c r="C226" s="11">
        <v>20</v>
      </c>
      <c r="D226" s="11" t="str">
        <f>"4703"</f>
        <v>4703</v>
      </c>
      <c r="E226" s="10" t="str">
        <f>"Доход от переоценки иностранной валюты"</f>
        <v>Доход от переоценки иностранной валюты</v>
      </c>
      <c r="F226" s="11" t="str">
        <f>""</f>
        <v/>
      </c>
      <c r="G226" s="11" t="str">
        <f>""</f>
        <v/>
      </c>
      <c r="H226" s="11" t="str">
        <f>""</f>
        <v/>
      </c>
      <c r="I226" s="13">
        <v>256520610.22999999</v>
      </c>
    </row>
    <row r="227" spans="1:9" ht="47.25" x14ac:dyDescent="0.25">
      <c r="A227" s="11">
        <v>222</v>
      </c>
      <c r="B227" s="12">
        <v>44834</v>
      </c>
      <c r="C227" s="11">
        <v>20</v>
      </c>
      <c r="D227" s="11" t="str">
        <f>"4955"</f>
        <v>4955</v>
      </c>
      <c r="E227" s="10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227" s="11" t="str">
        <f>""</f>
        <v/>
      </c>
      <c r="G227" s="11" t="str">
        <f>""</f>
        <v/>
      </c>
      <c r="H227" s="11" t="str">
        <f>""</f>
        <v/>
      </c>
      <c r="I227" s="13">
        <v>10471214608.049999</v>
      </c>
    </row>
    <row r="228" spans="1:9" ht="47.25" x14ac:dyDescent="0.25">
      <c r="A228" s="11">
        <v>223</v>
      </c>
      <c r="B228" s="12">
        <v>44834</v>
      </c>
      <c r="C228" s="11">
        <v>20</v>
      </c>
      <c r="D228" s="11" t="str">
        <f>"4956"</f>
        <v>4956</v>
      </c>
      <c r="E228" s="10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228" s="11" t="str">
        <f>""</f>
        <v/>
      </c>
      <c r="G228" s="11" t="str">
        <f>""</f>
        <v/>
      </c>
      <c r="H228" s="11" t="str">
        <f>""</f>
        <v/>
      </c>
      <c r="I228" s="13">
        <v>3190299.53</v>
      </c>
    </row>
    <row r="229" spans="1:9" ht="47.25" x14ac:dyDescent="0.25">
      <c r="A229" s="11">
        <v>224</v>
      </c>
      <c r="B229" s="12">
        <v>44834</v>
      </c>
      <c r="C229" s="11">
        <v>20</v>
      </c>
      <c r="D229" s="11" t="str">
        <f>"4960"</f>
        <v>4960</v>
      </c>
      <c r="E229" s="10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229" s="11" t="str">
        <f>""</f>
        <v/>
      </c>
      <c r="G229" s="11" t="str">
        <f>""</f>
        <v/>
      </c>
      <c r="H229" s="11" t="str">
        <f>""</f>
        <v/>
      </c>
      <c r="I229" s="13">
        <v>14681240.73</v>
      </c>
    </row>
    <row r="230" spans="1:9" ht="47.25" x14ac:dyDescent="0.25">
      <c r="A230" s="11">
        <v>225</v>
      </c>
      <c r="B230" s="12">
        <v>44834</v>
      </c>
      <c r="C230" s="11">
        <v>20</v>
      </c>
      <c r="D230" s="11" t="str">
        <f>"4733"</f>
        <v>4733</v>
      </c>
      <c r="E230" s="10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230" s="11" t="str">
        <f>""</f>
        <v/>
      </c>
      <c r="G230" s="11" t="str">
        <f>""</f>
        <v/>
      </c>
      <c r="H230" s="11" t="str">
        <f>""</f>
        <v/>
      </c>
      <c r="I230" s="13">
        <v>653814.94999999995</v>
      </c>
    </row>
    <row r="231" spans="1:9" ht="31.5" x14ac:dyDescent="0.25">
      <c r="A231" s="11">
        <v>226</v>
      </c>
      <c r="B231" s="12">
        <v>44834</v>
      </c>
      <c r="C231" s="11">
        <v>20</v>
      </c>
      <c r="D231" s="11" t="str">
        <f>"4434"</f>
        <v>4434</v>
      </c>
      <c r="E231" s="10" t="str">
        <f>"Доходы по амортизации дисконта по займам, предоставленным клиентам"</f>
        <v>Доходы по амортизации дисконта по займам, предоставленным клиентам</v>
      </c>
      <c r="F231" s="11" t="str">
        <f>""</f>
        <v/>
      </c>
      <c r="G231" s="11" t="str">
        <f>""</f>
        <v/>
      </c>
      <c r="H231" s="11" t="str">
        <f>""</f>
        <v/>
      </c>
      <c r="I231" s="13">
        <v>11915067641.07</v>
      </c>
    </row>
    <row r="232" spans="1:9" ht="15.75" x14ac:dyDescent="0.25">
      <c r="A232" s="11">
        <v>227</v>
      </c>
      <c r="B232" s="12">
        <v>44834</v>
      </c>
      <c r="C232" s="11">
        <v>20</v>
      </c>
      <c r="D232" s="11" t="str">
        <f>"4602"</f>
        <v>4602</v>
      </c>
      <c r="E232" s="10" t="str">
        <f>"Комиссионные доходы за агентские услуги"</f>
        <v>Комиссионные доходы за агентские услуги</v>
      </c>
      <c r="F232" s="11" t="str">
        <f>""</f>
        <v/>
      </c>
      <c r="G232" s="11" t="str">
        <f>""</f>
        <v/>
      </c>
      <c r="H232" s="11" t="str">
        <f>""</f>
        <v/>
      </c>
      <c r="I232" s="13">
        <v>107368822</v>
      </c>
    </row>
    <row r="233" spans="1:9" ht="15.75" x14ac:dyDescent="0.25">
      <c r="A233" s="11">
        <v>228</v>
      </c>
      <c r="B233" s="12">
        <v>44834</v>
      </c>
      <c r="C233" s="11">
        <v>20</v>
      </c>
      <c r="D233" s="11" t="str">
        <f>"4900"</f>
        <v>4900</v>
      </c>
      <c r="E233" s="10" t="str">
        <f>"Неустойка (штраф, пеня)"</f>
        <v>Неустойка (штраф, пеня)</v>
      </c>
      <c r="F233" s="11" t="str">
        <f>""</f>
        <v/>
      </c>
      <c r="G233" s="11" t="str">
        <f>""</f>
        <v/>
      </c>
      <c r="H233" s="11" t="str">
        <f>""</f>
        <v/>
      </c>
      <c r="I233" s="13">
        <v>99605749.400000006</v>
      </c>
    </row>
    <row r="234" spans="1:9" ht="15.75" x14ac:dyDescent="0.25">
      <c r="A234" s="11">
        <v>229</v>
      </c>
      <c r="B234" s="12">
        <v>44834</v>
      </c>
      <c r="C234" s="11">
        <v>20</v>
      </c>
      <c r="D234" s="11" t="str">
        <f>"4530"</f>
        <v>4530</v>
      </c>
      <c r="E234" s="10" t="str">
        <f>"Доходы по купле-продаже иностранной валюты"</f>
        <v>Доходы по купле-продаже иностранной валюты</v>
      </c>
      <c r="F234" s="11" t="str">
        <f>""</f>
        <v/>
      </c>
      <c r="G234" s="11" t="str">
        <f>""</f>
        <v/>
      </c>
      <c r="H234" s="11" t="str">
        <f>""</f>
        <v/>
      </c>
      <c r="I234" s="13">
        <v>2597553.56</v>
      </c>
    </row>
    <row r="235" spans="1:9" ht="47.25" x14ac:dyDescent="0.25">
      <c r="A235" s="11">
        <v>230</v>
      </c>
      <c r="B235" s="12">
        <v>44834</v>
      </c>
      <c r="C235" s="11">
        <v>20</v>
      </c>
      <c r="D235" s="11" t="str">
        <f>"4951"</f>
        <v>4951</v>
      </c>
      <c r="E235" s="10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235" s="11" t="str">
        <f>""</f>
        <v/>
      </c>
      <c r="G235" s="11" t="str">
        <f>""</f>
        <v/>
      </c>
      <c r="H235" s="11" t="str">
        <f>""</f>
        <v/>
      </c>
      <c r="I235" s="13">
        <v>37032067.439999998</v>
      </c>
    </row>
    <row r="236" spans="1:9" ht="31.5" x14ac:dyDescent="0.25">
      <c r="A236" s="11">
        <v>231</v>
      </c>
      <c r="B236" s="12">
        <v>44834</v>
      </c>
      <c r="C236" s="11">
        <v>20</v>
      </c>
      <c r="D236" s="11" t="str">
        <f>"4852"</f>
        <v>4852</v>
      </c>
      <c r="E236" s="10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236" s="11" t="str">
        <f>""</f>
        <v/>
      </c>
      <c r="G236" s="11" t="str">
        <f>""</f>
        <v/>
      </c>
      <c r="H236" s="11" t="str">
        <f>""</f>
        <v/>
      </c>
      <c r="I236" s="13">
        <v>268839.38</v>
      </c>
    </row>
    <row r="237" spans="1:9" ht="31.5" x14ac:dyDescent="0.25">
      <c r="A237" s="11">
        <v>232</v>
      </c>
      <c r="B237" s="12">
        <v>44834</v>
      </c>
      <c r="C237" s="11">
        <v>20</v>
      </c>
      <c r="D237" s="11" t="str">
        <f>"4954"</f>
        <v>4954</v>
      </c>
      <c r="E237" s="10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237" s="11" t="str">
        <f>""</f>
        <v/>
      </c>
      <c r="G237" s="11" t="str">
        <f>""</f>
        <v/>
      </c>
      <c r="H237" s="11" t="str">
        <f>""</f>
        <v/>
      </c>
      <c r="I237" s="13">
        <v>61112123.399999999</v>
      </c>
    </row>
    <row r="238" spans="1:9" ht="63" x14ac:dyDescent="0.25">
      <c r="A238" s="11">
        <v>233</v>
      </c>
      <c r="B238" s="12">
        <v>44834</v>
      </c>
      <c r="C238" s="11">
        <v>20</v>
      </c>
      <c r="D238" s="11" t="str">
        <f>"5036"</f>
        <v>5036</v>
      </c>
      <c r="E238" s="10" t="str">
        <f>"Расходы, связанные с выплатой вознаграждения по долгосрочным займам, полученным от Правительства и местных исполнительных органов Республики Казахстан"</f>
        <v>Расходы, связанные с выплатой вознаграждения по долгосрочным займам, полученным от Правительства и местных исполнительных органов Республики Казахстан</v>
      </c>
      <c r="F238" s="11" t="str">
        <f>""</f>
        <v/>
      </c>
      <c r="G238" s="11" t="str">
        <f>""</f>
        <v/>
      </c>
      <c r="H238" s="11" t="str">
        <f>""</f>
        <v/>
      </c>
      <c r="I238" s="13">
        <v>283449129.30000001</v>
      </c>
    </row>
    <row r="239" spans="1:9" ht="47.25" x14ac:dyDescent="0.25">
      <c r="A239" s="11">
        <v>234</v>
      </c>
      <c r="B239" s="12">
        <v>44834</v>
      </c>
      <c r="C239" s="11">
        <v>20</v>
      </c>
      <c r="D239" s="11" t="str">
        <f>"5046"</f>
        <v>5046</v>
      </c>
      <c r="E239" s="10" t="str">
        <f>"Расходы, связанные с выплатой вознаграждения по долгосрочным займам, полученным от международных финансовых организаций"</f>
        <v>Расходы, связанные с выплатой вознаграждения по долгосрочным займам, полученным от международных финансовых организаций</v>
      </c>
      <c r="F239" s="11" t="str">
        <f>""</f>
        <v/>
      </c>
      <c r="G239" s="11" t="str">
        <f>""</f>
        <v/>
      </c>
      <c r="H239" s="11" t="str">
        <f>""</f>
        <v/>
      </c>
      <c r="I239" s="13">
        <v>1624364311.1099999</v>
      </c>
    </row>
    <row r="240" spans="1:9" ht="47.25" x14ac:dyDescent="0.25">
      <c r="A240" s="11">
        <v>235</v>
      </c>
      <c r="B240" s="12">
        <v>44834</v>
      </c>
      <c r="C240" s="11">
        <v>20</v>
      </c>
      <c r="D240" s="11" t="str">
        <f>"4959"</f>
        <v>4959</v>
      </c>
      <c r="E240" s="10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240" s="11" t="str">
        <f>""</f>
        <v/>
      </c>
      <c r="G240" s="11" t="str">
        <f>""</f>
        <v/>
      </c>
      <c r="H240" s="11" t="str">
        <f>""</f>
        <v/>
      </c>
      <c r="I240" s="13">
        <v>138810</v>
      </c>
    </row>
    <row r="241" spans="1:9" ht="15.75" x14ac:dyDescent="0.25">
      <c r="A241" s="11">
        <v>236</v>
      </c>
      <c r="B241" s="12">
        <v>44834</v>
      </c>
      <c r="C241" s="11">
        <v>20</v>
      </c>
      <c r="D241" s="11" t="str">
        <f>"4922"</f>
        <v>4922</v>
      </c>
      <c r="E241" s="10" t="str">
        <f>"Прочие доходы от неосновной деятельности"</f>
        <v>Прочие доходы от неосновной деятельности</v>
      </c>
      <c r="F241" s="11" t="str">
        <f>""</f>
        <v/>
      </c>
      <c r="G241" s="11" t="str">
        <f>""</f>
        <v/>
      </c>
      <c r="H241" s="11" t="str">
        <f>""</f>
        <v/>
      </c>
      <c r="I241" s="13">
        <v>9041952</v>
      </c>
    </row>
    <row r="242" spans="1:9" ht="15.75" x14ac:dyDescent="0.25">
      <c r="A242" s="11">
        <v>237</v>
      </c>
      <c r="B242" s="12">
        <v>44834</v>
      </c>
      <c r="C242" s="11">
        <v>20</v>
      </c>
      <c r="D242" s="11" t="str">
        <f>"4921"</f>
        <v>4921</v>
      </c>
      <c r="E242" s="10" t="str">
        <f>"Прочие доходы от банковской деятельности"</f>
        <v>Прочие доходы от банковской деятельности</v>
      </c>
      <c r="F242" s="11" t="str">
        <f>""</f>
        <v/>
      </c>
      <c r="G242" s="11" t="str">
        <f>""</f>
        <v/>
      </c>
      <c r="H242" s="11" t="str">
        <f>""</f>
        <v/>
      </c>
      <c r="I242" s="13">
        <v>10800061736.34</v>
      </c>
    </row>
    <row r="243" spans="1:9" ht="63" x14ac:dyDescent="0.25">
      <c r="A243" s="11">
        <v>238</v>
      </c>
      <c r="B243" s="12">
        <v>44834</v>
      </c>
      <c r="C243" s="11">
        <v>20</v>
      </c>
      <c r="D243" s="11" t="str">
        <f>"5138"</f>
        <v>5138</v>
      </c>
      <c r="E243" s="10" t="str">
        <f>"Расходы по амортизации дисконта по вкладам, привлеченным от Национального Банка Республики Казахстан, иностранных центральных банков и других банков"</f>
        <v>Расходы по амортизации дисконта по вкладам, привлеченным от Национального Банка Республики Казахстан, иностранных центральных банков и других банков</v>
      </c>
      <c r="F243" s="11" t="str">
        <f>""</f>
        <v/>
      </c>
      <c r="G243" s="11" t="str">
        <f>""</f>
        <v/>
      </c>
      <c r="H243" s="11" t="str">
        <f>""</f>
        <v/>
      </c>
      <c r="I243" s="13">
        <v>211121625.86000001</v>
      </c>
    </row>
    <row r="244" spans="1:9" ht="31.5" x14ac:dyDescent="0.25">
      <c r="A244" s="11">
        <v>239</v>
      </c>
      <c r="B244" s="12">
        <v>44834</v>
      </c>
      <c r="C244" s="11">
        <v>20</v>
      </c>
      <c r="D244" s="11" t="str">
        <f>"5203"</f>
        <v>5203</v>
      </c>
      <c r="E244" s="10" t="str">
        <f>"Расходы, связанные с выплатой вознаграждения по текущим счетам клиентов"</f>
        <v>Расходы, связанные с выплатой вознаграждения по текущим счетам клиентов</v>
      </c>
      <c r="F244" s="11" t="str">
        <f>""</f>
        <v/>
      </c>
      <c r="G244" s="11" t="str">
        <f>""</f>
        <v/>
      </c>
      <c r="H244" s="11" t="str">
        <f>""</f>
        <v/>
      </c>
      <c r="I244" s="13">
        <v>12540874444.98</v>
      </c>
    </row>
    <row r="245" spans="1:9" ht="31.5" x14ac:dyDescent="0.25">
      <c r="A245" s="11">
        <v>240</v>
      </c>
      <c r="B245" s="12">
        <v>44834</v>
      </c>
      <c r="C245" s="11">
        <v>20</v>
      </c>
      <c r="D245" s="11" t="str">
        <f>"5128"</f>
        <v>5128</v>
      </c>
      <c r="E245" s="10" t="str">
        <f>"Расходы, связанные с выплатой вознаграждения по долгосрочным вкладам других банков"</f>
        <v>Расходы, связанные с выплатой вознаграждения по долгосрочным вкладам других банков</v>
      </c>
      <c r="F245" s="11" t="str">
        <f>""</f>
        <v/>
      </c>
      <c r="G245" s="11" t="str">
        <f>""</f>
        <v/>
      </c>
      <c r="H245" s="11" t="str">
        <f>""</f>
        <v/>
      </c>
      <c r="I245" s="13">
        <v>800000000</v>
      </c>
    </row>
    <row r="246" spans="1:9" ht="47.25" x14ac:dyDescent="0.25">
      <c r="A246" s="11">
        <v>241</v>
      </c>
      <c r="B246" s="12">
        <v>44834</v>
      </c>
      <c r="C246" s="11">
        <v>20</v>
      </c>
      <c r="D246" s="11" t="str">
        <f>"5126"</f>
        <v>5126</v>
      </c>
      <c r="E246" s="10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246" s="11" t="str">
        <f>""</f>
        <v/>
      </c>
      <c r="G246" s="11" t="str">
        <f>""</f>
        <v/>
      </c>
      <c r="H246" s="11" t="str">
        <f>""</f>
        <v/>
      </c>
      <c r="I246" s="13">
        <v>60666666.689999998</v>
      </c>
    </row>
    <row r="247" spans="1:9" ht="31.5" x14ac:dyDescent="0.25">
      <c r="A247" s="11">
        <v>242</v>
      </c>
      <c r="B247" s="12">
        <v>44834</v>
      </c>
      <c r="C247" s="11">
        <v>20</v>
      </c>
      <c r="D247" s="11" t="str">
        <f>"5307"</f>
        <v>5307</v>
      </c>
      <c r="E247" s="10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247" s="11" t="str">
        <f>""</f>
        <v/>
      </c>
      <c r="G247" s="11" t="str">
        <f>""</f>
        <v/>
      </c>
      <c r="H247" s="11" t="str">
        <f>""</f>
        <v/>
      </c>
      <c r="I247" s="13">
        <v>1490549255.0599999</v>
      </c>
    </row>
    <row r="248" spans="1:9" ht="47.25" x14ac:dyDescent="0.25">
      <c r="A248" s="11">
        <v>243</v>
      </c>
      <c r="B248" s="12">
        <v>44834</v>
      </c>
      <c r="C248" s="11">
        <v>20</v>
      </c>
      <c r="D248" s="11" t="str">
        <f>"5306"</f>
        <v>5306</v>
      </c>
      <c r="E248" s="10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248" s="11" t="str">
        <f>""</f>
        <v/>
      </c>
      <c r="G248" s="11" t="str">
        <f>""</f>
        <v/>
      </c>
      <c r="H248" s="11" t="str">
        <f>""</f>
        <v/>
      </c>
      <c r="I248" s="13">
        <v>39249365.140000001</v>
      </c>
    </row>
    <row r="249" spans="1:9" ht="47.25" x14ac:dyDescent="0.25">
      <c r="A249" s="11">
        <v>244</v>
      </c>
      <c r="B249" s="12">
        <v>44834</v>
      </c>
      <c r="C249" s="11">
        <v>20</v>
      </c>
      <c r="D249" s="11" t="str">
        <f>"5223"</f>
        <v>5223</v>
      </c>
      <c r="E249" s="10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249" s="11" t="str">
        <f>""</f>
        <v/>
      </c>
      <c r="G249" s="11" t="str">
        <f>""</f>
        <v/>
      </c>
      <c r="H249" s="11" t="str">
        <f>""</f>
        <v/>
      </c>
      <c r="I249" s="13">
        <v>12667796809.98</v>
      </c>
    </row>
    <row r="250" spans="1:9" ht="47.25" x14ac:dyDescent="0.25">
      <c r="A250" s="11">
        <v>245</v>
      </c>
      <c r="B250" s="12">
        <v>44834</v>
      </c>
      <c r="C250" s="11">
        <v>20</v>
      </c>
      <c r="D250" s="11" t="str">
        <f>"5456"</f>
        <v>5456</v>
      </c>
      <c r="E250" s="10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250" s="11" t="str">
        <f>""</f>
        <v/>
      </c>
      <c r="G250" s="11" t="str">
        <f>""</f>
        <v/>
      </c>
      <c r="H250" s="11" t="str">
        <f>""</f>
        <v/>
      </c>
      <c r="I250" s="13">
        <v>4097600.35</v>
      </c>
    </row>
    <row r="251" spans="1:9" ht="47.25" x14ac:dyDescent="0.25">
      <c r="A251" s="11">
        <v>246</v>
      </c>
      <c r="B251" s="12">
        <v>44834</v>
      </c>
      <c r="C251" s="11">
        <v>20</v>
      </c>
      <c r="D251" s="11" t="str">
        <f>"5455"</f>
        <v>5455</v>
      </c>
      <c r="E251" s="10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251" s="11" t="str">
        <f>""</f>
        <v/>
      </c>
      <c r="G251" s="11" t="str">
        <f>""</f>
        <v/>
      </c>
      <c r="H251" s="11" t="str">
        <f>""</f>
        <v/>
      </c>
      <c r="I251" s="13">
        <v>8357062233.5900002</v>
      </c>
    </row>
    <row r="252" spans="1:9" ht="15.75" x14ac:dyDescent="0.25">
      <c r="A252" s="11">
        <v>247</v>
      </c>
      <c r="B252" s="12">
        <v>44834</v>
      </c>
      <c r="C252" s="11">
        <v>20</v>
      </c>
      <c r="D252" s="11" t="str">
        <f>"5227"</f>
        <v>5227</v>
      </c>
      <c r="E252" s="10" t="str">
        <f>"Процентные расходы по обязательствам по аренде"</f>
        <v>Процентные расходы по обязательствам по аренде</v>
      </c>
      <c r="F252" s="11" t="str">
        <f>""</f>
        <v/>
      </c>
      <c r="G252" s="11" t="str">
        <f>""</f>
        <v/>
      </c>
      <c r="H252" s="11" t="str">
        <f>""</f>
        <v/>
      </c>
      <c r="I252" s="13">
        <v>60828359.5</v>
      </c>
    </row>
    <row r="253" spans="1:9" ht="31.5" x14ac:dyDescent="0.25">
      <c r="A253" s="11">
        <v>248</v>
      </c>
      <c r="B253" s="12">
        <v>44834</v>
      </c>
      <c r="C253" s="11">
        <v>20</v>
      </c>
      <c r="D253" s="11" t="str">
        <f>"5301"</f>
        <v>5301</v>
      </c>
      <c r="E253" s="10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253" s="11" t="str">
        <f>""</f>
        <v/>
      </c>
      <c r="G253" s="11" t="str">
        <f>""</f>
        <v/>
      </c>
      <c r="H253" s="11" t="str">
        <f>""</f>
        <v/>
      </c>
      <c r="I253" s="13">
        <v>13625241479.99</v>
      </c>
    </row>
    <row r="254" spans="1:9" ht="31.5" x14ac:dyDescent="0.25">
      <c r="A254" s="11">
        <v>249</v>
      </c>
      <c r="B254" s="12">
        <v>44834</v>
      </c>
      <c r="C254" s="11">
        <v>20</v>
      </c>
      <c r="D254" s="11" t="str">
        <f>"5451"</f>
        <v>5451</v>
      </c>
      <c r="E254" s="10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254" s="11" t="str">
        <f>""</f>
        <v/>
      </c>
      <c r="G254" s="11" t="str">
        <f>""</f>
        <v/>
      </c>
      <c r="H254" s="11" t="str">
        <f>""</f>
        <v/>
      </c>
      <c r="I254" s="13">
        <v>17114412273.1</v>
      </c>
    </row>
    <row r="255" spans="1:9" ht="31.5" x14ac:dyDescent="0.25">
      <c r="A255" s="11">
        <v>250</v>
      </c>
      <c r="B255" s="12">
        <v>44834</v>
      </c>
      <c r="C255" s="11">
        <v>20</v>
      </c>
      <c r="D255" s="11" t="str">
        <f>"5711"</f>
        <v>5711</v>
      </c>
      <c r="E255" s="10" t="str">
        <f>"Расходы от обесценения основных средств и активов в форме права пользования"</f>
        <v>Расходы от обесценения основных средств и активов в форме права пользования</v>
      </c>
      <c r="F255" s="11" t="str">
        <f>""</f>
        <v/>
      </c>
      <c r="G255" s="11" t="str">
        <f>""</f>
        <v/>
      </c>
      <c r="H255" s="11" t="str">
        <f>""</f>
        <v/>
      </c>
      <c r="I255" s="13">
        <v>301208.44</v>
      </c>
    </row>
    <row r="256" spans="1:9" ht="31.5" x14ac:dyDescent="0.25">
      <c r="A256" s="11">
        <v>251</v>
      </c>
      <c r="B256" s="12">
        <v>44834</v>
      </c>
      <c r="C256" s="11">
        <v>20</v>
      </c>
      <c r="D256" s="11" t="str">
        <f>"5601"</f>
        <v>5601</v>
      </c>
      <c r="E256" s="10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256" s="11" t="str">
        <f>""</f>
        <v/>
      </c>
      <c r="G256" s="11" t="str">
        <f>""</f>
        <v/>
      </c>
      <c r="H256" s="11" t="str">
        <f>""</f>
        <v/>
      </c>
      <c r="I256" s="13">
        <v>1493599524.0699999</v>
      </c>
    </row>
    <row r="257" spans="1:9" ht="31.5" x14ac:dyDescent="0.25">
      <c r="A257" s="11">
        <v>252</v>
      </c>
      <c r="B257" s="12">
        <v>44834</v>
      </c>
      <c r="C257" s="11">
        <v>20</v>
      </c>
      <c r="D257" s="11" t="str">
        <f>"5602"</f>
        <v>5602</v>
      </c>
      <c r="E257" s="10" t="str">
        <f>"Комиссионные расходы по полученным агентским услугам"</f>
        <v>Комиссионные расходы по полученным агентским услугам</v>
      </c>
      <c r="F257" s="11" t="str">
        <f>""</f>
        <v/>
      </c>
      <c r="G257" s="11" t="str">
        <f>""</f>
        <v/>
      </c>
      <c r="H257" s="11" t="str">
        <f>""</f>
        <v/>
      </c>
      <c r="I257" s="13">
        <v>3485093191</v>
      </c>
    </row>
    <row r="258" spans="1:9" ht="31.5" x14ac:dyDescent="0.25">
      <c r="A258" s="11">
        <v>253</v>
      </c>
      <c r="B258" s="12">
        <v>44834</v>
      </c>
      <c r="C258" s="11">
        <v>20</v>
      </c>
      <c r="D258" s="11" t="str">
        <f>"5603"</f>
        <v>5603</v>
      </c>
      <c r="E258" s="10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258" s="11" t="str">
        <f>""</f>
        <v/>
      </c>
      <c r="G258" s="11" t="str">
        <f>""</f>
        <v/>
      </c>
      <c r="H258" s="11" t="str">
        <f>""</f>
        <v/>
      </c>
      <c r="I258" s="13">
        <v>38660756.170000002</v>
      </c>
    </row>
    <row r="259" spans="1:9" ht="31.5" x14ac:dyDescent="0.25">
      <c r="A259" s="11">
        <v>254</v>
      </c>
      <c r="B259" s="12">
        <v>44834</v>
      </c>
      <c r="C259" s="11">
        <v>20</v>
      </c>
      <c r="D259" s="11" t="str">
        <f>"5464"</f>
        <v>5464</v>
      </c>
      <c r="E259" s="10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259" s="11" t="str">
        <f>""</f>
        <v/>
      </c>
      <c r="G259" s="11" t="str">
        <f>""</f>
        <v/>
      </c>
      <c r="H259" s="11" t="str">
        <f>""</f>
        <v/>
      </c>
      <c r="I259" s="13">
        <v>43769462.079999998</v>
      </c>
    </row>
    <row r="260" spans="1:9" ht="31.5" x14ac:dyDescent="0.25">
      <c r="A260" s="11">
        <v>255</v>
      </c>
      <c r="B260" s="12">
        <v>44834</v>
      </c>
      <c r="C260" s="11">
        <v>20</v>
      </c>
      <c r="D260" s="11" t="str">
        <f>"5069"</f>
        <v>5069</v>
      </c>
      <c r="E260" s="10" t="str">
        <f>"Расходы по амортизации дисконта по полученным займам"</f>
        <v>Расходы по амортизации дисконта по полученным займам</v>
      </c>
      <c r="F260" s="11" t="str">
        <f>""</f>
        <v/>
      </c>
      <c r="G260" s="11" t="str">
        <f>""</f>
        <v/>
      </c>
      <c r="H260" s="11" t="str">
        <f>""</f>
        <v/>
      </c>
      <c r="I260" s="13">
        <v>4493452039.6000004</v>
      </c>
    </row>
    <row r="261" spans="1:9" ht="31.5" x14ac:dyDescent="0.25">
      <c r="A261" s="11">
        <v>256</v>
      </c>
      <c r="B261" s="12">
        <v>44834</v>
      </c>
      <c r="C261" s="11">
        <v>20</v>
      </c>
      <c r="D261" s="11" t="str">
        <f>"5217"</f>
        <v>5217</v>
      </c>
      <c r="E261" s="10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261" s="11" t="str">
        <f>""</f>
        <v/>
      </c>
      <c r="G261" s="11" t="str">
        <f>""</f>
        <v/>
      </c>
      <c r="H261" s="11" t="str">
        <f>""</f>
        <v/>
      </c>
      <c r="I261" s="13">
        <v>14228282161.02</v>
      </c>
    </row>
    <row r="262" spans="1:9" ht="15.75" x14ac:dyDescent="0.25">
      <c r="A262" s="11">
        <v>257</v>
      </c>
      <c r="B262" s="12">
        <v>44834</v>
      </c>
      <c r="C262" s="11">
        <v>20</v>
      </c>
      <c r="D262" s="11" t="str">
        <f>"5741"</f>
        <v>5741</v>
      </c>
      <c r="E262" s="10" t="str">
        <f>"Транспортные расходы"</f>
        <v>Транспортные расходы</v>
      </c>
      <c r="F262" s="11" t="str">
        <f>""</f>
        <v/>
      </c>
      <c r="G262" s="11" t="str">
        <f>""</f>
        <v/>
      </c>
      <c r="H262" s="11" t="str">
        <f>""</f>
        <v/>
      </c>
      <c r="I262" s="13">
        <v>21657942.82</v>
      </c>
    </row>
    <row r="263" spans="1:9" ht="47.25" x14ac:dyDescent="0.25">
      <c r="A263" s="11">
        <v>258</v>
      </c>
      <c r="B263" s="12">
        <v>44834</v>
      </c>
      <c r="C263" s="11">
        <v>20</v>
      </c>
      <c r="D263" s="11" t="str">
        <f>"5453"</f>
        <v>5453</v>
      </c>
      <c r="E263" s="10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263" s="11" t="str">
        <f>""</f>
        <v/>
      </c>
      <c r="G263" s="11" t="str">
        <f>""</f>
        <v/>
      </c>
      <c r="H263" s="11" t="str">
        <f>""</f>
        <v/>
      </c>
      <c r="I263" s="13">
        <v>21230048.879999999</v>
      </c>
    </row>
    <row r="264" spans="1:9" ht="15.75" x14ac:dyDescent="0.25">
      <c r="A264" s="11">
        <v>259</v>
      </c>
      <c r="B264" s="12">
        <v>44834</v>
      </c>
      <c r="C264" s="11">
        <v>20</v>
      </c>
      <c r="D264" s="11" t="str">
        <f>"5530"</f>
        <v>5530</v>
      </c>
      <c r="E264" s="10" t="str">
        <f>"Расходы по купле-продаже иностранной валюты"</f>
        <v>Расходы по купле-продаже иностранной валюты</v>
      </c>
      <c r="F264" s="11" t="str">
        <f>""</f>
        <v/>
      </c>
      <c r="G264" s="11" t="str">
        <f>""</f>
        <v/>
      </c>
      <c r="H264" s="11" t="str">
        <f>""</f>
        <v/>
      </c>
      <c r="I264" s="13">
        <v>1925010.93</v>
      </c>
    </row>
    <row r="265" spans="1:9" ht="31.5" x14ac:dyDescent="0.25">
      <c r="A265" s="11">
        <v>260</v>
      </c>
      <c r="B265" s="12">
        <v>44834</v>
      </c>
      <c r="C265" s="11">
        <v>20</v>
      </c>
      <c r="D265" s="11" t="str">
        <f>"5469"</f>
        <v>5469</v>
      </c>
      <c r="E265" s="10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265" s="11" t="str">
        <f>""</f>
        <v/>
      </c>
      <c r="G265" s="11" t="str">
        <f>""</f>
        <v/>
      </c>
      <c r="H265" s="11" t="str">
        <f>""</f>
        <v/>
      </c>
      <c r="I265" s="13">
        <v>14873193.880000001</v>
      </c>
    </row>
    <row r="266" spans="1:9" ht="15.75" x14ac:dyDescent="0.25">
      <c r="A266" s="11">
        <v>261</v>
      </c>
      <c r="B266" s="12">
        <v>44834</v>
      </c>
      <c r="C266" s="11">
        <v>20</v>
      </c>
      <c r="D266" s="11" t="str">
        <f>"5608"</f>
        <v>5608</v>
      </c>
      <c r="E266" s="10" t="str">
        <f>"Прочие комиссионные расходы"</f>
        <v>Прочие комиссионные расходы</v>
      </c>
      <c r="F266" s="11" t="str">
        <f>""</f>
        <v/>
      </c>
      <c r="G266" s="11" t="str">
        <f>""</f>
        <v/>
      </c>
      <c r="H266" s="11" t="str">
        <f>""</f>
        <v/>
      </c>
      <c r="I266" s="13">
        <v>24795997.27</v>
      </c>
    </row>
    <row r="267" spans="1:9" ht="15.75" x14ac:dyDescent="0.25">
      <c r="A267" s="11">
        <v>262</v>
      </c>
      <c r="B267" s="12">
        <v>44834</v>
      </c>
      <c r="C267" s="11">
        <v>20</v>
      </c>
      <c r="D267" s="11" t="str">
        <f>"5748"</f>
        <v>5748</v>
      </c>
      <c r="E267" s="10" t="str">
        <f>"Прочие общехозяйственные расходы"</f>
        <v>Прочие общехозяйственные расходы</v>
      </c>
      <c r="F267" s="11" t="str">
        <f>""</f>
        <v/>
      </c>
      <c r="G267" s="11" t="str">
        <f>""</f>
        <v/>
      </c>
      <c r="H267" s="11" t="str">
        <f>""</f>
        <v/>
      </c>
      <c r="I267" s="13">
        <v>63271600.609999999</v>
      </c>
    </row>
    <row r="268" spans="1:9" ht="15.75" x14ac:dyDescent="0.25">
      <c r="A268" s="11">
        <v>263</v>
      </c>
      <c r="B268" s="12">
        <v>44834</v>
      </c>
      <c r="C268" s="11">
        <v>20</v>
      </c>
      <c r="D268" s="11" t="str">
        <f>"5749"</f>
        <v>5749</v>
      </c>
      <c r="E268" s="10" t="str">
        <f>"Расходы на служебные командировки"</f>
        <v>Расходы на служебные командировки</v>
      </c>
      <c r="F268" s="11" t="str">
        <f>""</f>
        <v/>
      </c>
      <c r="G268" s="11" t="str">
        <f>""</f>
        <v/>
      </c>
      <c r="H268" s="11" t="str">
        <f>""</f>
        <v/>
      </c>
      <c r="I268" s="13">
        <v>206296779.58000001</v>
      </c>
    </row>
    <row r="269" spans="1:9" ht="15.75" x14ac:dyDescent="0.25">
      <c r="A269" s="11">
        <v>264</v>
      </c>
      <c r="B269" s="12">
        <v>44834</v>
      </c>
      <c r="C269" s="11">
        <v>20</v>
      </c>
      <c r="D269" s="11" t="str">
        <f>"5752"</f>
        <v>5752</v>
      </c>
      <c r="E269" s="10" t="str">
        <f>"Расходы по страхованию"</f>
        <v>Расходы по страхованию</v>
      </c>
      <c r="F269" s="11" t="str">
        <f>""</f>
        <v/>
      </c>
      <c r="G269" s="11" t="str">
        <f>""</f>
        <v/>
      </c>
      <c r="H269" s="11" t="str">
        <f>""</f>
        <v/>
      </c>
      <c r="I269" s="13">
        <v>227690596.49000001</v>
      </c>
    </row>
    <row r="270" spans="1:9" ht="15.75" x14ac:dyDescent="0.25">
      <c r="A270" s="11">
        <v>265</v>
      </c>
      <c r="B270" s="12">
        <v>44834</v>
      </c>
      <c r="C270" s="11">
        <v>20</v>
      </c>
      <c r="D270" s="11" t="str">
        <f>"5761"</f>
        <v>5761</v>
      </c>
      <c r="E270" s="10" t="str">
        <f>"Налог на добавленную стоимость"</f>
        <v>Налог на добавленную стоимость</v>
      </c>
      <c r="F270" s="11" t="str">
        <f>""</f>
        <v/>
      </c>
      <c r="G270" s="11" t="str">
        <f>""</f>
        <v/>
      </c>
      <c r="H270" s="11" t="str">
        <f>""</f>
        <v/>
      </c>
      <c r="I270" s="13">
        <v>377207907.88</v>
      </c>
    </row>
    <row r="271" spans="1:9" ht="15.75" x14ac:dyDescent="0.25">
      <c r="A271" s="11">
        <v>266</v>
      </c>
      <c r="B271" s="12">
        <v>44834</v>
      </c>
      <c r="C271" s="11">
        <v>20</v>
      </c>
      <c r="D271" s="11" t="str">
        <f>"5753"</f>
        <v>5753</v>
      </c>
      <c r="E271" s="10" t="str">
        <f>"Расходы по услугам связи"</f>
        <v>Расходы по услугам связи</v>
      </c>
      <c r="F271" s="11" t="str">
        <f>""</f>
        <v/>
      </c>
      <c r="G271" s="11" t="str">
        <f>""</f>
        <v/>
      </c>
      <c r="H271" s="11" t="str">
        <f>""</f>
        <v/>
      </c>
      <c r="I271" s="13">
        <v>802317972.63</v>
      </c>
    </row>
    <row r="272" spans="1:9" ht="31.5" x14ac:dyDescent="0.25">
      <c r="A272" s="11">
        <v>267</v>
      </c>
      <c r="B272" s="12">
        <v>44834</v>
      </c>
      <c r="C272" s="11">
        <v>20</v>
      </c>
      <c r="D272" s="11" t="str">
        <f>"5786"</f>
        <v>5786</v>
      </c>
      <c r="E272" s="10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272" s="11" t="str">
        <f>""</f>
        <v/>
      </c>
      <c r="G272" s="11" t="str">
        <f>""</f>
        <v/>
      </c>
      <c r="H272" s="11" t="str">
        <f>""</f>
        <v/>
      </c>
      <c r="I272" s="13">
        <v>576459.14</v>
      </c>
    </row>
    <row r="273" spans="1:9" ht="31.5" x14ac:dyDescent="0.25">
      <c r="A273" s="11">
        <v>268</v>
      </c>
      <c r="B273" s="12">
        <v>44834</v>
      </c>
      <c r="C273" s="11">
        <v>20</v>
      </c>
      <c r="D273" s="11" t="str">
        <f>"5754"</f>
        <v>5754</v>
      </c>
      <c r="E273" s="10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273" s="11" t="str">
        <f>""</f>
        <v/>
      </c>
      <c r="G273" s="11" t="str">
        <f>""</f>
        <v/>
      </c>
      <c r="H273" s="11" t="str">
        <f>""</f>
        <v/>
      </c>
      <c r="I273" s="13">
        <v>1781106472.01</v>
      </c>
    </row>
    <row r="274" spans="1:9" ht="15.75" x14ac:dyDescent="0.25">
      <c r="A274" s="11">
        <v>269</v>
      </c>
      <c r="B274" s="12">
        <v>44834</v>
      </c>
      <c r="C274" s="11">
        <v>20</v>
      </c>
      <c r="D274" s="11" t="str">
        <f>"5788"</f>
        <v>5788</v>
      </c>
      <c r="E274" s="10" t="str">
        <f>"Расходы по амортизации нематериальных активов"</f>
        <v>Расходы по амортизации нематериальных активов</v>
      </c>
      <c r="F274" s="11" t="str">
        <f>""</f>
        <v/>
      </c>
      <c r="G274" s="11" t="str">
        <f>""</f>
        <v/>
      </c>
      <c r="H274" s="11" t="str">
        <f>""</f>
        <v/>
      </c>
      <c r="I274" s="13">
        <v>989621007.07000005</v>
      </c>
    </row>
    <row r="275" spans="1:9" ht="15.75" x14ac:dyDescent="0.25">
      <c r="A275" s="11">
        <v>270</v>
      </c>
      <c r="B275" s="12">
        <v>44834</v>
      </c>
      <c r="C275" s="11">
        <v>20</v>
      </c>
      <c r="D275" s="11" t="str">
        <f>"5763"</f>
        <v>5763</v>
      </c>
      <c r="E275" s="10" t="str">
        <f>"Социальный налог"</f>
        <v>Социальный налог</v>
      </c>
      <c r="F275" s="11" t="str">
        <f>""</f>
        <v/>
      </c>
      <c r="G275" s="11" t="str">
        <f>""</f>
        <v/>
      </c>
      <c r="H275" s="11" t="str">
        <f>""</f>
        <v/>
      </c>
      <c r="I275" s="13">
        <v>543324510</v>
      </c>
    </row>
    <row r="276" spans="1:9" ht="15.75" x14ac:dyDescent="0.25">
      <c r="A276" s="11">
        <v>271</v>
      </c>
      <c r="B276" s="12">
        <v>44834</v>
      </c>
      <c r="C276" s="11">
        <v>20</v>
      </c>
      <c r="D276" s="11" t="str">
        <f>"5721"</f>
        <v>5721</v>
      </c>
      <c r="E276" s="10" t="str">
        <f>"Расходы по оплате труда"</f>
        <v>Расходы по оплате труда</v>
      </c>
      <c r="F276" s="11" t="str">
        <f>""</f>
        <v/>
      </c>
      <c r="G276" s="11" t="str">
        <f>""</f>
        <v/>
      </c>
      <c r="H276" s="11" t="str">
        <f>""</f>
        <v/>
      </c>
      <c r="I276" s="13">
        <v>7991252262.1199999</v>
      </c>
    </row>
    <row r="277" spans="1:9" ht="15.75" x14ac:dyDescent="0.25">
      <c r="A277" s="11">
        <v>272</v>
      </c>
      <c r="B277" s="12">
        <v>44834</v>
      </c>
      <c r="C277" s="11">
        <v>20</v>
      </c>
      <c r="D277" s="11" t="str">
        <f>"5765"</f>
        <v>5765</v>
      </c>
      <c r="E277" s="10" t="str">
        <f>"Налог на имущество юридических лиц"</f>
        <v>Налог на имущество юридических лиц</v>
      </c>
      <c r="F277" s="11" t="str">
        <f>""</f>
        <v/>
      </c>
      <c r="G277" s="11" t="str">
        <f>""</f>
        <v/>
      </c>
      <c r="H277" s="11" t="str">
        <f>""</f>
        <v/>
      </c>
      <c r="I277" s="13">
        <v>22698548</v>
      </c>
    </row>
    <row r="278" spans="1:9" ht="15.75" x14ac:dyDescent="0.25">
      <c r="A278" s="11">
        <v>273</v>
      </c>
      <c r="B278" s="12">
        <v>44834</v>
      </c>
      <c r="C278" s="11">
        <v>20</v>
      </c>
      <c r="D278" s="11" t="str">
        <f>"5750"</f>
        <v>5750</v>
      </c>
      <c r="E278" s="10" t="str">
        <f>"Расходы по аудиту и консультационным услугам"</f>
        <v>Расходы по аудиту и консультационным услугам</v>
      </c>
      <c r="F278" s="11" t="str">
        <f>""</f>
        <v/>
      </c>
      <c r="G278" s="11" t="str">
        <f>""</f>
        <v/>
      </c>
      <c r="H278" s="11" t="str">
        <f>""</f>
        <v/>
      </c>
      <c r="I278" s="13">
        <v>38175714.289999999</v>
      </c>
    </row>
    <row r="279" spans="1:9" ht="15.75" x14ac:dyDescent="0.25">
      <c r="A279" s="11">
        <v>274</v>
      </c>
      <c r="B279" s="12">
        <v>44834</v>
      </c>
      <c r="C279" s="11">
        <v>20</v>
      </c>
      <c r="D279" s="11" t="str">
        <f>"5787"</f>
        <v>5787</v>
      </c>
      <c r="E279" s="10" t="str">
        <f>"Расходы по амортизации транспортных средств"</f>
        <v>Расходы по амортизации транспортных средств</v>
      </c>
      <c r="F279" s="11" t="str">
        <f>""</f>
        <v/>
      </c>
      <c r="G279" s="11" t="str">
        <f>""</f>
        <v/>
      </c>
      <c r="H279" s="11" t="str">
        <f>""</f>
        <v/>
      </c>
      <c r="I279" s="13">
        <v>33503885.420000002</v>
      </c>
    </row>
    <row r="280" spans="1:9" ht="15.75" x14ac:dyDescent="0.25">
      <c r="A280" s="11">
        <v>275</v>
      </c>
      <c r="B280" s="12">
        <v>44834</v>
      </c>
      <c r="C280" s="11">
        <v>20</v>
      </c>
      <c r="D280" s="11" t="str">
        <f>"5744"</f>
        <v>5744</v>
      </c>
      <c r="E280" s="10" t="str">
        <f>"Расходы на ремонт"</f>
        <v>Расходы на ремонт</v>
      </c>
      <c r="F280" s="11" t="str">
        <f>""</f>
        <v/>
      </c>
      <c r="G280" s="11" t="str">
        <f>""</f>
        <v/>
      </c>
      <c r="H280" s="11" t="str">
        <f>""</f>
        <v/>
      </c>
      <c r="I280" s="13">
        <v>70615051.930000007</v>
      </c>
    </row>
    <row r="281" spans="1:9" ht="15.75" x14ac:dyDescent="0.25">
      <c r="A281" s="11">
        <v>276</v>
      </c>
      <c r="B281" s="12">
        <v>44834</v>
      </c>
      <c r="C281" s="11">
        <v>20</v>
      </c>
      <c r="D281" s="11" t="str">
        <f>"5722"</f>
        <v>5722</v>
      </c>
      <c r="E281" s="10" t="str">
        <f>"Социальные отчисления"</f>
        <v>Социальные отчисления</v>
      </c>
      <c r="F281" s="11" t="str">
        <f>""</f>
        <v/>
      </c>
      <c r="G281" s="11" t="str">
        <f>""</f>
        <v/>
      </c>
      <c r="H281" s="11" t="str">
        <f>""</f>
        <v/>
      </c>
      <c r="I281" s="13">
        <v>323500222</v>
      </c>
    </row>
    <row r="282" spans="1:9" ht="15.75" x14ac:dyDescent="0.25">
      <c r="A282" s="11">
        <v>277</v>
      </c>
      <c r="B282" s="12">
        <v>44834</v>
      </c>
      <c r="C282" s="11">
        <v>20</v>
      </c>
      <c r="D282" s="11" t="str">
        <f>"5743"</f>
        <v>5743</v>
      </c>
      <c r="E282" s="10" t="str">
        <f>"Расходы на инкассацию"</f>
        <v>Расходы на инкассацию</v>
      </c>
      <c r="F282" s="11" t="str">
        <f>""</f>
        <v/>
      </c>
      <c r="G282" s="11" t="str">
        <f>""</f>
        <v/>
      </c>
      <c r="H282" s="11" t="str">
        <f>""</f>
        <v/>
      </c>
      <c r="I282" s="13">
        <v>101690322.40000001</v>
      </c>
    </row>
    <row r="283" spans="1:9" ht="15.75" x14ac:dyDescent="0.25">
      <c r="A283" s="11">
        <v>278</v>
      </c>
      <c r="B283" s="12">
        <v>44834</v>
      </c>
      <c r="C283" s="11">
        <v>20</v>
      </c>
      <c r="D283" s="11" t="str">
        <f>"5703"</f>
        <v>5703</v>
      </c>
      <c r="E283" s="10" t="str">
        <f>"Расходы от переоценки иностранной валюты"</f>
        <v>Расходы от переоценки иностранной валюты</v>
      </c>
      <c r="F283" s="11" t="str">
        <f>""</f>
        <v/>
      </c>
      <c r="G283" s="11" t="str">
        <f>""</f>
        <v/>
      </c>
      <c r="H283" s="11" t="str">
        <f>""</f>
        <v/>
      </c>
      <c r="I283" s="13">
        <v>221692643.66999999</v>
      </c>
    </row>
    <row r="284" spans="1:9" ht="15.75" x14ac:dyDescent="0.25">
      <c r="A284" s="11">
        <v>279</v>
      </c>
      <c r="B284" s="12">
        <v>44834</v>
      </c>
      <c r="C284" s="11">
        <v>20</v>
      </c>
      <c r="D284" s="11" t="str">
        <f>"5745"</f>
        <v>5745</v>
      </c>
      <c r="E284" s="10" t="str">
        <f>"Расходы на рекламу"</f>
        <v>Расходы на рекламу</v>
      </c>
      <c r="F284" s="11" t="str">
        <f>""</f>
        <v/>
      </c>
      <c r="G284" s="11" t="str">
        <f>""</f>
        <v/>
      </c>
      <c r="H284" s="11" t="str">
        <f>""</f>
        <v/>
      </c>
      <c r="I284" s="13">
        <v>213439273.46000001</v>
      </c>
    </row>
    <row r="285" spans="1:9" ht="31.5" x14ac:dyDescent="0.25">
      <c r="A285" s="11">
        <v>280</v>
      </c>
      <c r="B285" s="12">
        <v>44834</v>
      </c>
      <c r="C285" s="11">
        <v>20</v>
      </c>
      <c r="D285" s="11" t="str">
        <f>"5852"</f>
        <v>5852</v>
      </c>
      <c r="E285" s="10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285" s="11" t="str">
        <f>""</f>
        <v/>
      </c>
      <c r="G285" s="11" t="str">
        <f>""</f>
        <v/>
      </c>
      <c r="H285" s="11" t="str">
        <f>""</f>
        <v/>
      </c>
      <c r="I285" s="13">
        <v>8039143.3300000001</v>
      </c>
    </row>
    <row r="286" spans="1:9" ht="15.75" x14ac:dyDescent="0.25">
      <c r="A286" s="11">
        <v>281</v>
      </c>
      <c r="B286" s="12">
        <v>44834</v>
      </c>
      <c r="C286" s="11">
        <v>20</v>
      </c>
      <c r="D286" s="11" t="str">
        <f>"5766"</f>
        <v>5766</v>
      </c>
      <c r="E286" s="10" t="str">
        <f>"Налог на транспортные средства"</f>
        <v>Налог на транспортные средства</v>
      </c>
      <c r="F286" s="11" t="str">
        <f>""</f>
        <v/>
      </c>
      <c r="G286" s="11" t="str">
        <f>""</f>
        <v/>
      </c>
      <c r="H286" s="11" t="str">
        <f>""</f>
        <v/>
      </c>
      <c r="I286" s="13">
        <v>302940</v>
      </c>
    </row>
    <row r="287" spans="1:9" ht="15.75" x14ac:dyDescent="0.25">
      <c r="A287" s="11">
        <v>282</v>
      </c>
      <c r="B287" s="12">
        <v>44834</v>
      </c>
      <c r="C287" s="11">
        <v>20</v>
      </c>
      <c r="D287" s="11" t="str">
        <f>"5781"</f>
        <v>5781</v>
      </c>
      <c r="E287" s="10" t="str">
        <f>"Расходы по амортизации зданий и сооружений"</f>
        <v>Расходы по амортизации зданий и сооружений</v>
      </c>
      <c r="F287" s="11" t="str">
        <f>""</f>
        <v/>
      </c>
      <c r="G287" s="11" t="str">
        <f>""</f>
        <v/>
      </c>
      <c r="H287" s="11" t="str">
        <f>""</f>
        <v/>
      </c>
      <c r="I287" s="13">
        <v>32815704.02</v>
      </c>
    </row>
    <row r="288" spans="1:9" ht="15.75" x14ac:dyDescent="0.25">
      <c r="A288" s="11">
        <v>283</v>
      </c>
      <c r="B288" s="12">
        <v>44834</v>
      </c>
      <c r="C288" s="11">
        <v>20</v>
      </c>
      <c r="D288" s="11" t="str">
        <f>"5999"</f>
        <v>5999</v>
      </c>
      <c r="E288" s="10" t="str">
        <f>"Корпоративный подоходный налог"</f>
        <v>Корпоративный подоходный налог</v>
      </c>
      <c r="F288" s="11" t="str">
        <f>""</f>
        <v/>
      </c>
      <c r="G288" s="11" t="str">
        <f>""</f>
        <v/>
      </c>
      <c r="H288" s="11" t="str">
        <f>""</f>
        <v/>
      </c>
      <c r="I288" s="13">
        <v>8680685542.5100002</v>
      </c>
    </row>
    <row r="289" spans="1:9" ht="15.75" x14ac:dyDescent="0.25">
      <c r="A289" s="11">
        <v>284</v>
      </c>
      <c r="B289" s="12">
        <v>44834</v>
      </c>
      <c r="C289" s="11">
        <v>20</v>
      </c>
      <c r="D289" s="11" t="str">
        <f>"5742"</f>
        <v>5742</v>
      </c>
      <c r="E289" s="10" t="str">
        <f>"Административные расходы"</f>
        <v>Административные расходы</v>
      </c>
      <c r="F289" s="11" t="str">
        <f>""</f>
        <v/>
      </c>
      <c r="G289" s="11" t="str">
        <f>""</f>
        <v/>
      </c>
      <c r="H289" s="11" t="str">
        <f>""</f>
        <v/>
      </c>
      <c r="I289" s="13">
        <v>2321541154.25</v>
      </c>
    </row>
    <row r="290" spans="1:9" ht="15.75" x14ac:dyDescent="0.25">
      <c r="A290" s="11">
        <v>285</v>
      </c>
      <c r="B290" s="12">
        <v>44834</v>
      </c>
      <c r="C290" s="11">
        <v>20</v>
      </c>
      <c r="D290" s="11" t="str">
        <f>"5764"</f>
        <v>5764</v>
      </c>
      <c r="E290" s="10" t="str">
        <f>"Земельный налог"</f>
        <v>Земельный налог</v>
      </c>
      <c r="F290" s="11" t="str">
        <f>""</f>
        <v/>
      </c>
      <c r="G290" s="11" t="str">
        <f>""</f>
        <v/>
      </c>
      <c r="H290" s="11" t="str">
        <f>""</f>
        <v/>
      </c>
      <c r="I290" s="13">
        <v>62612</v>
      </c>
    </row>
    <row r="291" spans="1:9" ht="15.75" x14ac:dyDescent="0.25">
      <c r="A291" s="11">
        <v>286</v>
      </c>
      <c r="B291" s="12">
        <v>44834</v>
      </c>
      <c r="C291" s="11">
        <v>20</v>
      </c>
      <c r="D291" s="11" t="str">
        <f>"5729"</f>
        <v>5729</v>
      </c>
      <c r="E291" s="10" t="str">
        <f>"Прочие выплаты"</f>
        <v>Прочие выплаты</v>
      </c>
      <c r="F291" s="11" t="str">
        <f>""</f>
        <v/>
      </c>
      <c r="G291" s="11" t="str">
        <f>""</f>
        <v/>
      </c>
      <c r="H291" s="11" t="str">
        <f>""</f>
        <v/>
      </c>
      <c r="I291" s="13">
        <v>1027888253</v>
      </c>
    </row>
    <row r="292" spans="1:9" ht="15.75" x14ac:dyDescent="0.25">
      <c r="A292" s="11">
        <v>287</v>
      </c>
      <c r="B292" s="12">
        <v>44834</v>
      </c>
      <c r="C292" s="11">
        <v>20</v>
      </c>
      <c r="D292" s="11" t="str">
        <f>"5900"</f>
        <v>5900</v>
      </c>
      <c r="E292" s="10" t="str">
        <f>"Неустойка (штраф, пеня)"</f>
        <v>Неустойка (штраф, пеня)</v>
      </c>
      <c r="F292" s="11" t="str">
        <f>""</f>
        <v/>
      </c>
      <c r="G292" s="11" t="str">
        <f>""</f>
        <v/>
      </c>
      <c r="H292" s="11" t="str">
        <f>""</f>
        <v/>
      </c>
      <c r="I292" s="13">
        <v>1135024</v>
      </c>
    </row>
    <row r="293" spans="1:9" ht="31.5" x14ac:dyDescent="0.25">
      <c r="A293" s="11">
        <v>288</v>
      </c>
      <c r="B293" s="12">
        <v>44834</v>
      </c>
      <c r="C293" s="11">
        <v>20</v>
      </c>
      <c r="D293" s="11" t="str">
        <f>"5782"</f>
        <v>5782</v>
      </c>
      <c r="E293" s="10" t="str">
        <f>"Расходы по амортизации компьютерного оборудования"</f>
        <v>Расходы по амортизации компьютерного оборудования</v>
      </c>
      <c r="F293" s="11" t="str">
        <f>""</f>
        <v/>
      </c>
      <c r="G293" s="11" t="str">
        <f>""</f>
        <v/>
      </c>
      <c r="H293" s="11" t="str">
        <f>""</f>
        <v/>
      </c>
      <c r="I293" s="13">
        <v>336272681.68000001</v>
      </c>
    </row>
    <row r="294" spans="1:9" ht="31.5" x14ac:dyDescent="0.25">
      <c r="A294" s="11">
        <v>289</v>
      </c>
      <c r="B294" s="12">
        <v>44834</v>
      </c>
      <c r="C294" s="11">
        <v>20</v>
      </c>
      <c r="D294" s="11" t="str">
        <f>"5784"</f>
        <v>5784</v>
      </c>
      <c r="E294" s="10" t="str">
        <f>"Расходы по амортизации активов в форме права пользования"</f>
        <v>Расходы по амортизации активов в форме права пользования</v>
      </c>
      <c r="F294" s="11" t="str">
        <f>""</f>
        <v/>
      </c>
      <c r="G294" s="11" t="str">
        <f>""</f>
        <v/>
      </c>
      <c r="H294" s="11" t="str">
        <f>""</f>
        <v/>
      </c>
      <c r="I294" s="13">
        <v>326481061.25</v>
      </c>
    </row>
    <row r="295" spans="1:9" ht="15.75" x14ac:dyDescent="0.25">
      <c r="A295" s="11">
        <v>290</v>
      </c>
      <c r="B295" s="12">
        <v>44834</v>
      </c>
      <c r="C295" s="11">
        <v>20</v>
      </c>
      <c r="D295" s="11" t="str">
        <f>"5923"</f>
        <v>5923</v>
      </c>
      <c r="E295" s="10" t="str">
        <f>"Расходы по аренде"</f>
        <v>Расходы по аренде</v>
      </c>
      <c r="F295" s="11" t="str">
        <f>""</f>
        <v/>
      </c>
      <c r="G295" s="11" t="str">
        <f>""</f>
        <v/>
      </c>
      <c r="H295" s="11" t="str">
        <f>""</f>
        <v/>
      </c>
      <c r="I295" s="13">
        <v>569865658.57000005</v>
      </c>
    </row>
    <row r="296" spans="1:9" ht="15.75" x14ac:dyDescent="0.25">
      <c r="A296" s="11">
        <v>291</v>
      </c>
      <c r="B296" s="12">
        <v>44834</v>
      </c>
      <c r="C296" s="11">
        <v>20</v>
      </c>
      <c r="D296" s="11" t="str">
        <f>"5768"</f>
        <v>5768</v>
      </c>
      <c r="E296" s="10" t="str">
        <f>"Прочие налоги и обязательные платежи в бюджет"</f>
        <v>Прочие налоги и обязательные платежи в бюджет</v>
      </c>
      <c r="F296" s="11" t="str">
        <f>""</f>
        <v/>
      </c>
      <c r="G296" s="11" t="str">
        <f>""</f>
        <v/>
      </c>
      <c r="H296" s="11" t="str">
        <f>""</f>
        <v/>
      </c>
      <c r="I296" s="13">
        <v>26951065.449999999</v>
      </c>
    </row>
    <row r="297" spans="1:9" ht="31.5" x14ac:dyDescent="0.25">
      <c r="A297" s="11">
        <v>292</v>
      </c>
      <c r="B297" s="12">
        <v>44834</v>
      </c>
      <c r="C297" s="11">
        <v>20</v>
      </c>
      <c r="D297" s="11" t="str">
        <f>"6125"</f>
        <v>6125</v>
      </c>
      <c r="E297" s="10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297" s="11" t="str">
        <f>""</f>
        <v/>
      </c>
      <c r="G297" s="11" t="str">
        <f>""</f>
        <v/>
      </c>
      <c r="H297" s="11" t="str">
        <f>""</f>
        <v/>
      </c>
      <c r="I297" s="13">
        <v>31790513654.810001</v>
      </c>
    </row>
    <row r="298" spans="1:9" ht="31.5" x14ac:dyDescent="0.25">
      <c r="A298" s="11">
        <v>293</v>
      </c>
      <c r="B298" s="12">
        <v>44834</v>
      </c>
      <c r="C298" s="11">
        <v>20</v>
      </c>
      <c r="D298" s="11" t="str">
        <f>"5783"</f>
        <v>5783</v>
      </c>
      <c r="E298" s="10" t="str">
        <f>"Расходы по амортизации прочих основных средств"</f>
        <v>Расходы по амортизации прочих основных средств</v>
      </c>
      <c r="F298" s="11" t="str">
        <f>""</f>
        <v/>
      </c>
      <c r="G298" s="11" t="str">
        <f>""</f>
        <v/>
      </c>
      <c r="H298" s="11" t="str">
        <f>""</f>
        <v/>
      </c>
      <c r="I298" s="13">
        <v>370590451.17000002</v>
      </c>
    </row>
    <row r="299" spans="1:9" ht="15.75" x14ac:dyDescent="0.25">
      <c r="A299" s="11">
        <v>294</v>
      </c>
      <c r="B299" s="12">
        <v>44834</v>
      </c>
      <c r="C299" s="11">
        <v>20</v>
      </c>
      <c r="D299" s="11" t="str">
        <f>"5921"</f>
        <v>5921</v>
      </c>
      <c r="E299" s="10" t="str">
        <f>"Прочие расходы от банковской деятельности"</f>
        <v>Прочие расходы от банковской деятельности</v>
      </c>
      <c r="F299" s="11" t="str">
        <f>""</f>
        <v/>
      </c>
      <c r="G299" s="11" t="str">
        <f>""</f>
        <v/>
      </c>
      <c r="H299" s="11" t="str">
        <f>""</f>
        <v/>
      </c>
      <c r="I299" s="13">
        <v>19352838264.34</v>
      </c>
    </row>
    <row r="300" spans="1:9" ht="15.75" x14ac:dyDescent="0.25">
      <c r="A300" s="11">
        <v>295</v>
      </c>
      <c r="B300" s="12">
        <v>44834</v>
      </c>
      <c r="C300" s="11">
        <v>20</v>
      </c>
      <c r="D300" s="11" t="str">
        <f>"5922"</f>
        <v>5922</v>
      </c>
      <c r="E300" s="10" t="str">
        <f>"Прочие расходы от неосновной деятельности"</f>
        <v>Прочие расходы от неосновной деятельности</v>
      </c>
      <c r="F300" s="11" t="str">
        <f>""</f>
        <v/>
      </c>
      <c r="G300" s="11" t="str">
        <f>""</f>
        <v/>
      </c>
      <c r="H300" s="11" t="str">
        <f>""</f>
        <v/>
      </c>
      <c r="I300" s="13">
        <v>1348525.11</v>
      </c>
    </row>
    <row r="301" spans="1:9" ht="15.75" x14ac:dyDescent="0.25">
      <c r="A301" s="11">
        <v>296</v>
      </c>
      <c r="B301" s="12">
        <v>44834</v>
      </c>
      <c r="C301" s="11">
        <v>20</v>
      </c>
      <c r="D301" s="11" t="str">
        <f>"5746"</f>
        <v>5746</v>
      </c>
      <c r="E301" s="10" t="str">
        <f>"Расходы на охрану и сигнализацию"</f>
        <v>Расходы на охрану и сигнализацию</v>
      </c>
      <c r="F301" s="11" t="str">
        <f>""</f>
        <v/>
      </c>
      <c r="G301" s="11" t="str">
        <f>""</f>
        <v/>
      </c>
      <c r="H301" s="11" t="str">
        <f>""</f>
        <v/>
      </c>
      <c r="I301" s="13">
        <v>546007838.96000004</v>
      </c>
    </row>
    <row r="302" spans="1:9" ht="15.75" x14ac:dyDescent="0.25">
      <c r="A302" s="11">
        <v>297</v>
      </c>
      <c r="B302" s="12">
        <v>44834</v>
      </c>
      <c r="C302" s="11">
        <v>20</v>
      </c>
      <c r="D302" s="11" t="str">
        <f>"6075"</f>
        <v>6075</v>
      </c>
      <c r="E302" s="10" t="str">
        <f>"Возможные требования по принятым гарантиям"</f>
        <v>Возможные требования по принятым гарантиям</v>
      </c>
      <c r="F302" s="11" t="str">
        <f>""</f>
        <v/>
      </c>
      <c r="G302" s="11" t="str">
        <f>""</f>
        <v/>
      </c>
      <c r="H302" s="11" t="str">
        <f>""</f>
        <v/>
      </c>
      <c r="I302" s="13">
        <v>8240650254.6700001</v>
      </c>
    </row>
    <row r="303" spans="1:9" ht="31.5" x14ac:dyDescent="0.25">
      <c r="A303" s="11">
        <v>298</v>
      </c>
      <c r="B303" s="12">
        <v>44834</v>
      </c>
      <c r="C303" s="11">
        <v>20</v>
      </c>
      <c r="D303" s="11" t="str">
        <f>"6175"</f>
        <v>6175</v>
      </c>
      <c r="E303" s="10" t="str">
        <f>"Условные требования по получению займов в будущем"</f>
        <v>Условные требования по получению займов в будущем</v>
      </c>
      <c r="F303" s="11" t="str">
        <f>""</f>
        <v/>
      </c>
      <c r="G303" s="11" t="str">
        <f>""</f>
        <v/>
      </c>
      <c r="H303" s="11" t="str">
        <f>""</f>
        <v/>
      </c>
      <c r="I303" s="13">
        <v>16100000000</v>
      </c>
    </row>
    <row r="304" spans="1:9" ht="31.5" x14ac:dyDescent="0.25">
      <c r="A304" s="11">
        <v>299</v>
      </c>
      <c r="B304" s="12">
        <v>44834</v>
      </c>
      <c r="C304" s="11">
        <v>20</v>
      </c>
      <c r="D304" s="11" t="str">
        <f>"6575"</f>
        <v>6575</v>
      </c>
      <c r="E304" s="10" t="str">
        <f>"Возможное уменьшение требований по принятым гарантиям"</f>
        <v>Возможное уменьшение требований по принятым гарантиям</v>
      </c>
      <c r="F304" s="11" t="str">
        <f>""</f>
        <v/>
      </c>
      <c r="G304" s="11" t="str">
        <f>""</f>
        <v/>
      </c>
      <c r="H304" s="11" t="str">
        <f>""</f>
        <v/>
      </c>
      <c r="I304" s="13">
        <v>8240650254.6700001</v>
      </c>
    </row>
    <row r="305" spans="1:9" ht="31.5" x14ac:dyDescent="0.25">
      <c r="A305" s="11">
        <v>300</v>
      </c>
      <c r="B305" s="12">
        <v>44834</v>
      </c>
      <c r="C305" s="11">
        <v>20</v>
      </c>
      <c r="D305" s="11" t="str">
        <f>"6625"</f>
        <v>6625</v>
      </c>
      <c r="E305" s="10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305" s="11" t="str">
        <f>""</f>
        <v/>
      </c>
      <c r="G305" s="11" t="str">
        <f>""</f>
        <v/>
      </c>
      <c r="H305" s="11" t="str">
        <f>""</f>
        <v/>
      </c>
      <c r="I305" s="13">
        <v>31790513654.810001</v>
      </c>
    </row>
    <row r="306" spans="1:9" ht="15.75" x14ac:dyDescent="0.25">
      <c r="A306" s="11">
        <v>301</v>
      </c>
      <c r="B306" s="12">
        <v>44834</v>
      </c>
      <c r="C306" s="11">
        <v>20</v>
      </c>
      <c r="D306" s="11" t="str">
        <f>"6675"</f>
        <v>6675</v>
      </c>
      <c r="E306" s="10" t="str">
        <f>"Будущие обязательства по получаемым займам"</f>
        <v>Будущие обязательства по получаемым займам</v>
      </c>
      <c r="F306" s="11" t="str">
        <f>""</f>
        <v/>
      </c>
      <c r="G306" s="11" t="str">
        <f>""</f>
        <v/>
      </c>
      <c r="H306" s="11" t="str">
        <f>""</f>
        <v/>
      </c>
      <c r="I306" s="13">
        <v>16100000000</v>
      </c>
    </row>
    <row r="307" spans="1:9" ht="31.5" x14ac:dyDescent="0.25">
      <c r="A307" s="11">
        <v>302</v>
      </c>
      <c r="B307" s="12">
        <v>44834</v>
      </c>
      <c r="C307" s="11">
        <v>20</v>
      </c>
      <c r="D307" s="11" t="str">
        <f>"7250"</f>
        <v>7250</v>
      </c>
      <c r="E307" s="10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307" s="11" t="str">
        <f>""</f>
        <v/>
      </c>
      <c r="G307" s="11" t="str">
        <f>""</f>
        <v/>
      </c>
      <c r="H307" s="11" t="str">
        <f>""</f>
        <v/>
      </c>
      <c r="I307" s="13">
        <v>4327300113928.4302</v>
      </c>
    </row>
    <row r="308" spans="1:9" ht="15.75" x14ac:dyDescent="0.25">
      <c r="A308" s="11">
        <v>303</v>
      </c>
      <c r="B308" s="12">
        <v>44834</v>
      </c>
      <c r="C308" s="11">
        <v>20</v>
      </c>
      <c r="D308" s="11" t="str">
        <f>"7303"</f>
        <v>7303</v>
      </c>
      <c r="E308" s="10" t="str">
        <f>"Платежные документы, не оплаченные в срок"</f>
        <v>Платежные документы, не оплаченные в срок</v>
      </c>
      <c r="F308" s="11" t="str">
        <f>""</f>
        <v/>
      </c>
      <c r="G308" s="11" t="str">
        <f>""</f>
        <v/>
      </c>
      <c r="H308" s="11" t="str">
        <f>""</f>
        <v/>
      </c>
      <c r="I308" s="13">
        <v>185506479044.06</v>
      </c>
    </row>
    <row r="309" spans="1:9" ht="15.75" x14ac:dyDescent="0.25">
      <c r="A309" s="11">
        <v>304</v>
      </c>
      <c r="B309" s="12">
        <v>44834</v>
      </c>
      <c r="C309" s="11">
        <v>20</v>
      </c>
      <c r="D309" s="11" t="str">
        <f>"7220"</f>
        <v>7220</v>
      </c>
      <c r="E309" s="10" t="str">
        <f>"Арендованные активы"</f>
        <v>Арендованные активы</v>
      </c>
      <c r="F309" s="11" t="str">
        <f>""</f>
        <v/>
      </c>
      <c r="G309" s="11" t="str">
        <f>""</f>
        <v/>
      </c>
      <c r="H309" s="11" t="str">
        <f>""</f>
        <v/>
      </c>
      <c r="I309" s="13">
        <v>584413935.86000001</v>
      </c>
    </row>
    <row r="310" spans="1:9" ht="31.5" x14ac:dyDescent="0.25">
      <c r="A310" s="11">
        <v>305</v>
      </c>
      <c r="B310" s="12">
        <v>44834</v>
      </c>
      <c r="C310" s="11">
        <v>20</v>
      </c>
      <c r="D310" s="11" t="str">
        <f>"7342"</f>
        <v>7342</v>
      </c>
      <c r="E310" s="10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310" s="11" t="str">
        <f>""</f>
        <v/>
      </c>
      <c r="G310" s="11" t="str">
        <f>""</f>
        <v/>
      </c>
      <c r="H310" s="11" t="str">
        <f>""</f>
        <v/>
      </c>
      <c r="I310" s="13">
        <v>42595</v>
      </c>
    </row>
    <row r="311" spans="1:9" ht="15.75" x14ac:dyDescent="0.25">
      <c r="A311" s="11">
        <v>306</v>
      </c>
      <c r="B311" s="12">
        <v>44834</v>
      </c>
      <c r="C311" s="11">
        <v>20</v>
      </c>
      <c r="D311" s="11" t="str">
        <f>"7339"</f>
        <v>7339</v>
      </c>
      <c r="E311" s="10" t="str">
        <f>"Разные ценности и документы"</f>
        <v>Разные ценности и документы</v>
      </c>
      <c r="F311" s="11" t="str">
        <f>""</f>
        <v/>
      </c>
      <c r="G311" s="11" t="str">
        <f>""</f>
        <v/>
      </c>
      <c r="H311" s="11" t="str">
        <f>""</f>
        <v/>
      </c>
      <c r="I311" s="13">
        <v>257197</v>
      </c>
    </row>
    <row r="312" spans="1:9" ht="31.5" x14ac:dyDescent="0.25">
      <c r="A312" s="11">
        <v>307</v>
      </c>
      <c r="B312" s="12">
        <v>44834</v>
      </c>
      <c r="C312" s="11">
        <v>20</v>
      </c>
      <c r="D312" s="11" t="str">
        <f>"7110"</f>
        <v>7110</v>
      </c>
      <c r="E312" s="10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F312" s="11" t="str">
        <f>""</f>
        <v/>
      </c>
      <c r="G312" s="11" t="str">
        <f>""</f>
        <v/>
      </c>
      <c r="H312" s="11" t="str">
        <f>""</f>
        <v/>
      </c>
      <c r="I312" s="13">
        <v>1704211988.3900001</v>
      </c>
    </row>
    <row r="313" spans="1:9" ht="15.75" x14ac:dyDescent="0.25">
      <c r="A313" s="6"/>
      <c r="B313" s="6"/>
      <c r="C313" s="6"/>
      <c r="D313" s="6"/>
      <c r="E313" s="6"/>
      <c r="F313" s="6"/>
      <c r="G313" s="6"/>
      <c r="H313" s="6"/>
      <c r="I313" s="6"/>
    </row>
    <row r="314" spans="1:9" ht="15.75" x14ac:dyDescent="0.25">
      <c r="A314" s="15" t="s">
        <v>11</v>
      </c>
      <c r="B314" s="15"/>
      <c r="C314" s="6"/>
      <c r="D314" s="9"/>
      <c r="E314" s="2" t="s">
        <v>22</v>
      </c>
      <c r="F314" s="9"/>
      <c r="G314" s="9"/>
      <c r="H314" s="9"/>
      <c r="I314" s="9"/>
    </row>
    <row r="315" spans="1:9" x14ac:dyDescent="0.25">
      <c r="A315" s="14" t="s">
        <v>12</v>
      </c>
      <c r="B315" s="14"/>
      <c r="C315" s="1"/>
      <c r="D315" s="3"/>
      <c r="E315" s="3" t="s">
        <v>13</v>
      </c>
      <c r="F315" s="2"/>
      <c r="G315" s="2"/>
      <c r="H315" s="2"/>
      <c r="I315" s="2"/>
    </row>
    <row r="316" spans="1:9" x14ac:dyDescent="0.25">
      <c r="A316" s="14" t="s">
        <v>14</v>
      </c>
      <c r="B316" s="14"/>
      <c r="C316" s="1"/>
      <c r="D316" s="1"/>
      <c r="E316" s="14" t="s">
        <v>15</v>
      </c>
      <c r="F316" s="14"/>
      <c r="G316" s="16"/>
      <c r="H316" s="16"/>
      <c r="I316" s="4"/>
    </row>
    <row r="317" spans="1:9" x14ac:dyDescent="0.25">
      <c r="A317" s="17" t="s">
        <v>16</v>
      </c>
      <c r="B317" s="17"/>
      <c r="C317" s="17"/>
      <c r="D317" s="1"/>
      <c r="E317" s="5" t="s">
        <v>17</v>
      </c>
      <c r="F317" s="2"/>
      <c r="G317" s="2"/>
      <c r="H317" s="2"/>
      <c r="I317" s="2"/>
    </row>
    <row r="318" spans="1:9" x14ac:dyDescent="0.25">
      <c r="A318" s="2"/>
      <c r="B318" s="2"/>
      <c r="C318" s="2"/>
      <c r="D318" s="2"/>
      <c r="E318" s="2"/>
      <c r="F318" s="2"/>
      <c r="G318" s="2"/>
      <c r="H318" s="2"/>
      <c r="I318" s="2"/>
    </row>
    <row r="319" spans="1:9" x14ac:dyDescent="0.25">
      <c r="A319" s="14" t="s">
        <v>18</v>
      </c>
      <c r="B319" s="14"/>
      <c r="C319" s="14"/>
      <c r="D319" s="14"/>
      <c r="E319" s="14"/>
      <c r="F319" s="14"/>
      <c r="G319" s="14"/>
      <c r="H319" s="14"/>
      <c r="I319" s="14"/>
    </row>
    <row r="320" spans="1:9" x14ac:dyDescent="0.25">
      <c r="A320" s="18"/>
      <c r="B320" s="18"/>
      <c r="C320" s="18"/>
      <c r="D320" s="18"/>
      <c r="E320" s="18"/>
      <c r="F320" s="18"/>
      <c r="G320" s="18"/>
      <c r="H320" s="18"/>
      <c r="I320" s="18"/>
    </row>
    <row r="321" spans="1:9" x14ac:dyDescent="0.25">
      <c r="A321" s="17" t="s">
        <v>20</v>
      </c>
      <c r="B321" s="17"/>
      <c r="C321" s="17"/>
      <c r="D321" s="17"/>
      <c r="E321" s="17"/>
      <c r="F321" s="17"/>
      <c r="G321" s="17"/>
      <c r="H321" s="17"/>
      <c r="I321" s="17"/>
    </row>
    <row r="322" spans="1:9" x14ac:dyDescent="0.25">
      <c r="A322" s="14"/>
      <c r="B322" s="14"/>
      <c r="C322" s="14"/>
      <c r="D322" s="14"/>
      <c r="E322" s="14"/>
      <c r="F322" s="14"/>
      <c r="G322" s="14"/>
      <c r="H322" s="14"/>
      <c r="I322" s="14"/>
    </row>
    <row r="323" spans="1:9" x14ac:dyDescent="0.25">
      <c r="A323" s="14"/>
      <c r="B323" s="14"/>
      <c r="C323" s="14"/>
      <c r="D323" s="14"/>
      <c r="E323" s="14"/>
      <c r="F323" s="14"/>
      <c r="G323" s="14"/>
      <c r="H323" s="14"/>
      <c r="I323" s="14"/>
    </row>
    <row r="324" spans="1:9" x14ac:dyDescent="0.25">
      <c r="A324" s="14" t="s">
        <v>21</v>
      </c>
      <c r="B324" s="14"/>
      <c r="C324" s="14"/>
      <c r="D324" s="14"/>
      <c r="E324" s="14"/>
      <c r="F324" s="14"/>
      <c r="G324" s="14"/>
      <c r="H324" s="14"/>
      <c r="I324" s="14"/>
    </row>
  </sheetData>
  <mergeCells count="12">
    <mergeCell ref="A324:I324"/>
    <mergeCell ref="A314:B314"/>
    <mergeCell ref="A315:B315"/>
    <mergeCell ref="A316:B316"/>
    <mergeCell ref="E316:F316"/>
    <mergeCell ref="G316:H316"/>
    <mergeCell ref="A317:C317"/>
    <mergeCell ref="A319:I319"/>
    <mergeCell ref="A320:I320"/>
    <mergeCell ref="A321:I321"/>
    <mergeCell ref="A322:I322"/>
    <mergeCell ref="A323:I323"/>
  </mergeCells>
  <hyperlinks>
    <hyperlink ref="E317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Қосаева Мәдина Әлікенқызы</dc:creator>
  <cp:lastModifiedBy>Тукумбаева Индира Даулеткановна</cp:lastModifiedBy>
  <dcterms:created xsi:type="dcterms:W3CDTF">2022-10-03T12:18:35Z</dcterms:created>
  <dcterms:modified xsi:type="dcterms:W3CDTF">2022-10-13T05:43:53Z</dcterms:modified>
</cp:coreProperties>
</file>