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\Департамент бухучета и отчетности\Управление регуляторной отчетности\Алина\KASE\01.10.2022\"/>
    </mc:Choice>
  </mc:AlternateContent>
  <bookViews>
    <workbookView xWindow="0" yWindow="0" windowWidth="28800" windowHeight="11775"/>
  </bookViews>
  <sheets>
    <sheet name="01.10.2022" sheetId="1" r:id="rId1"/>
  </sheets>
  <definedNames>
    <definedName name="_xlnm._FilterDatabase" localSheetId="0" hidden="1">'01.10.2022'!$A$1:$N$1013</definedName>
  </definedNames>
  <calcPr calcId="162913"/>
</workbook>
</file>

<file path=xl/calcChain.xml><?xml version="1.0" encoding="utf-8"?>
<calcChain xmlns="http://schemas.openxmlformats.org/spreadsheetml/2006/main">
  <c r="D48" i="1" l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12" i="1"/>
  <c r="E12" i="1"/>
  <c r="F12" i="1"/>
  <c r="G12" i="1"/>
  <c r="H12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13" i="1"/>
  <c r="E13" i="1"/>
  <c r="F13" i="1"/>
  <c r="G13" i="1"/>
  <c r="H13" i="1"/>
  <c r="D5" i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42" i="1"/>
  <c r="E42" i="1"/>
  <c r="F42" i="1"/>
  <c r="G42" i="1"/>
  <c r="H42" i="1"/>
  <c r="D53" i="1"/>
  <c r="E53" i="1"/>
  <c r="F53" i="1"/>
  <c r="G53" i="1"/>
  <c r="H53" i="1"/>
  <c r="D54" i="1"/>
  <c r="E54" i="1"/>
  <c r="F54" i="1"/>
  <c r="G54" i="1"/>
  <c r="H54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58" i="1"/>
  <c r="E58" i="1"/>
  <c r="F58" i="1"/>
  <c r="G58" i="1"/>
  <c r="H58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57" i="1"/>
  <c r="E57" i="1"/>
  <c r="F57" i="1"/>
  <c r="G57" i="1"/>
  <c r="H57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2" i="1"/>
  <c r="E2" i="1"/>
  <c r="F2" i="1"/>
  <c r="G2" i="1"/>
  <c r="H2" i="1"/>
  <c r="D3" i="1"/>
  <c r="E3" i="1"/>
  <c r="F3" i="1"/>
  <c r="G3" i="1"/>
  <c r="H3" i="1"/>
  <c r="D4" i="1"/>
  <c r="E4" i="1"/>
  <c r="F4" i="1"/>
  <c r="G4" i="1"/>
  <c r="H4" i="1"/>
  <c r="D11" i="1"/>
  <c r="E11" i="1"/>
  <c r="F11" i="1"/>
  <c r="G11" i="1"/>
  <c r="H11" i="1"/>
  <c r="D93" i="1"/>
  <c r="E93" i="1"/>
  <c r="F93" i="1"/>
  <c r="G93" i="1"/>
  <c r="H93" i="1"/>
  <c r="D43" i="1"/>
  <c r="E43" i="1"/>
  <c r="F43" i="1"/>
  <c r="G43" i="1"/>
  <c r="H43" i="1"/>
  <c r="D40" i="1"/>
  <c r="E40" i="1"/>
  <c r="F40" i="1"/>
  <c r="G40" i="1"/>
  <c r="H40" i="1"/>
  <c r="D41" i="1"/>
  <c r="E41" i="1"/>
  <c r="F41" i="1"/>
  <c r="G41" i="1"/>
  <c r="H41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55" i="1"/>
  <c r="E55" i="1"/>
  <c r="F55" i="1"/>
  <c r="G55" i="1"/>
  <c r="H55" i="1"/>
  <c r="D56" i="1"/>
  <c r="E56" i="1"/>
  <c r="F56" i="1"/>
  <c r="G56" i="1"/>
  <c r="H56" i="1"/>
  <c r="D14" i="1"/>
  <c r="E14" i="1"/>
  <c r="F14" i="1"/>
  <c r="G14" i="1"/>
  <c r="H14" i="1"/>
  <c r="D15" i="1"/>
  <c r="E15" i="1"/>
  <c r="F15" i="1"/>
  <c r="G15" i="1"/>
  <c r="H15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59" i="1"/>
  <c r="E59" i="1"/>
  <c r="F59" i="1"/>
  <c r="G59" i="1"/>
  <c r="H59" i="1"/>
  <c r="D60" i="1"/>
  <c r="E60" i="1"/>
  <c r="F60" i="1"/>
  <c r="G60" i="1"/>
  <c r="H60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44" i="1"/>
  <c r="E44" i="1"/>
  <c r="F44" i="1"/>
  <c r="G44" i="1"/>
  <c r="H44" i="1"/>
  <c r="D45" i="1"/>
  <c r="E45" i="1"/>
  <c r="F45" i="1"/>
  <c r="G45" i="1"/>
  <c r="H45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46" i="1"/>
  <c r="E46" i="1"/>
  <c r="F46" i="1"/>
  <c r="G46" i="1"/>
  <c r="H46" i="1"/>
  <c r="D47" i="1"/>
  <c r="E47" i="1"/>
  <c r="F47" i="1"/>
  <c r="G47" i="1"/>
  <c r="H47" i="1"/>
  <c r="D229" i="1"/>
  <c r="E229" i="1"/>
  <c r="F229" i="1"/>
  <c r="G229" i="1"/>
  <c r="H229" i="1"/>
  <c r="D235" i="1"/>
  <c r="E235" i="1"/>
  <c r="F235" i="1"/>
  <c r="G235" i="1"/>
  <c r="H235" i="1"/>
  <c r="D231" i="1"/>
  <c r="E231" i="1"/>
  <c r="F231" i="1"/>
  <c r="G231" i="1"/>
  <c r="H231" i="1"/>
  <c r="D230" i="1"/>
  <c r="E230" i="1"/>
  <c r="F230" i="1"/>
  <c r="G230" i="1"/>
  <c r="H230" i="1"/>
  <c r="D232" i="1"/>
  <c r="E232" i="1"/>
  <c r="F232" i="1"/>
  <c r="G232" i="1"/>
  <c r="H232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34" i="1"/>
  <c r="E234" i="1"/>
  <c r="F234" i="1"/>
  <c r="G234" i="1"/>
  <c r="H234" i="1"/>
  <c r="D241" i="1"/>
  <c r="E241" i="1"/>
  <c r="F241" i="1"/>
  <c r="G241" i="1"/>
  <c r="H241" i="1"/>
  <c r="D233" i="1"/>
  <c r="E233" i="1"/>
  <c r="F233" i="1"/>
  <c r="G233" i="1"/>
  <c r="H233" i="1"/>
  <c r="D190" i="1"/>
  <c r="E190" i="1"/>
  <c r="F190" i="1"/>
  <c r="G190" i="1"/>
  <c r="H190" i="1"/>
  <c r="D237" i="1"/>
  <c r="E237" i="1"/>
  <c r="F237" i="1"/>
  <c r="G237" i="1"/>
  <c r="H237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46" i="1"/>
  <c r="E246" i="1"/>
  <c r="F246" i="1"/>
  <c r="G246" i="1"/>
  <c r="H246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198" i="1"/>
  <c r="E198" i="1"/>
  <c r="F198" i="1"/>
  <c r="G198" i="1"/>
  <c r="H198" i="1"/>
  <c r="D199" i="1"/>
  <c r="E199" i="1"/>
  <c r="F199" i="1"/>
  <c r="G199" i="1"/>
  <c r="H199" i="1"/>
  <c r="D238" i="1"/>
  <c r="E238" i="1"/>
  <c r="F238" i="1"/>
  <c r="G238" i="1"/>
  <c r="H238" i="1"/>
  <c r="D244" i="1"/>
  <c r="E244" i="1"/>
  <c r="F244" i="1"/>
  <c r="G244" i="1"/>
  <c r="H244" i="1"/>
  <c r="D239" i="1"/>
  <c r="E239" i="1"/>
  <c r="F239" i="1"/>
  <c r="G239" i="1"/>
  <c r="H239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36" i="1"/>
  <c r="E236" i="1"/>
  <c r="F236" i="1"/>
  <c r="G236" i="1"/>
  <c r="H236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50" i="1"/>
  <c r="E250" i="1"/>
  <c r="F250" i="1"/>
  <c r="G250" i="1"/>
  <c r="H250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191" i="1"/>
  <c r="E191" i="1"/>
  <c r="F191" i="1"/>
  <c r="G191" i="1"/>
  <c r="H191" i="1"/>
  <c r="D192" i="1"/>
  <c r="E192" i="1"/>
  <c r="F192" i="1"/>
  <c r="G192" i="1"/>
  <c r="H192" i="1"/>
  <c r="D251" i="1"/>
  <c r="E251" i="1"/>
  <c r="F251" i="1"/>
  <c r="G251" i="1"/>
  <c r="H251" i="1"/>
  <c r="D242" i="1"/>
  <c r="E242" i="1"/>
  <c r="F242" i="1"/>
  <c r="G242" i="1"/>
  <c r="H242" i="1"/>
  <c r="D243" i="1"/>
  <c r="E243" i="1"/>
  <c r="F243" i="1"/>
  <c r="G243" i="1"/>
  <c r="H243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45" i="1"/>
  <c r="E245" i="1"/>
  <c r="F245" i="1"/>
  <c r="G245" i="1"/>
  <c r="H245" i="1"/>
  <c r="D296" i="1"/>
  <c r="E296" i="1"/>
  <c r="F296" i="1"/>
  <c r="G296" i="1"/>
  <c r="H296" i="1"/>
  <c r="D308" i="1"/>
  <c r="E308" i="1"/>
  <c r="F308" i="1"/>
  <c r="G308" i="1"/>
  <c r="H308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94" i="1"/>
  <c r="E294" i="1"/>
  <c r="F294" i="1"/>
  <c r="G294" i="1"/>
  <c r="H294" i="1"/>
  <c r="D295" i="1"/>
  <c r="E295" i="1"/>
  <c r="F295" i="1"/>
  <c r="G295" i="1"/>
  <c r="H295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24" i="1"/>
  <c r="E324" i="1"/>
  <c r="F324" i="1"/>
  <c r="G324" i="1"/>
  <c r="H324" i="1"/>
  <c r="D325" i="1"/>
  <c r="E325" i="1"/>
  <c r="F325" i="1"/>
  <c r="G325" i="1"/>
  <c r="H325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247" i="1"/>
  <c r="E247" i="1"/>
  <c r="F247" i="1"/>
  <c r="G247" i="1"/>
  <c r="H247" i="1"/>
  <c r="D240" i="1"/>
  <c r="E240" i="1"/>
  <c r="F240" i="1"/>
  <c r="G240" i="1"/>
  <c r="H240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248" i="1"/>
  <c r="E248" i="1"/>
  <c r="F248" i="1"/>
  <c r="G248" i="1"/>
  <c r="H248" i="1"/>
  <c r="D249" i="1"/>
  <c r="E249" i="1"/>
  <c r="F249" i="1"/>
  <c r="G249" i="1"/>
  <c r="H249" i="1"/>
  <c r="D228" i="1"/>
  <c r="E228" i="1"/>
  <c r="F228" i="1"/>
  <c r="G228" i="1"/>
  <c r="H228" i="1"/>
  <c r="D330" i="1"/>
  <c r="E330" i="1"/>
  <c r="F330" i="1"/>
  <c r="G330" i="1"/>
  <c r="H330" i="1"/>
  <c r="D297" i="1"/>
  <c r="E297" i="1"/>
  <c r="F297" i="1"/>
  <c r="G297" i="1"/>
  <c r="H297" i="1"/>
  <c r="D339" i="1"/>
  <c r="E339" i="1"/>
  <c r="F339" i="1"/>
  <c r="G339" i="1"/>
  <c r="H339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338" i="1"/>
  <c r="E338" i="1"/>
  <c r="F338" i="1"/>
  <c r="G338" i="1"/>
  <c r="H338" i="1"/>
  <c r="D340" i="1"/>
  <c r="E340" i="1"/>
  <c r="F340" i="1"/>
  <c r="G340" i="1"/>
  <c r="H340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47" i="1"/>
  <c r="E347" i="1"/>
  <c r="F347" i="1"/>
  <c r="G347" i="1"/>
  <c r="H347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352" i="1"/>
  <c r="E352" i="1"/>
  <c r="F352" i="1"/>
  <c r="G352" i="1"/>
  <c r="H352" i="1"/>
  <c r="D446" i="1"/>
  <c r="E446" i="1"/>
  <c r="F446" i="1"/>
  <c r="G446" i="1"/>
  <c r="H446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90" i="1"/>
  <c r="E390" i="1"/>
  <c r="F390" i="1"/>
  <c r="G390" i="1"/>
  <c r="H39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451" i="1"/>
  <c r="E451" i="1"/>
  <c r="F451" i="1"/>
  <c r="G451" i="1"/>
  <c r="H451" i="1"/>
  <c r="D452" i="1"/>
  <c r="E452" i="1"/>
  <c r="F452" i="1"/>
  <c r="G452" i="1"/>
  <c r="H452" i="1"/>
  <c r="D448" i="1"/>
  <c r="E448" i="1"/>
  <c r="F448" i="1"/>
  <c r="G448" i="1"/>
  <c r="H448" i="1"/>
  <c r="D447" i="1"/>
  <c r="E447" i="1"/>
  <c r="F447" i="1"/>
  <c r="G447" i="1"/>
  <c r="H447" i="1"/>
  <c r="D454" i="1"/>
  <c r="E454" i="1"/>
  <c r="F454" i="1"/>
  <c r="G454" i="1"/>
  <c r="H454" i="1"/>
  <c r="D455" i="1"/>
  <c r="E455" i="1"/>
  <c r="F455" i="1"/>
  <c r="G455" i="1"/>
  <c r="H455" i="1"/>
  <c r="D453" i="1"/>
  <c r="E453" i="1"/>
  <c r="F453" i="1"/>
  <c r="G453" i="1"/>
  <c r="H453" i="1"/>
  <c r="D445" i="1"/>
  <c r="E445" i="1"/>
  <c r="F445" i="1"/>
  <c r="G445" i="1"/>
  <c r="H445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433" i="1"/>
  <c r="E433" i="1"/>
  <c r="F433" i="1"/>
  <c r="G433" i="1"/>
  <c r="H433" i="1"/>
  <c r="D434" i="1"/>
  <c r="E434" i="1"/>
  <c r="F434" i="1"/>
  <c r="G434" i="1"/>
  <c r="H434" i="1"/>
  <c r="D457" i="1"/>
  <c r="E457" i="1"/>
  <c r="F457" i="1"/>
  <c r="G457" i="1"/>
  <c r="H457" i="1"/>
  <c r="D458" i="1"/>
  <c r="E458" i="1"/>
  <c r="F458" i="1"/>
  <c r="G458" i="1"/>
  <c r="H458" i="1"/>
  <c r="D502" i="1"/>
  <c r="E502" i="1"/>
  <c r="F502" i="1"/>
  <c r="G502" i="1"/>
  <c r="H502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59" i="1"/>
  <c r="E559" i="1"/>
  <c r="F559" i="1"/>
  <c r="G559" i="1"/>
  <c r="H559" i="1"/>
  <c r="D560" i="1"/>
  <c r="E560" i="1"/>
  <c r="F560" i="1"/>
  <c r="G560" i="1"/>
  <c r="H560" i="1"/>
  <c r="D561" i="1"/>
  <c r="E561" i="1"/>
  <c r="F561" i="1"/>
  <c r="G561" i="1"/>
  <c r="H561" i="1"/>
  <c r="D491" i="1"/>
  <c r="E491" i="1"/>
  <c r="F491" i="1"/>
  <c r="G491" i="1"/>
  <c r="H491" i="1"/>
  <c r="D492" i="1"/>
  <c r="E492" i="1"/>
  <c r="F492" i="1"/>
  <c r="G492" i="1"/>
  <c r="H492" i="1"/>
  <c r="D493" i="1"/>
  <c r="E493" i="1"/>
  <c r="F493" i="1"/>
  <c r="G493" i="1"/>
  <c r="H493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3" i="1"/>
  <c r="E513" i="1"/>
  <c r="F513" i="1"/>
  <c r="G513" i="1"/>
  <c r="H513" i="1"/>
  <c r="D514" i="1"/>
  <c r="E514" i="1"/>
  <c r="F514" i="1"/>
  <c r="G514" i="1"/>
  <c r="H514" i="1"/>
  <c r="D515" i="1"/>
  <c r="E515" i="1"/>
  <c r="F515" i="1"/>
  <c r="G515" i="1"/>
  <c r="H515" i="1"/>
  <c r="D456" i="1"/>
  <c r="E456" i="1"/>
  <c r="F456" i="1"/>
  <c r="G456" i="1"/>
  <c r="H456" i="1"/>
  <c r="D562" i="1"/>
  <c r="E562" i="1"/>
  <c r="F562" i="1"/>
  <c r="G562" i="1"/>
  <c r="H562" i="1"/>
  <c r="D563" i="1"/>
  <c r="E563" i="1"/>
  <c r="F563" i="1"/>
  <c r="G563" i="1"/>
  <c r="H563" i="1"/>
  <c r="D564" i="1"/>
  <c r="E564" i="1"/>
  <c r="F564" i="1"/>
  <c r="G564" i="1"/>
  <c r="H564" i="1"/>
  <c r="D565" i="1"/>
  <c r="E565" i="1"/>
  <c r="F565" i="1"/>
  <c r="G565" i="1"/>
  <c r="H565" i="1"/>
  <c r="D566" i="1"/>
  <c r="E566" i="1"/>
  <c r="F566" i="1"/>
  <c r="G566" i="1"/>
  <c r="H566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567" i="1"/>
  <c r="E567" i="1"/>
  <c r="F567" i="1"/>
  <c r="G567" i="1"/>
  <c r="H567" i="1"/>
  <c r="D568" i="1"/>
  <c r="E568" i="1"/>
  <c r="F568" i="1"/>
  <c r="G568" i="1"/>
  <c r="H568" i="1"/>
  <c r="D569" i="1"/>
  <c r="E569" i="1"/>
  <c r="F569" i="1"/>
  <c r="G569" i="1"/>
  <c r="H569" i="1"/>
  <c r="D570" i="1"/>
  <c r="E570" i="1"/>
  <c r="F570" i="1"/>
  <c r="G570" i="1"/>
  <c r="H570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449" i="1"/>
  <c r="E449" i="1"/>
  <c r="F449" i="1"/>
  <c r="G449" i="1"/>
  <c r="H449" i="1"/>
  <c r="D450" i="1"/>
  <c r="E450" i="1"/>
  <c r="F450" i="1"/>
  <c r="G450" i="1"/>
  <c r="H450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41" i="1"/>
  <c r="E541" i="1"/>
  <c r="F541" i="1"/>
  <c r="G541" i="1"/>
  <c r="H541" i="1"/>
  <c r="D542" i="1"/>
  <c r="E542" i="1"/>
  <c r="F542" i="1"/>
  <c r="G542" i="1"/>
  <c r="H542" i="1"/>
  <c r="D543" i="1"/>
  <c r="E543" i="1"/>
  <c r="F543" i="1"/>
  <c r="G543" i="1"/>
  <c r="H543" i="1"/>
  <c r="D544" i="1"/>
  <c r="E544" i="1"/>
  <c r="F544" i="1"/>
  <c r="G544" i="1"/>
  <c r="H544" i="1"/>
  <c r="D545" i="1"/>
  <c r="E545" i="1"/>
  <c r="F545" i="1"/>
  <c r="G545" i="1"/>
  <c r="H545" i="1"/>
  <c r="D546" i="1"/>
  <c r="E546" i="1"/>
  <c r="F546" i="1"/>
  <c r="G546" i="1"/>
  <c r="H546" i="1"/>
  <c r="D547" i="1"/>
  <c r="E547" i="1"/>
  <c r="F547" i="1"/>
  <c r="G547" i="1"/>
  <c r="H547" i="1"/>
  <c r="D548" i="1"/>
  <c r="E548" i="1"/>
  <c r="F548" i="1"/>
  <c r="G548" i="1"/>
  <c r="H548" i="1"/>
  <c r="D549" i="1"/>
  <c r="E549" i="1"/>
  <c r="F549" i="1"/>
  <c r="G549" i="1"/>
  <c r="H549" i="1"/>
  <c r="D550" i="1"/>
  <c r="E550" i="1"/>
  <c r="F550" i="1"/>
  <c r="G550" i="1"/>
  <c r="H550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63" i="1"/>
  <c r="E463" i="1"/>
  <c r="F463" i="1"/>
  <c r="G463" i="1"/>
  <c r="H463" i="1"/>
  <c r="D464" i="1"/>
  <c r="E464" i="1"/>
  <c r="F464" i="1"/>
  <c r="G464" i="1"/>
  <c r="H464" i="1"/>
  <c r="D465" i="1"/>
  <c r="E465" i="1"/>
  <c r="F465" i="1"/>
  <c r="G465" i="1"/>
  <c r="H465" i="1"/>
  <c r="D466" i="1"/>
  <c r="E466" i="1"/>
  <c r="F466" i="1"/>
  <c r="G466" i="1"/>
  <c r="H466" i="1"/>
  <c r="D467" i="1"/>
  <c r="E467" i="1"/>
  <c r="F467" i="1"/>
  <c r="G467" i="1"/>
  <c r="H467" i="1"/>
  <c r="D468" i="1"/>
  <c r="E468" i="1"/>
  <c r="F468" i="1"/>
  <c r="G468" i="1"/>
  <c r="H468" i="1"/>
  <c r="D469" i="1"/>
  <c r="E469" i="1"/>
  <c r="F469" i="1"/>
  <c r="G469" i="1"/>
  <c r="H469" i="1"/>
  <c r="D470" i="1"/>
  <c r="E470" i="1"/>
  <c r="F470" i="1"/>
  <c r="G470" i="1"/>
  <c r="H470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77" i="1"/>
  <c r="E477" i="1"/>
  <c r="F477" i="1"/>
  <c r="G477" i="1"/>
  <c r="H477" i="1"/>
  <c r="D478" i="1"/>
  <c r="E478" i="1"/>
  <c r="F478" i="1"/>
  <c r="G478" i="1"/>
  <c r="H478" i="1"/>
  <c r="D479" i="1"/>
  <c r="E479" i="1"/>
  <c r="F479" i="1"/>
  <c r="G479" i="1"/>
  <c r="H479" i="1"/>
  <c r="D480" i="1"/>
  <c r="E480" i="1"/>
  <c r="F480" i="1"/>
  <c r="G480" i="1"/>
  <c r="H480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89" i="1"/>
  <c r="E489" i="1"/>
  <c r="F489" i="1"/>
  <c r="G489" i="1"/>
  <c r="H489" i="1"/>
  <c r="D490" i="1"/>
  <c r="E490" i="1"/>
  <c r="F490" i="1"/>
  <c r="G490" i="1"/>
  <c r="H490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55" i="1"/>
  <c r="E555" i="1"/>
  <c r="F555" i="1"/>
  <c r="G555" i="1"/>
  <c r="H555" i="1"/>
  <c r="D556" i="1"/>
  <c r="E556" i="1"/>
  <c r="F556" i="1"/>
  <c r="G556" i="1"/>
  <c r="H556" i="1"/>
  <c r="D557" i="1"/>
  <c r="E557" i="1"/>
  <c r="F557" i="1"/>
  <c r="G557" i="1"/>
  <c r="H557" i="1"/>
  <c r="D558" i="1"/>
  <c r="E558" i="1"/>
  <c r="F558" i="1"/>
  <c r="G558" i="1"/>
  <c r="H558" i="1"/>
  <c r="D591" i="1"/>
  <c r="E591" i="1"/>
  <c r="F591" i="1"/>
  <c r="G591" i="1"/>
  <c r="H591" i="1"/>
  <c r="D574" i="1"/>
  <c r="E574" i="1"/>
  <c r="F574" i="1"/>
  <c r="G574" i="1"/>
  <c r="H574" i="1"/>
  <c r="D592" i="1"/>
  <c r="E592" i="1"/>
  <c r="F592" i="1"/>
  <c r="G592" i="1"/>
  <c r="H592" i="1"/>
  <c r="D598" i="1"/>
  <c r="E598" i="1"/>
  <c r="F598" i="1"/>
  <c r="G598" i="1"/>
  <c r="H598" i="1"/>
  <c r="D599" i="1"/>
  <c r="E599" i="1"/>
  <c r="F599" i="1"/>
  <c r="G599" i="1"/>
  <c r="H599" i="1"/>
  <c r="D600" i="1"/>
  <c r="E600" i="1"/>
  <c r="F600" i="1"/>
  <c r="G600" i="1"/>
  <c r="H600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606" i="1"/>
  <c r="E606" i="1"/>
  <c r="F606" i="1"/>
  <c r="G606" i="1"/>
  <c r="H606" i="1"/>
  <c r="D571" i="1"/>
  <c r="E571" i="1"/>
  <c r="F571" i="1"/>
  <c r="G571" i="1"/>
  <c r="H571" i="1"/>
  <c r="D572" i="1"/>
  <c r="E572" i="1"/>
  <c r="F572" i="1"/>
  <c r="G572" i="1"/>
  <c r="H572" i="1"/>
  <c r="D573" i="1"/>
  <c r="E573" i="1"/>
  <c r="F573" i="1"/>
  <c r="G573" i="1"/>
  <c r="H573" i="1"/>
  <c r="D647" i="1"/>
  <c r="E647" i="1"/>
  <c r="F647" i="1"/>
  <c r="G647" i="1"/>
  <c r="H647" i="1"/>
  <c r="D636" i="1"/>
  <c r="E636" i="1"/>
  <c r="F636" i="1"/>
  <c r="G636" i="1"/>
  <c r="H636" i="1"/>
  <c r="D637" i="1"/>
  <c r="E637" i="1"/>
  <c r="F637" i="1"/>
  <c r="G637" i="1"/>
  <c r="H637" i="1"/>
  <c r="D638" i="1"/>
  <c r="E638" i="1"/>
  <c r="F638" i="1"/>
  <c r="G638" i="1"/>
  <c r="H638" i="1"/>
  <c r="D639" i="1"/>
  <c r="E639" i="1"/>
  <c r="F639" i="1"/>
  <c r="G639" i="1"/>
  <c r="H639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44" i="1"/>
  <c r="E644" i="1"/>
  <c r="F644" i="1"/>
  <c r="G644" i="1"/>
  <c r="H644" i="1"/>
  <c r="D645" i="1"/>
  <c r="E645" i="1"/>
  <c r="F645" i="1"/>
  <c r="G645" i="1"/>
  <c r="H645" i="1"/>
  <c r="D646" i="1"/>
  <c r="E646" i="1"/>
  <c r="F646" i="1"/>
  <c r="G646" i="1"/>
  <c r="H646" i="1"/>
  <c r="D593" i="1"/>
  <c r="E593" i="1"/>
  <c r="F593" i="1"/>
  <c r="G593" i="1"/>
  <c r="H593" i="1"/>
  <c r="D594" i="1"/>
  <c r="E594" i="1"/>
  <c r="F594" i="1"/>
  <c r="G594" i="1"/>
  <c r="H594" i="1"/>
  <c r="D595" i="1"/>
  <c r="E595" i="1"/>
  <c r="F595" i="1"/>
  <c r="G595" i="1"/>
  <c r="H595" i="1"/>
  <c r="D596" i="1"/>
  <c r="E596" i="1"/>
  <c r="F596" i="1"/>
  <c r="G596" i="1"/>
  <c r="H596" i="1"/>
  <c r="D597" i="1"/>
  <c r="E597" i="1"/>
  <c r="F597" i="1"/>
  <c r="G597" i="1"/>
  <c r="H597" i="1"/>
  <c r="D604" i="1"/>
  <c r="E604" i="1"/>
  <c r="F604" i="1"/>
  <c r="G604" i="1"/>
  <c r="H604" i="1"/>
  <c r="D586" i="1"/>
  <c r="E586" i="1"/>
  <c r="F586" i="1"/>
  <c r="G586" i="1"/>
  <c r="H586" i="1"/>
  <c r="D587" i="1"/>
  <c r="E587" i="1"/>
  <c r="F587" i="1"/>
  <c r="G587" i="1"/>
  <c r="H587" i="1"/>
  <c r="D588" i="1"/>
  <c r="E588" i="1"/>
  <c r="F588" i="1"/>
  <c r="G588" i="1"/>
  <c r="H588" i="1"/>
  <c r="D605" i="1"/>
  <c r="E605" i="1"/>
  <c r="F605" i="1"/>
  <c r="G605" i="1"/>
  <c r="H605" i="1"/>
  <c r="D589" i="1"/>
  <c r="E589" i="1"/>
  <c r="F589" i="1"/>
  <c r="G589" i="1"/>
  <c r="H589" i="1"/>
  <c r="D590" i="1"/>
  <c r="E590" i="1"/>
  <c r="F590" i="1"/>
  <c r="G590" i="1"/>
  <c r="H590" i="1"/>
  <c r="D607" i="1"/>
  <c r="E607" i="1"/>
  <c r="F607" i="1"/>
  <c r="G607" i="1"/>
  <c r="H607" i="1"/>
  <c r="D608" i="1"/>
  <c r="E608" i="1"/>
  <c r="F608" i="1"/>
  <c r="G608" i="1"/>
  <c r="H608" i="1"/>
  <c r="D609" i="1"/>
  <c r="E609" i="1"/>
  <c r="F609" i="1"/>
  <c r="G609" i="1"/>
  <c r="H609" i="1"/>
  <c r="D610" i="1"/>
  <c r="E610" i="1"/>
  <c r="F610" i="1"/>
  <c r="G610" i="1"/>
  <c r="H610" i="1"/>
  <c r="D611" i="1"/>
  <c r="E611" i="1"/>
  <c r="F611" i="1"/>
  <c r="G611" i="1"/>
  <c r="H611" i="1"/>
  <c r="D612" i="1"/>
  <c r="E612" i="1"/>
  <c r="F612" i="1"/>
  <c r="G612" i="1"/>
  <c r="H612" i="1"/>
  <c r="D613" i="1"/>
  <c r="E613" i="1"/>
  <c r="F613" i="1"/>
  <c r="G613" i="1"/>
  <c r="H613" i="1"/>
  <c r="D614" i="1"/>
  <c r="E614" i="1"/>
  <c r="F614" i="1"/>
  <c r="G614" i="1"/>
  <c r="H614" i="1"/>
  <c r="D615" i="1"/>
  <c r="E615" i="1"/>
  <c r="F615" i="1"/>
  <c r="G615" i="1"/>
  <c r="H615" i="1"/>
  <c r="D616" i="1"/>
  <c r="E616" i="1"/>
  <c r="F616" i="1"/>
  <c r="G616" i="1"/>
  <c r="H616" i="1"/>
  <c r="D617" i="1"/>
  <c r="E617" i="1"/>
  <c r="F617" i="1"/>
  <c r="G617" i="1"/>
  <c r="H617" i="1"/>
  <c r="D618" i="1"/>
  <c r="E618" i="1"/>
  <c r="F618" i="1"/>
  <c r="G618" i="1"/>
  <c r="H618" i="1"/>
  <c r="D619" i="1"/>
  <c r="E619" i="1"/>
  <c r="F619" i="1"/>
  <c r="G619" i="1"/>
  <c r="H619" i="1"/>
  <c r="D620" i="1"/>
  <c r="E620" i="1"/>
  <c r="F620" i="1"/>
  <c r="G620" i="1"/>
  <c r="H620" i="1"/>
  <c r="D621" i="1"/>
  <c r="E621" i="1"/>
  <c r="F621" i="1"/>
  <c r="G621" i="1"/>
  <c r="H621" i="1"/>
  <c r="D622" i="1"/>
  <c r="E622" i="1"/>
  <c r="F622" i="1"/>
  <c r="G622" i="1"/>
  <c r="H622" i="1"/>
  <c r="D623" i="1"/>
  <c r="E623" i="1"/>
  <c r="F623" i="1"/>
  <c r="G623" i="1"/>
  <c r="H623" i="1"/>
  <c r="D624" i="1"/>
  <c r="E624" i="1"/>
  <c r="F624" i="1"/>
  <c r="G624" i="1"/>
  <c r="H624" i="1"/>
  <c r="D625" i="1"/>
  <c r="E625" i="1"/>
  <c r="F625" i="1"/>
  <c r="G625" i="1"/>
  <c r="H625" i="1"/>
  <c r="D626" i="1"/>
  <c r="E626" i="1"/>
  <c r="F626" i="1"/>
  <c r="G626" i="1"/>
  <c r="H626" i="1"/>
  <c r="D627" i="1"/>
  <c r="E627" i="1"/>
  <c r="F627" i="1"/>
  <c r="G627" i="1"/>
  <c r="H627" i="1"/>
  <c r="D628" i="1"/>
  <c r="E628" i="1"/>
  <c r="F628" i="1"/>
  <c r="G628" i="1"/>
  <c r="H628" i="1"/>
  <c r="D629" i="1"/>
  <c r="E629" i="1"/>
  <c r="F629" i="1"/>
  <c r="G629" i="1"/>
  <c r="H629" i="1"/>
  <c r="D630" i="1"/>
  <c r="E630" i="1"/>
  <c r="F630" i="1"/>
  <c r="G630" i="1"/>
  <c r="H630" i="1"/>
  <c r="D631" i="1"/>
  <c r="E631" i="1"/>
  <c r="F631" i="1"/>
  <c r="G631" i="1"/>
  <c r="H631" i="1"/>
  <c r="D632" i="1"/>
  <c r="E632" i="1"/>
  <c r="F632" i="1"/>
  <c r="G632" i="1"/>
  <c r="H632" i="1"/>
  <c r="D633" i="1"/>
  <c r="E633" i="1"/>
  <c r="F633" i="1"/>
  <c r="G633" i="1"/>
  <c r="H633" i="1"/>
  <c r="D634" i="1"/>
  <c r="E634" i="1"/>
  <c r="F634" i="1"/>
  <c r="G634" i="1"/>
  <c r="H634" i="1"/>
  <c r="D635" i="1"/>
  <c r="E635" i="1"/>
  <c r="F635" i="1"/>
  <c r="G635" i="1"/>
  <c r="H635" i="1"/>
  <c r="D652" i="1"/>
  <c r="E652" i="1"/>
  <c r="F652" i="1"/>
  <c r="G652" i="1"/>
  <c r="H652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87" i="1"/>
  <c r="E687" i="1"/>
  <c r="F687" i="1"/>
  <c r="G687" i="1"/>
  <c r="H687" i="1"/>
  <c r="D653" i="1"/>
  <c r="E653" i="1"/>
  <c r="F653" i="1"/>
  <c r="G653" i="1"/>
  <c r="H653" i="1"/>
  <c r="D654" i="1"/>
  <c r="E654" i="1"/>
  <c r="F654" i="1"/>
  <c r="G654" i="1"/>
  <c r="H654" i="1"/>
  <c r="D655" i="1"/>
  <c r="E655" i="1"/>
  <c r="F655" i="1"/>
  <c r="G655" i="1"/>
  <c r="H655" i="1"/>
  <c r="D656" i="1"/>
  <c r="E656" i="1"/>
  <c r="F656" i="1"/>
  <c r="G656" i="1"/>
  <c r="H656" i="1"/>
  <c r="D657" i="1"/>
  <c r="E657" i="1"/>
  <c r="F657" i="1"/>
  <c r="G657" i="1"/>
  <c r="H657" i="1"/>
  <c r="D658" i="1"/>
  <c r="E658" i="1"/>
  <c r="F658" i="1"/>
  <c r="G658" i="1"/>
  <c r="H658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5" i="1"/>
  <c r="E665" i="1"/>
  <c r="F665" i="1"/>
  <c r="G665" i="1"/>
  <c r="H665" i="1"/>
  <c r="D666" i="1"/>
  <c r="E666" i="1"/>
  <c r="F666" i="1"/>
  <c r="G666" i="1"/>
  <c r="H666" i="1"/>
  <c r="D667" i="1"/>
  <c r="E667" i="1"/>
  <c r="F667" i="1"/>
  <c r="G667" i="1"/>
  <c r="H667" i="1"/>
  <c r="D668" i="1"/>
  <c r="E668" i="1"/>
  <c r="F668" i="1"/>
  <c r="G668" i="1"/>
  <c r="H668" i="1"/>
  <c r="D669" i="1"/>
  <c r="E669" i="1"/>
  <c r="F669" i="1"/>
  <c r="G669" i="1"/>
  <c r="H669" i="1"/>
  <c r="D670" i="1"/>
  <c r="E670" i="1"/>
  <c r="F670" i="1"/>
  <c r="G670" i="1"/>
  <c r="H670" i="1"/>
  <c r="D671" i="1"/>
  <c r="E671" i="1"/>
  <c r="F671" i="1"/>
  <c r="G671" i="1"/>
  <c r="H671" i="1"/>
  <c r="D672" i="1"/>
  <c r="E672" i="1"/>
  <c r="F672" i="1"/>
  <c r="G672" i="1"/>
  <c r="H672" i="1"/>
  <c r="D673" i="1"/>
  <c r="E673" i="1"/>
  <c r="F673" i="1"/>
  <c r="G673" i="1"/>
  <c r="H673" i="1"/>
  <c r="D674" i="1"/>
  <c r="E674" i="1"/>
  <c r="F674" i="1"/>
  <c r="G674" i="1"/>
  <c r="H674" i="1"/>
  <c r="D651" i="1"/>
  <c r="E651" i="1"/>
  <c r="F651" i="1"/>
  <c r="G651" i="1"/>
  <c r="H651" i="1"/>
  <c r="D575" i="1"/>
  <c r="E575" i="1"/>
  <c r="F575" i="1"/>
  <c r="G575" i="1"/>
  <c r="H575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79" i="1"/>
  <c r="E579" i="1"/>
  <c r="F579" i="1"/>
  <c r="G579" i="1"/>
  <c r="H579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3" i="1"/>
  <c r="E583" i="1"/>
  <c r="F583" i="1"/>
  <c r="G583" i="1"/>
  <c r="H583" i="1"/>
  <c r="D584" i="1"/>
  <c r="E584" i="1"/>
  <c r="F584" i="1"/>
  <c r="G584" i="1"/>
  <c r="H584" i="1"/>
  <c r="D585" i="1"/>
  <c r="E585" i="1"/>
  <c r="F585" i="1"/>
  <c r="G585" i="1"/>
  <c r="H585" i="1"/>
  <c r="D649" i="1"/>
  <c r="E649" i="1"/>
  <c r="F649" i="1"/>
  <c r="G649" i="1"/>
  <c r="H649" i="1"/>
  <c r="D650" i="1"/>
  <c r="E650" i="1"/>
  <c r="F650" i="1"/>
  <c r="G650" i="1"/>
  <c r="H650" i="1"/>
  <c r="D741" i="1"/>
  <c r="E741" i="1"/>
  <c r="F741" i="1"/>
  <c r="G741" i="1"/>
  <c r="H741" i="1"/>
  <c r="D742" i="1"/>
  <c r="E742" i="1"/>
  <c r="F742" i="1"/>
  <c r="G742" i="1"/>
  <c r="H742" i="1"/>
  <c r="D743" i="1"/>
  <c r="E743" i="1"/>
  <c r="F743" i="1"/>
  <c r="G743" i="1"/>
  <c r="H743" i="1"/>
  <c r="D744" i="1"/>
  <c r="E744" i="1"/>
  <c r="F744" i="1"/>
  <c r="G744" i="1"/>
  <c r="H744" i="1"/>
  <c r="D745" i="1"/>
  <c r="E745" i="1"/>
  <c r="F745" i="1"/>
  <c r="G745" i="1"/>
  <c r="H745" i="1"/>
  <c r="D746" i="1"/>
  <c r="E746" i="1"/>
  <c r="F746" i="1"/>
  <c r="G746" i="1"/>
  <c r="H746" i="1"/>
  <c r="D747" i="1"/>
  <c r="E747" i="1"/>
  <c r="F747" i="1"/>
  <c r="G747" i="1"/>
  <c r="H747" i="1"/>
  <c r="D748" i="1"/>
  <c r="E748" i="1"/>
  <c r="F748" i="1"/>
  <c r="G748" i="1"/>
  <c r="H748" i="1"/>
  <c r="D749" i="1"/>
  <c r="E749" i="1"/>
  <c r="F749" i="1"/>
  <c r="G749" i="1"/>
  <c r="H749" i="1"/>
  <c r="D750" i="1"/>
  <c r="E750" i="1"/>
  <c r="F750" i="1"/>
  <c r="G750" i="1"/>
  <c r="H750" i="1"/>
  <c r="D751" i="1"/>
  <c r="E751" i="1"/>
  <c r="F751" i="1"/>
  <c r="G751" i="1"/>
  <c r="H751" i="1"/>
  <c r="D752" i="1"/>
  <c r="E752" i="1"/>
  <c r="F752" i="1"/>
  <c r="G752" i="1"/>
  <c r="H752" i="1"/>
  <c r="D753" i="1"/>
  <c r="E753" i="1"/>
  <c r="F753" i="1"/>
  <c r="G753" i="1"/>
  <c r="H753" i="1"/>
  <c r="D691" i="1"/>
  <c r="E691" i="1"/>
  <c r="F691" i="1"/>
  <c r="G691" i="1"/>
  <c r="H691" i="1"/>
  <c r="D692" i="1"/>
  <c r="E692" i="1"/>
  <c r="F692" i="1"/>
  <c r="G692" i="1"/>
  <c r="H692" i="1"/>
  <c r="D726" i="1"/>
  <c r="E726" i="1"/>
  <c r="F726" i="1"/>
  <c r="G726" i="1"/>
  <c r="H726" i="1"/>
  <c r="D727" i="1"/>
  <c r="E727" i="1"/>
  <c r="F727" i="1"/>
  <c r="G727" i="1"/>
  <c r="H727" i="1"/>
  <c r="D728" i="1"/>
  <c r="E728" i="1"/>
  <c r="F728" i="1"/>
  <c r="G728" i="1"/>
  <c r="H728" i="1"/>
  <c r="D729" i="1"/>
  <c r="E729" i="1"/>
  <c r="F729" i="1"/>
  <c r="G729" i="1"/>
  <c r="H729" i="1"/>
  <c r="D730" i="1"/>
  <c r="E730" i="1"/>
  <c r="F730" i="1"/>
  <c r="G730" i="1"/>
  <c r="H730" i="1"/>
  <c r="D731" i="1"/>
  <c r="E731" i="1"/>
  <c r="F731" i="1"/>
  <c r="G731" i="1"/>
  <c r="H731" i="1"/>
  <c r="D732" i="1"/>
  <c r="E732" i="1"/>
  <c r="F732" i="1"/>
  <c r="G732" i="1"/>
  <c r="H732" i="1"/>
  <c r="D733" i="1"/>
  <c r="E733" i="1"/>
  <c r="F733" i="1"/>
  <c r="G733" i="1"/>
  <c r="H733" i="1"/>
  <c r="D734" i="1"/>
  <c r="E734" i="1"/>
  <c r="F734" i="1"/>
  <c r="G734" i="1"/>
  <c r="H734" i="1"/>
  <c r="D735" i="1"/>
  <c r="E735" i="1"/>
  <c r="F735" i="1"/>
  <c r="G735" i="1"/>
  <c r="H735" i="1"/>
  <c r="D736" i="1"/>
  <c r="E736" i="1"/>
  <c r="F736" i="1"/>
  <c r="G736" i="1"/>
  <c r="H736" i="1"/>
  <c r="D737" i="1"/>
  <c r="E737" i="1"/>
  <c r="F737" i="1"/>
  <c r="G737" i="1"/>
  <c r="H737" i="1"/>
  <c r="D738" i="1"/>
  <c r="E738" i="1"/>
  <c r="F738" i="1"/>
  <c r="G738" i="1"/>
  <c r="H738" i="1"/>
  <c r="D739" i="1"/>
  <c r="E739" i="1"/>
  <c r="F739" i="1"/>
  <c r="G739" i="1"/>
  <c r="H739" i="1"/>
  <c r="D740" i="1"/>
  <c r="E740" i="1"/>
  <c r="F740" i="1"/>
  <c r="G740" i="1"/>
  <c r="H740" i="1"/>
  <c r="D648" i="1"/>
  <c r="E648" i="1"/>
  <c r="F648" i="1"/>
  <c r="G648" i="1"/>
  <c r="H648" i="1"/>
  <c r="D703" i="1"/>
  <c r="E703" i="1"/>
  <c r="F703" i="1"/>
  <c r="G703" i="1"/>
  <c r="H703" i="1"/>
  <c r="D716" i="1"/>
  <c r="E716" i="1"/>
  <c r="F716" i="1"/>
  <c r="G716" i="1"/>
  <c r="H716" i="1"/>
  <c r="D717" i="1"/>
  <c r="E717" i="1"/>
  <c r="F717" i="1"/>
  <c r="G717" i="1"/>
  <c r="H717" i="1"/>
  <c r="D796" i="1"/>
  <c r="E796" i="1"/>
  <c r="F796" i="1"/>
  <c r="G796" i="1"/>
  <c r="H796" i="1"/>
  <c r="D675" i="1"/>
  <c r="E675" i="1"/>
  <c r="F675" i="1"/>
  <c r="G675" i="1"/>
  <c r="H675" i="1"/>
  <c r="D676" i="1"/>
  <c r="E676" i="1"/>
  <c r="F676" i="1"/>
  <c r="G676" i="1"/>
  <c r="H676" i="1"/>
  <c r="D677" i="1"/>
  <c r="E677" i="1"/>
  <c r="F677" i="1"/>
  <c r="G677" i="1"/>
  <c r="H677" i="1"/>
  <c r="D678" i="1"/>
  <c r="E678" i="1"/>
  <c r="F678" i="1"/>
  <c r="G678" i="1"/>
  <c r="H678" i="1"/>
  <c r="D679" i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683" i="1"/>
  <c r="E683" i="1"/>
  <c r="F683" i="1"/>
  <c r="G683" i="1"/>
  <c r="H683" i="1"/>
  <c r="D781" i="1"/>
  <c r="E781" i="1"/>
  <c r="F781" i="1"/>
  <c r="G781" i="1"/>
  <c r="H781" i="1"/>
  <c r="D797" i="1"/>
  <c r="E797" i="1"/>
  <c r="F797" i="1"/>
  <c r="G797" i="1"/>
  <c r="H797" i="1"/>
  <c r="D721" i="1"/>
  <c r="E721" i="1"/>
  <c r="F721" i="1"/>
  <c r="G721" i="1"/>
  <c r="H721" i="1"/>
  <c r="D722" i="1"/>
  <c r="E722" i="1"/>
  <c r="F722" i="1"/>
  <c r="G722" i="1"/>
  <c r="H722" i="1"/>
  <c r="D723" i="1"/>
  <c r="E723" i="1"/>
  <c r="F723" i="1"/>
  <c r="G723" i="1"/>
  <c r="H723" i="1"/>
  <c r="D724" i="1"/>
  <c r="E724" i="1"/>
  <c r="F724" i="1"/>
  <c r="G724" i="1"/>
  <c r="H724" i="1"/>
  <c r="D725" i="1"/>
  <c r="E725" i="1"/>
  <c r="F725" i="1"/>
  <c r="G725" i="1"/>
  <c r="H725" i="1"/>
  <c r="D718" i="1"/>
  <c r="E718" i="1"/>
  <c r="F718" i="1"/>
  <c r="G718" i="1"/>
  <c r="H718" i="1"/>
  <c r="D719" i="1"/>
  <c r="E719" i="1"/>
  <c r="F719" i="1"/>
  <c r="G719" i="1"/>
  <c r="H719" i="1"/>
  <c r="D720" i="1"/>
  <c r="E720" i="1"/>
  <c r="F720" i="1"/>
  <c r="G720" i="1"/>
  <c r="H720" i="1"/>
  <c r="D798" i="1"/>
  <c r="E798" i="1"/>
  <c r="F798" i="1"/>
  <c r="G798" i="1"/>
  <c r="H798" i="1"/>
  <c r="D783" i="1"/>
  <c r="E783" i="1"/>
  <c r="F783" i="1"/>
  <c r="G783" i="1"/>
  <c r="H783" i="1"/>
  <c r="D782" i="1"/>
  <c r="E782" i="1"/>
  <c r="F782" i="1"/>
  <c r="G782" i="1"/>
  <c r="H782" i="1"/>
  <c r="D799" i="1"/>
  <c r="E799" i="1"/>
  <c r="F799" i="1"/>
  <c r="G799" i="1"/>
  <c r="H799" i="1"/>
  <c r="D693" i="1"/>
  <c r="E693" i="1"/>
  <c r="F693" i="1"/>
  <c r="G693" i="1"/>
  <c r="H693" i="1"/>
  <c r="D800" i="1"/>
  <c r="E800" i="1"/>
  <c r="F800" i="1"/>
  <c r="G800" i="1"/>
  <c r="H800" i="1"/>
  <c r="D801" i="1"/>
  <c r="E801" i="1"/>
  <c r="F801" i="1"/>
  <c r="G801" i="1"/>
  <c r="H801" i="1"/>
  <c r="D785" i="1"/>
  <c r="E785" i="1"/>
  <c r="F785" i="1"/>
  <c r="G785" i="1"/>
  <c r="H785" i="1"/>
  <c r="D694" i="1"/>
  <c r="E694" i="1"/>
  <c r="F694" i="1"/>
  <c r="G694" i="1"/>
  <c r="H694" i="1"/>
  <c r="D756" i="1"/>
  <c r="E756" i="1"/>
  <c r="F756" i="1"/>
  <c r="G756" i="1"/>
  <c r="H756" i="1"/>
  <c r="D757" i="1"/>
  <c r="E757" i="1"/>
  <c r="F757" i="1"/>
  <c r="G757" i="1"/>
  <c r="H757" i="1"/>
  <c r="D758" i="1"/>
  <c r="E758" i="1"/>
  <c r="F758" i="1"/>
  <c r="G758" i="1"/>
  <c r="H758" i="1"/>
  <c r="D759" i="1"/>
  <c r="E759" i="1"/>
  <c r="F759" i="1"/>
  <c r="G759" i="1"/>
  <c r="H759" i="1"/>
  <c r="D760" i="1"/>
  <c r="E760" i="1"/>
  <c r="F760" i="1"/>
  <c r="G760" i="1"/>
  <c r="H760" i="1"/>
  <c r="D761" i="1"/>
  <c r="E761" i="1"/>
  <c r="F761" i="1"/>
  <c r="G761" i="1"/>
  <c r="H761" i="1"/>
  <c r="D762" i="1"/>
  <c r="E762" i="1"/>
  <c r="F762" i="1"/>
  <c r="G762" i="1"/>
  <c r="H762" i="1"/>
  <c r="D763" i="1"/>
  <c r="E763" i="1"/>
  <c r="F763" i="1"/>
  <c r="G763" i="1"/>
  <c r="H763" i="1"/>
  <c r="D764" i="1"/>
  <c r="E764" i="1"/>
  <c r="F764" i="1"/>
  <c r="G764" i="1"/>
  <c r="H764" i="1"/>
  <c r="D765" i="1"/>
  <c r="E765" i="1"/>
  <c r="F765" i="1"/>
  <c r="G765" i="1"/>
  <c r="H765" i="1"/>
  <c r="D766" i="1"/>
  <c r="E766" i="1"/>
  <c r="F766" i="1"/>
  <c r="G766" i="1"/>
  <c r="H766" i="1"/>
  <c r="D767" i="1"/>
  <c r="E767" i="1"/>
  <c r="F767" i="1"/>
  <c r="G767" i="1"/>
  <c r="H767" i="1"/>
  <c r="D768" i="1"/>
  <c r="E768" i="1"/>
  <c r="F768" i="1"/>
  <c r="G768" i="1"/>
  <c r="H768" i="1"/>
  <c r="D769" i="1"/>
  <c r="E769" i="1"/>
  <c r="F769" i="1"/>
  <c r="G769" i="1"/>
  <c r="H769" i="1"/>
  <c r="D770" i="1"/>
  <c r="E770" i="1"/>
  <c r="F770" i="1"/>
  <c r="G770" i="1"/>
  <c r="H770" i="1"/>
  <c r="D771" i="1"/>
  <c r="E771" i="1"/>
  <c r="F771" i="1"/>
  <c r="G771" i="1"/>
  <c r="H771" i="1"/>
  <c r="D772" i="1"/>
  <c r="E772" i="1"/>
  <c r="F772" i="1"/>
  <c r="G772" i="1"/>
  <c r="H772" i="1"/>
  <c r="D784" i="1"/>
  <c r="E784" i="1"/>
  <c r="F784" i="1"/>
  <c r="G784" i="1"/>
  <c r="H784" i="1"/>
  <c r="D695" i="1"/>
  <c r="E695" i="1"/>
  <c r="F695" i="1"/>
  <c r="G695" i="1"/>
  <c r="H695" i="1"/>
  <c r="D696" i="1"/>
  <c r="E696" i="1"/>
  <c r="F696" i="1"/>
  <c r="G696" i="1"/>
  <c r="H696" i="1"/>
  <c r="D697" i="1"/>
  <c r="E697" i="1"/>
  <c r="F697" i="1"/>
  <c r="G697" i="1"/>
  <c r="H697" i="1"/>
  <c r="D698" i="1"/>
  <c r="E698" i="1"/>
  <c r="F698" i="1"/>
  <c r="G698" i="1"/>
  <c r="H698" i="1"/>
  <c r="D699" i="1"/>
  <c r="E699" i="1"/>
  <c r="F699" i="1"/>
  <c r="G699" i="1"/>
  <c r="H699" i="1"/>
  <c r="D700" i="1"/>
  <c r="E700" i="1"/>
  <c r="F700" i="1"/>
  <c r="G700" i="1"/>
  <c r="H700" i="1"/>
  <c r="D802" i="1"/>
  <c r="E802" i="1"/>
  <c r="F802" i="1"/>
  <c r="G802" i="1"/>
  <c r="H802" i="1"/>
  <c r="D779" i="1"/>
  <c r="E779" i="1"/>
  <c r="F779" i="1"/>
  <c r="G779" i="1"/>
  <c r="H779" i="1"/>
  <c r="D780" i="1"/>
  <c r="E780" i="1"/>
  <c r="F780" i="1"/>
  <c r="G780" i="1"/>
  <c r="H780" i="1"/>
  <c r="D774" i="1"/>
  <c r="E774" i="1"/>
  <c r="F774" i="1"/>
  <c r="G774" i="1"/>
  <c r="H774" i="1"/>
  <c r="D775" i="1"/>
  <c r="E775" i="1"/>
  <c r="F775" i="1"/>
  <c r="G775" i="1"/>
  <c r="H775" i="1"/>
  <c r="D776" i="1"/>
  <c r="E776" i="1"/>
  <c r="F776" i="1"/>
  <c r="G776" i="1"/>
  <c r="H776" i="1"/>
  <c r="D777" i="1"/>
  <c r="E777" i="1"/>
  <c r="F777" i="1"/>
  <c r="G777" i="1"/>
  <c r="H777" i="1"/>
  <c r="D778" i="1"/>
  <c r="E778" i="1"/>
  <c r="F778" i="1"/>
  <c r="G778" i="1"/>
  <c r="H778" i="1"/>
  <c r="D805" i="1"/>
  <c r="E805" i="1"/>
  <c r="F805" i="1"/>
  <c r="G805" i="1"/>
  <c r="H805" i="1"/>
  <c r="D803" i="1"/>
  <c r="E803" i="1"/>
  <c r="F803" i="1"/>
  <c r="G803" i="1"/>
  <c r="H803" i="1"/>
  <c r="D804" i="1"/>
  <c r="E804" i="1"/>
  <c r="F804" i="1"/>
  <c r="G804" i="1"/>
  <c r="H804" i="1"/>
  <c r="D791" i="1"/>
  <c r="E791" i="1"/>
  <c r="F791" i="1"/>
  <c r="G791" i="1"/>
  <c r="H791" i="1"/>
  <c r="D792" i="1"/>
  <c r="E792" i="1"/>
  <c r="F792" i="1"/>
  <c r="G792" i="1"/>
  <c r="H792" i="1"/>
  <c r="D793" i="1"/>
  <c r="E793" i="1"/>
  <c r="F793" i="1"/>
  <c r="G793" i="1"/>
  <c r="H793" i="1"/>
  <c r="D794" i="1"/>
  <c r="E794" i="1"/>
  <c r="F794" i="1"/>
  <c r="G794" i="1"/>
  <c r="H794" i="1"/>
  <c r="D795" i="1"/>
  <c r="E795" i="1"/>
  <c r="F795" i="1"/>
  <c r="G795" i="1"/>
  <c r="H795" i="1"/>
  <c r="D811" i="1"/>
  <c r="E811" i="1"/>
  <c r="F811" i="1"/>
  <c r="G811" i="1"/>
  <c r="H811" i="1"/>
  <c r="D808" i="1"/>
  <c r="E808" i="1"/>
  <c r="F808" i="1"/>
  <c r="G808" i="1"/>
  <c r="H808" i="1"/>
  <c r="D813" i="1"/>
  <c r="E813" i="1"/>
  <c r="F813" i="1"/>
  <c r="G813" i="1"/>
  <c r="H813" i="1"/>
  <c r="D701" i="1"/>
  <c r="E701" i="1"/>
  <c r="F701" i="1"/>
  <c r="G701" i="1"/>
  <c r="H701" i="1"/>
  <c r="D702" i="1"/>
  <c r="E702" i="1"/>
  <c r="F702" i="1"/>
  <c r="G702" i="1"/>
  <c r="H702" i="1"/>
  <c r="D809" i="1"/>
  <c r="E809" i="1"/>
  <c r="F809" i="1"/>
  <c r="G809" i="1"/>
  <c r="H809" i="1"/>
  <c r="D810" i="1"/>
  <c r="E810" i="1"/>
  <c r="F810" i="1"/>
  <c r="G810" i="1"/>
  <c r="H810" i="1"/>
  <c r="D806" i="1"/>
  <c r="E806" i="1"/>
  <c r="F806" i="1"/>
  <c r="G806" i="1"/>
  <c r="H806" i="1"/>
  <c r="D812" i="1"/>
  <c r="E812" i="1"/>
  <c r="F812" i="1"/>
  <c r="G812" i="1"/>
  <c r="H812" i="1"/>
  <c r="D807" i="1"/>
  <c r="E807" i="1"/>
  <c r="F807" i="1"/>
  <c r="G807" i="1"/>
  <c r="H807" i="1"/>
  <c r="D820" i="1"/>
  <c r="E820" i="1"/>
  <c r="F820" i="1"/>
  <c r="G820" i="1"/>
  <c r="H820" i="1"/>
  <c r="D822" i="1"/>
  <c r="E822" i="1"/>
  <c r="F822" i="1"/>
  <c r="G822" i="1"/>
  <c r="H822" i="1"/>
  <c r="D821" i="1"/>
  <c r="E821" i="1"/>
  <c r="F821" i="1"/>
  <c r="G821" i="1"/>
  <c r="H821" i="1"/>
  <c r="D823" i="1"/>
  <c r="E823" i="1"/>
  <c r="F823" i="1"/>
  <c r="G823" i="1"/>
  <c r="H823" i="1"/>
  <c r="D704" i="1"/>
  <c r="E704" i="1"/>
  <c r="F704" i="1"/>
  <c r="G704" i="1"/>
  <c r="H704" i="1"/>
  <c r="D705" i="1"/>
  <c r="E705" i="1"/>
  <c r="F705" i="1"/>
  <c r="G705" i="1"/>
  <c r="H705" i="1"/>
  <c r="D706" i="1"/>
  <c r="E706" i="1"/>
  <c r="F706" i="1"/>
  <c r="G706" i="1"/>
  <c r="H706" i="1"/>
  <c r="D707" i="1"/>
  <c r="E707" i="1"/>
  <c r="F707" i="1"/>
  <c r="G707" i="1"/>
  <c r="H707" i="1"/>
  <c r="D708" i="1"/>
  <c r="E708" i="1"/>
  <c r="F708" i="1"/>
  <c r="G708" i="1"/>
  <c r="H708" i="1"/>
  <c r="D709" i="1"/>
  <c r="E709" i="1"/>
  <c r="F709" i="1"/>
  <c r="G709" i="1"/>
  <c r="H709" i="1"/>
  <c r="D710" i="1"/>
  <c r="E710" i="1"/>
  <c r="F710" i="1"/>
  <c r="G710" i="1"/>
  <c r="H710" i="1"/>
  <c r="D711" i="1"/>
  <c r="E711" i="1"/>
  <c r="F711" i="1"/>
  <c r="G711" i="1"/>
  <c r="H711" i="1"/>
  <c r="D712" i="1"/>
  <c r="E712" i="1"/>
  <c r="F712" i="1"/>
  <c r="G712" i="1"/>
  <c r="H712" i="1"/>
  <c r="D713" i="1"/>
  <c r="E713" i="1"/>
  <c r="F713" i="1"/>
  <c r="G713" i="1"/>
  <c r="H713" i="1"/>
  <c r="D714" i="1"/>
  <c r="E714" i="1"/>
  <c r="F714" i="1"/>
  <c r="G714" i="1"/>
  <c r="H714" i="1"/>
  <c r="D715" i="1"/>
  <c r="E715" i="1"/>
  <c r="F715" i="1"/>
  <c r="G715" i="1"/>
  <c r="H715" i="1"/>
  <c r="D817" i="1"/>
  <c r="E817" i="1"/>
  <c r="F817" i="1"/>
  <c r="G817" i="1"/>
  <c r="H817" i="1"/>
  <c r="D825" i="1"/>
  <c r="E825" i="1"/>
  <c r="F825" i="1"/>
  <c r="G825" i="1"/>
  <c r="H825" i="1"/>
  <c r="D754" i="1"/>
  <c r="E754" i="1"/>
  <c r="F754" i="1"/>
  <c r="G754" i="1"/>
  <c r="H754" i="1"/>
  <c r="D755" i="1"/>
  <c r="E755" i="1"/>
  <c r="F755" i="1"/>
  <c r="G755" i="1"/>
  <c r="H755" i="1"/>
  <c r="D786" i="1"/>
  <c r="E786" i="1"/>
  <c r="F786" i="1"/>
  <c r="G786" i="1"/>
  <c r="H786" i="1"/>
  <c r="D787" i="1"/>
  <c r="E787" i="1"/>
  <c r="F787" i="1"/>
  <c r="G787" i="1"/>
  <c r="H787" i="1"/>
  <c r="D788" i="1"/>
  <c r="E788" i="1"/>
  <c r="F788" i="1"/>
  <c r="G788" i="1"/>
  <c r="H788" i="1"/>
  <c r="D789" i="1"/>
  <c r="E789" i="1"/>
  <c r="F789" i="1"/>
  <c r="G789" i="1"/>
  <c r="H789" i="1"/>
  <c r="D790" i="1"/>
  <c r="E790" i="1"/>
  <c r="F790" i="1"/>
  <c r="G790" i="1"/>
  <c r="H790" i="1"/>
  <c r="D815" i="1"/>
  <c r="E815" i="1"/>
  <c r="F815" i="1"/>
  <c r="G815" i="1"/>
  <c r="H815" i="1"/>
  <c r="D816" i="1"/>
  <c r="E816" i="1"/>
  <c r="F816" i="1"/>
  <c r="G816" i="1"/>
  <c r="H816" i="1"/>
  <c r="D837" i="1"/>
  <c r="E837" i="1"/>
  <c r="F837" i="1"/>
  <c r="G837" i="1"/>
  <c r="H837" i="1"/>
  <c r="D829" i="1"/>
  <c r="E829" i="1"/>
  <c r="F829" i="1"/>
  <c r="G829" i="1"/>
  <c r="H829" i="1"/>
  <c r="D830" i="1"/>
  <c r="E830" i="1"/>
  <c r="F830" i="1"/>
  <c r="G830" i="1"/>
  <c r="H830" i="1"/>
  <c r="D838" i="1"/>
  <c r="E838" i="1"/>
  <c r="F838" i="1"/>
  <c r="G838" i="1"/>
  <c r="H838" i="1"/>
  <c r="D839" i="1"/>
  <c r="E839" i="1"/>
  <c r="F839" i="1"/>
  <c r="G839" i="1"/>
  <c r="H839" i="1"/>
  <c r="D818" i="1"/>
  <c r="E818" i="1"/>
  <c r="F818" i="1"/>
  <c r="G818" i="1"/>
  <c r="H818" i="1"/>
  <c r="D840" i="1"/>
  <c r="E840" i="1"/>
  <c r="F840" i="1"/>
  <c r="G840" i="1"/>
  <c r="H840" i="1"/>
  <c r="D824" i="1"/>
  <c r="E824" i="1"/>
  <c r="F824" i="1"/>
  <c r="G824" i="1"/>
  <c r="H824" i="1"/>
  <c r="D841" i="1"/>
  <c r="E841" i="1"/>
  <c r="F841" i="1"/>
  <c r="G841" i="1"/>
  <c r="H841" i="1"/>
  <c r="D842" i="1"/>
  <c r="E842" i="1"/>
  <c r="F842" i="1"/>
  <c r="G842" i="1"/>
  <c r="H842" i="1"/>
  <c r="D834" i="1"/>
  <c r="E834" i="1"/>
  <c r="F834" i="1"/>
  <c r="G834" i="1"/>
  <c r="H834" i="1"/>
  <c r="D826" i="1"/>
  <c r="E826" i="1"/>
  <c r="F826" i="1"/>
  <c r="G826" i="1"/>
  <c r="H826" i="1"/>
  <c r="D828" i="1"/>
  <c r="E828" i="1"/>
  <c r="F828" i="1"/>
  <c r="G828" i="1"/>
  <c r="H828" i="1"/>
  <c r="D827" i="1"/>
  <c r="E827" i="1"/>
  <c r="F827" i="1"/>
  <c r="G827" i="1"/>
  <c r="H827" i="1"/>
  <c r="D814" i="1"/>
  <c r="E814" i="1"/>
  <c r="F814" i="1"/>
  <c r="G814" i="1"/>
  <c r="H814" i="1"/>
  <c r="D835" i="1"/>
  <c r="E835" i="1"/>
  <c r="F835" i="1"/>
  <c r="G835" i="1"/>
  <c r="H835" i="1"/>
  <c r="D845" i="1"/>
  <c r="E845" i="1"/>
  <c r="F845" i="1"/>
  <c r="G845" i="1"/>
  <c r="H845" i="1"/>
  <c r="D773" i="1"/>
  <c r="E773" i="1"/>
  <c r="F773" i="1"/>
  <c r="G773" i="1"/>
  <c r="H773" i="1"/>
  <c r="D847" i="1"/>
  <c r="E847" i="1"/>
  <c r="F847" i="1"/>
  <c r="G847" i="1"/>
  <c r="H847" i="1"/>
  <c r="D846" i="1"/>
  <c r="E846" i="1"/>
  <c r="F846" i="1"/>
  <c r="G846" i="1"/>
  <c r="H846" i="1"/>
  <c r="D861" i="1"/>
  <c r="E861" i="1"/>
  <c r="F861" i="1"/>
  <c r="G861" i="1"/>
  <c r="H861" i="1"/>
  <c r="D832" i="1"/>
  <c r="E832" i="1"/>
  <c r="F832" i="1"/>
  <c r="G832" i="1"/>
  <c r="H832" i="1"/>
  <c r="D833" i="1"/>
  <c r="E833" i="1"/>
  <c r="F833" i="1"/>
  <c r="G833" i="1"/>
  <c r="H833" i="1"/>
  <c r="D851" i="1"/>
  <c r="E851" i="1"/>
  <c r="F851" i="1"/>
  <c r="G851" i="1"/>
  <c r="H851" i="1"/>
  <c r="D862" i="1"/>
  <c r="E862" i="1"/>
  <c r="F862" i="1"/>
  <c r="G862" i="1"/>
  <c r="H862" i="1"/>
  <c r="D864" i="1"/>
  <c r="E864" i="1"/>
  <c r="F864" i="1"/>
  <c r="G864" i="1"/>
  <c r="H864" i="1"/>
  <c r="D867" i="1"/>
  <c r="E867" i="1"/>
  <c r="F867" i="1"/>
  <c r="G867" i="1"/>
  <c r="H867" i="1"/>
  <c r="D866" i="1"/>
  <c r="E866" i="1"/>
  <c r="F866" i="1"/>
  <c r="G866" i="1"/>
  <c r="H866" i="1"/>
  <c r="D868" i="1"/>
  <c r="E868" i="1"/>
  <c r="F868" i="1"/>
  <c r="G868" i="1"/>
  <c r="H868" i="1"/>
  <c r="D848" i="1"/>
  <c r="E848" i="1"/>
  <c r="F848" i="1"/>
  <c r="G848" i="1"/>
  <c r="H848" i="1"/>
  <c r="D869" i="1"/>
  <c r="E869" i="1"/>
  <c r="F869" i="1"/>
  <c r="G869" i="1"/>
  <c r="H869" i="1"/>
  <c r="D819" i="1"/>
  <c r="E819" i="1"/>
  <c r="F819" i="1"/>
  <c r="G819" i="1"/>
  <c r="H819" i="1"/>
  <c r="D852" i="1"/>
  <c r="E852" i="1"/>
  <c r="F852" i="1"/>
  <c r="G852" i="1"/>
  <c r="H852" i="1"/>
  <c r="D836" i="1"/>
  <c r="E836" i="1"/>
  <c r="F836" i="1"/>
  <c r="G836" i="1"/>
  <c r="H836" i="1"/>
  <c r="D843" i="1"/>
  <c r="E843" i="1"/>
  <c r="F843" i="1"/>
  <c r="G843" i="1"/>
  <c r="H843" i="1"/>
  <c r="D854" i="1"/>
  <c r="E854" i="1"/>
  <c r="F854" i="1"/>
  <c r="G854" i="1"/>
  <c r="H854" i="1"/>
  <c r="D844" i="1"/>
  <c r="E844" i="1"/>
  <c r="F844" i="1"/>
  <c r="G844" i="1"/>
  <c r="H844" i="1"/>
  <c r="D859" i="1"/>
  <c r="E859" i="1"/>
  <c r="F859" i="1"/>
  <c r="G859" i="1"/>
  <c r="H859" i="1"/>
  <c r="D831" i="1"/>
  <c r="E831" i="1"/>
  <c r="F831" i="1"/>
  <c r="G831" i="1"/>
  <c r="H831" i="1"/>
  <c r="D850" i="1"/>
  <c r="E850" i="1"/>
  <c r="F850" i="1"/>
  <c r="G850" i="1"/>
  <c r="H850" i="1"/>
  <c r="D857" i="1"/>
  <c r="E857" i="1"/>
  <c r="F857" i="1"/>
  <c r="G857" i="1"/>
  <c r="H857" i="1"/>
  <c r="D858" i="1"/>
  <c r="E858" i="1"/>
  <c r="F858" i="1"/>
  <c r="G858" i="1"/>
  <c r="H858" i="1"/>
  <c r="D849" i="1"/>
  <c r="E849" i="1"/>
  <c r="F849" i="1"/>
  <c r="G849" i="1"/>
  <c r="H849" i="1"/>
  <c r="D860" i="1"/>
  <c r="E860" i="1"/>
  <c r="F860" i="1"/>
  <c r="G860" i="1"/>
  <c r="H860" i="1"/>
  <c r="D870" i="1"/>
  <c r="E870" i="1"/>
  <c r="F870" i="1"/>
  <c r="G870" i="1"/>
  <c r="H870" i="1"/>
  <c r="D863" i="1"/>
  <c r="E863" i="1"/>
  <c r="F863" i="1"/>
  <c r="G863" i="1"/>
  <c r="H863" i="1"/>
  <c r="D865" i="1"/>
  <c r="E865" i="1"/>
  <c r="F865" i="1"/>
  <c r="G865" i="1"/>
  <c r="H865" i="1"/>
  <c r="D856" i="1"/>
  <c r="E856" i="1"/>
  <c r="F856" i="1"/>
  <c r="G856" i="1"/>
  <c r="H856" i="1"/>
  <c r="D855" i="1"/>
  <c r="E855" i="1"/>
  <c r="F855" i="1"/>
  <c r="G855" i="1"/>
  <c r="H855" i="1"/>
  <c r="D871" i="1"/>
  <c r="E871" i="1"/>
  <c r="F871" i="1"/>
  <c r="G871" i="1"/>
  <c r="H871" i="1"/>
  <c r="D853" i="1"/>
  <c r="E853" i="1"/>
  <c r="F853" i="1"/>
  <c r="G853" i="1"/>
  <c r="H853" i="1"/>
  <c r="D872" i="1"/>
  <c r="E872" i="1"/>
  <c r="F872" i="1"/>
  <c r="G872" i="1"/>
  <c r="H872" i="1"/>
  <c r="D873" i="1"/>
  <c r="E873" i="1"/>
  <c r="F873" i="1"/>
  <c r="G873" i="1"/>
  <c r="H873" i="1"/>
  <c r="D874" i="1"/>
  <c r="E874" i="1"/>
  <c r="F874" i="1"/>
  <c r="G874" i="1"/>
  <c r="H874" i="1"/>
  <c r="D878" i="1"/>
  <c r="E878" i="1"/>
  <c r="F878" i="1"/>
  <c r="G878" i="1"/>
  <c r="H878" i="1"/>
  <c r="D877" i="1"/>
  <c r="E877" i="1"/>
  <c r="F877" i="1"/>
  <c r="G877" i="1"/>
  <c r="H877" i="1"/>
  <c r="D892" i="1"/>
  <c r="E892" i="1"/>
  <c r="F892" i="1"/>
  <c r="G892" i="1"/>
  <c r="H892" i="1"/>
  <c r="D890" i="1"/>
  <c r="E890" i="1"/>
  <c r="F890" i="1"/>
  <c r="G890" i="1"/>
  <c r="H890" i="1"/>
  <c r="D882" i="1"/>
  <c r="E882" i="1"/>
  <c r="F882" i="1"/>
  <c r="G882" i="1"/>
  <c r="H882" i="1"/>
  <c r="D893" i="1"/>
  <c r="E893" i="1"/>
  <c r="F893" i="1"/>
  <c r="G893" i="1"/>
  <c r="H893" i="1"/>
  <c r="D891" i="1"/>
  <c r="E891" i="1"/>
  <c r="F891" i="1"/>
  <c r="G891" i="1"/>
  <c r="H891" i="1"/>
  <c r="D889" i="1"/>
  <c r="E889" i="1"/>
  <c r="F889" i="1"/>
  <c r="G889" i="1"/>
  <c r="H889" i="1"/>
  <c r="D879" i="1"/>
  <c r="E879" i="1"/>
  <c r="F879" i="1"/>
  <c r="G879" i="1"/>
  <c r="H879" i="1"/>
  <c r="D886" i="1"/>
  <c r="E886" i="1"/>
  <c r="F886" i="1"/>
  <c r="G886" i="1"/>
  <c r="H886" i="1"/>
  <c r="D901" i="1"/>
  <c r="E901" i="1"/>
  <c r="F901" i="1"/>
  <c r="G901" i="1"/>
  <c r="H901" i="1"/>
  <c r="D900" i="1"/>
  <c r="E900" i="1"/>
  <c r="F900" i="1"/>
  <c r="G900" i="1"/>
  <c r="H900" i="1"/>
  <c r="D884" i="1"/>
  <c r="E884" i="1"/>
  <c r="F884" i="1"/>
  <c r="G884" i="1"/>
  <c r="H884" i="1"/>
  <c r="D881" i="1"/>
  <c r="E881" i="1"/>
  <c r="F881" i="1"/>
  <c r="G881" i="1"/>
  <c r="H881" i="1"/>
  <c r="D887" i="1"/>
  <c r="E887" i="1"/>
  <c r="F887" i="1"/>
  <c r="G887" i="1"/>
  <c r="H887" i="1"/>
  <c r="D899" i="1"/>
  <c r="E899" i="1"/>
  <c r="F899" i="1"/>
  <c r="G899" i="1"/>
  <c r="H899" i="1"/>
  <c r="D903" i="1"/>
  <c r="E903" i="1"/>
  <c r="F903" i="1"/>
  <c r="G903" i="1"/>
  <c r="H903" i="1"/>
  <c r="D902" i="1"/>
  <c r="E902" i="1"/>
  <c r="F902" i="1"/>
  <c r="G902" i="1"/>
  <c r="H902" i="1"/>
  <c r="D904" i="1"/>
  <c r="E904" i="1"/>
  <c r="F904" i="1"/>
  <c r="G904" i="1"/>
  <c r="H904" i="1"/>
  <c r="D898" i="1"/>
  <c r="E898" i="1"/>
  <c r="F898" i="1"/>
  <c r="G898" i="1"/>
  <c r="H898" i="1"/>
  <c r="D885" i="1"/>
  <c r="E885" i="1"/>
  <c r="F885" i="1"/>
  <c r="G885" i="1"/>
  <c r="H885" i="1"/>
  <c r="D894" i="1"/>
  <c r="E894" i="1"/>
  <c r="F894" i="1"/>
  <c r="G894" i="1"/>
  <c r="H894" i="1"/>
  <c r="D906" i="1"/>
  <c r="E906" i="1"/>
  <c r="F906" i="1"/>
  <c r="G906" i="1"/>
  <c r="H906" i="1"/>
  <c r="D888" i="1"/>
  <c r="E888" i="1"/>
  <c r="F888" i="1"/>
  <c r="G888" i="1"/>
  <c r="H888" i="1"/>
  <c r="D895" i="1"/>
  <c r="E895" i="1"/>
  <c r="F895" i="1"/>
  <c r="G895" i="1"/>
  <c r="H895" i="1"/>
  <c r="D912" i="1"/>
  <c r="E912" i="1"/>
  <c r="F912" i="1"/>
  <c r="G912" i="1"/>
  <c r="H912" i="1"/>
  <c r="D921" i="1"/>
  <c r="E921" i="1"/>
  <c r="F921" i="1"/>
  <c r="G921" i="1"/>
  <c r="H921" i="1"/>
  <c r="D913" i="1"/>
  <c r="E913" i="1"/>
  <c r="F913" i="1"/>
  <c r="G913" i="1"/>
  <c r="H913" i="1"/>
  <c r="D914" i="1"/>
  <c r="E914" i="1"/>
  <c r="F914" i="1"/>
  <c r="G914" i="1"/>
  <c r="H914" i="1"/>
  <c r="D915" i="1"/>
  <c r="E915" i="1"/>
  <c r="F915" i="1"/>
  <c r="G915" i="1"/>
  <c r="H915" i="1"/>
  <c r="D875" i="1"/>
  <c r="E875" i="1"/>
  <c r="F875" i="1"/>
  <c r="G875" i="1"/>
  <c r="H875" i="1"/>
  <c r="D908" i="1"/>
  <c r="E908" i="1"/>
  <c r="F908" i="1"/>
  <c r="G908" i="1"/>
  <c r="H908" i="1"/>
  <c r="D905" i="1"/>
  <c r="E905" i="1"/>
  <c r="F905" i="1"/>
  <c r="G905" i="1"/>
  <c r="H905" i="1"/>
  <c r="D880" i="1"/>
  <c r="E880" i="1"/>
  <c r="F880" i="1"/>
  <c r="G880" i="1"/>
  <c r="H880" i="1"/>
  <c r="D926" i="1"/>
  <c r="E926" i="1"/>
  <c r="F926" i="1"/>
  <c r="G926" i="1"/>
  <c r="H926" i="1"/>
  <c r="D897" i="1"/>
  <c r="E897" i="1"/>
  <c r="F897" i="1"/>
  <c r="G897" i="1"/>
  <c r="H897" i="1"/>
  <c r="D909" i="1"/>
  <c r="E909" i="1"/>
  <c r="F909" i="1"/>
  <c r="G909" i="1"/>
  <c r="H909" i="1"/>
  <c r="D876" i="1"/>
  <c r="E876" i="1"/>
  <c r="F876" i="1"/>
  <c r="G876" i="1"/>
  <c r="H876" i="1"/>
  <c r="D896" i="1"/>
  <c r="E896" i="1"/>
  <c r="F896" i="1"/>
  <c r="G896" i="1"/>
  <c r="H896" i="1"/>
  <c r="D907" i="1"/>
  <c r="E907" i="1"/>
  <c r="F907" i="1"/>
  <c r="G907" i="1"/>
  <c r="H907" i="1"/>
  <c r="D916" i="1"/>
  <c r="E916" i="1"/>
  <c r="F916" i="1"/>
  <c r="G916" i="1"/>
  <c r="H916" i="1"/>
  <c r="D917" i="1"/>
  <c r="E917" i="1"/>
  <c r="F917" i="1"/>
  <c r="G917" i="1"/>
  <c r="H917" i="1"/>
  <c r="D920" i="1"/>
  <c r="E920" i="1"/>
  <c r="F920" i="1"/>
  <c r="G920" i="1"/>
  <c r="H920" i="1"/>
  <c r="D933" i="1"/>
  <c r="E933" i="1"/>
  <c r="F933" i="1"/>
  <c r="G933" i="1"/>
  <c r="H933" i="1"/>
  <c r="D935" i="1"/>
  <c r="E935" i="1"/>
  <c r="F935" i="1"/>
  <c r="G935" i="1"/>
  <c r="H935" i="1"/>
  <c r="D938" i="1"/>
  <c r="E938" i="1"/>
  <c r="F938" i="1"/>
  <c r="G938" i="1"/>
  <c r="H938" i="1"/>
  <c r="D936" i="1"/>
  <c r="E936" i="1"/>
  <c r="F936" i="1"/>
  <c r="G936" i="1"/>
  <c r="H936" i="1"/>
  <c r="D948" i="1"/>
  <c r="E948" i="1"/>
  <c r="F948" i="1"/>
  <c r="G948" i="1"/>
  <c r="H948" i="1"/>
  <c r="D937" i="1"/>
  <c r="E937" i="1"/>
  <c r="F937" i="1"/>
  <c r="G937" i="1"/>
  <c r="H937" i="1"/>
  <c r="D950" i="1"/>
  <c r="E950" i="1"/>
  <c r="F950" i="1"/>
  <c r="G950" i="1"/>
  <c r="H950" i="1"/>
  <c r="D939" i="1"/>
  <c r="E939" i="1"/>
  <c r="F939" i="1"/>
  <c r="G939" i="1"/>
  <c r="H939" i="1"/>
  <c r="D922" i="1"/>
  <c r="E922" i="1"/>
  <c r="F922" i="1"/>
  <c r="G922" i="1"/>
  <c r="H922" i="1"/>
  <c r="D941" i="1"/>
  <c r="E941" i="1"/>
  <c r="F941" i="1"/>
  <c r="G941" i="1"/>
  <c r="H941" i="1"/>
  <c r="D925" i="1"/>
  <c r="E925" i="1"/>
  <c r="F925" i="1"/>
  <c r="G925" i="1"/>
  <c r="H925" i="1"/>
  <c r="D934" i="1"/>
  <c r="E934" i="1"/>
  <c r="F934" i="1"/>
  <c r="G934" i="1"/>
  <c r="H934" i="1"/>
  <c r="D918" i="1"/>
  <c r="E918" i="1"/>
  <c r="F918" i="1"/>
  <c r="G918" i="1"/>
  <c r="H918" i="1"/>
  <c r="D949" i="1"/>
  <c r="E949" i="1"/>
  <c r="F949" i="1"/>
  <c r="G949" i="1"/>
  <c r="H949" i="1"/>
  <c r="D929" i="1"/>
  <c r="E929" i="1"/>
  <c r="F929" i="1"/>
  <c r="G929" i="1"/>
  <c r="H929" i="1"/>
  <c r="D923" i="1"/>
  <c r="E923" i="1"/>
  <c r="F923" i="1"/>
  <c r="G923" i="1"/>
  <c r="H923" i="1"/>
  <c r="D952" i="1"/>
  <c r="E952" i="1"/>
  <c r="F952" i="1"/>
  <c r="G952" i="1"/>
  <c r="H952" i="1"/>
  <c r="D928" i="1"/>
  <c r="E928" i="1"/>
  <c r="F928" i="1"/>
  <c r="G928" i="1"/>
  <c r="H928" i="1"/>
  <c r="D910" i="1"/>
  <c r="E910" i="1"/>
  <c r="F910" i="1"/>
  <c r="G910" i="1"/>
  <c r="H910" i="1"/>
  <c r="D919" i="1"/>
  <c r="E919" i="1"/>
  <c r="F919" i="1"/>
  <c r="G919" i="1"/>
  <c r="H919" i="1"/>
  <c r="D930" i="1"/>
  <c r="E930" i="1"/>
  <c r="F930" i="1"/>
  <c r="G930" i="1"/>
  <c r="H930" i="1"/>
  <c r="D951" i="1"/>
  <c r="E951" i="1"/>
  <c r="F951" i="1"/>
  <c r="G951" i="1"/>
  <c r="H951" i="1"/>
  <c r="D942" i="1"/>
  <c r="E942" i="1"/>
  <c r="F942" i="1"/>
  <c r="G942" i="1"/>
  <c r="H942" i="1"/>
  <c r="D944" i="1"/>
  <c r="E944" i="1"/>
  <c r="F944" i="1"/>
  <c r="G944" i="1"/>
  <c r="H944" i="1"/>
  <c r="D932" i="1"/>
  <c r="E932" i="1"/>
  <c r="F932" i="1"/>
  <c r="G932" i="1"/>
  <c r="H932" i="1"/>
  <c r="D953" i="1"/>
  <c r="E953" i="1"/>
  <c r="F953" i="1"/>
  <c r="G953" i="1"/>
  <c r="H953" i="1"/>
  <c r="D960" i="1"/>
  <c r="E960" i="1"/>
  <c r="F960" i="1"/>
  <c r="G960" i="1"/>
  <c r="H960" i="1"/>
  <c r="D963" i="1"/>
  <c r="E963" i="1"/>
  <c r="F963" i="1"/>
  <c r="G963" i="1"/>
  <c r="H963" i="1"/>
  <c r="D927" i="1"/>
  <c r="E927" i="1"/>
  <c r="F927" i="1"/>
  <c r="G927" i="1"/>
  <c r="H927" i="1"/>
  <c r="D962" i="1"/>
  <c r="E962" i="1"/>
  <c r="F962" i="1"/>
  <c r="G962" i="1"/>
  <c r="H962" i="1"/>
  <c r="D940" i="1"/>
  <c r="E940" i="1"/>
  <c r="F940" i="1"/>
  <c r="G940" i="1"/>
  <c r="H940" i="1"/>
  <c r="D924" i="1"/>
  <c r="E924" i="1"/>
  <c r="F924" i="1"/>
  <c r="G924" i="1"/>
  <c r="H924" i="1"/>
  <c r="D955" i="1"/>
  <c r="E955" i="1"/>
  <c r="F955" i="1"/>
  <c r="G955" i="1"/>
  <c r="H955" i="1"/>
  <c r="D956" i="1"/>
  <c r="E956" i="1"/>
  <c r="F956" i="1"/>
  <c r="G956" i="1"/>
  <c r="H956" i="1"/>
  <c r="D945" i="1"/>
  <c r="E945" i="1"/>
  <c r="F945" i="1"/>
  <c r="G945" i="1"/>
  <c r="H945" i="1"/>
  <c r="D911" i="1"/>
  <c r="E911" i="1"/>
  <c r="F911" i="1"/>
  <c r="G911" i="1"/>
  <c r="H911" i="1"/>
  <c r="D947" i="1"/>
  <c r="E947" i="1"/>
  <c r="F947" i="1"/>
  <c r="G947" i="1"/>
  <c r="H947" i="1"/>
  <c r="D959" i="1"/>
  <c r="E959" i="1"/>
  <c r="F959" i="1"/>
  <c r="G959" i="1"/>
  <c r="H959" i="1"/>
  <c r="D943" i="1"/>
  <c r="E943" i="1"/>
  <c r="F943" i="1"/>
  <c r="G943" i="1"/>
  <c r="H943" i="1"/>
  <c r="D966" i="1"/>
  <c r="E966" i="1"/>
  <c r="F966" i="1"/>
  <c r="G966" i="1"/>
  <c r="H966" i="1"/>
  <c r="D946" i="1"/>
  <c r="E946" i="1"/>
  <c r="F946" i="1"/>
  <c r="G946" i="1"/>
  <c r="H946" i="1"/>
  <c r="D968" i="1"/>
  <c r="E968" i="1"/>
  <c r="F968" i="1"/>
  <c r="G968" i="1"/>
  <c r="H968" i="1"/>
  <c r="D957" i="1"/>
  <c r="E957" i="1"/>
  <c r="F957" i="1"/>
  <c r="G957" i="1"/>
  <c r="H957" i="1"/>
  <c r="D967" i="1"/>
  <c r="E967" i="1"/>
  <c r="F967" i="1"/>
  <c r="G967" i="1"/>
  <c r="H967" i="1"/>
  <c r="D961" i="1"/>
  <c r="E961" i="1"/>
  <c r="F961" i="1"/>
  <c r="G961" i="1"/>
  <c r="H961" i="1"/>
  <c r="D954" i="1"/>
  <c r="E954" i="1"/>
  <c r="F954" i="1"/>
  <c r="G954" i="1"/>
  <c r="H954" i="1"/>
  <c r="D964" i="1"/>
  <c r="E964" i="1"/>
  <c r="F964" i="1"/>
  <c r="G964" i="1"/>
  <c r="H964" i="1"/>
  <c r="D958" i="1"/>
  <c r="E958" i="1"/>
  <c r="F958" i="1"/>
  <c r="G958" i="1"/>
  <c r="H958" i="1"/>
  <c r="D931" i="1"/>
  <c r="E931" i="1"/>
  <c r="F931" i="1"/>
  <c r="G931" i="1"/>
  <c r="H931" i="1"/>
  <c r="D965" i="1"/>
  <c r="E965" i="1"/>
  <c r="F965" i="1"/>
  <c r="G965" i="1"/>
  <c r="H965" i="1"/>
  <c r="D969" i="1"/>
  <c r="E969" i="1"/>
  <c r="F969" i="1"/>
  <c r="G969" i="1"/>
  <c r="H969" i="1"/>
  <c r="D970" i="1"/>
  <c r="E970" i="1"/>
  <c r="F970" i="1"/>
  <c r="G970" i="1"/>
  <c r="H970" i="1"/>
  <c r="D971" i="1"/>
  <c r="E971" i="1"/>
  <c r="F971" i="1"/>
  <c r="G971" i="1"/>
  <c r="H971" i="1"/>
  <c r="D972" i="1"/>
  <c r="E972" i="1"/>
  <c r="F972" i="1"/>
  <c r="G972" i="1"/>
  <c r="H972" i="1"/>
  <c r="D973" i="1"/>
  <c r="E973" i="1"/>
  <c r="F973" i="1"/>
  <c r="G973" i="1"/>
  <c r="H973" i="1"/>
  <c r="D974" i="1"/>
  <c r="E974" i="1"/>
  <c r="F974" i="1"/>
  <c r="G974" i="1"/>
  <c r="H974" i="1"/>
  <c r="D975" i="1"/>
  <c r="E975" i="1"/>
  <c r="F975" i="1"/>
  <c r="G975" i="1"/>
  <c r="H975" i="1"/>
  <c r="D976" i="1"/>
  <c r="E976" i="1"/>
  <c r="F976" i="1"/>
  <c r="G976" i="1"/>
  <c r="H976" i="1"/>
  <c r="D977" i="1"/>
  <c r="E977" i="1"/>
  <c r="F977" i="1"/>
  <c r="G977" i="1"/>
  <c r="H977" i="1"/>
  <c r="D978" i="1"/>
  <c r="E978" i="1"/>
  <c r="F978" i="1"/>
  <c r="G978" i="1"/>
  <c r="H978" i="1"/>
  <c r="D979" i="1"/>
  <c r="E979" i="1"/>
  <c r="F979" i="1"/>
  <c r="G979" i="1"/>
  <c r="H979" i="1"/>
  <c r="D993" i="1"/>
  <c r="E993" i="1"/>
  <c r="F993" i="1"/>
  <c r="G993" i="1"/>
  <c r="H993" i="1"/>
  <c r="D994" i="1"/>
  <c r="E994" i="1"/>
  <c r="F994" i="1"/>
  <c r="G994" i="1"/>
  <c r="H994" i="1"/>
  <c r="D996" i="1"/>
  <c r="E996" i="1"/>
  <c r="F996" i="1"/>
  <c r="G996" i="1"/>
  <c r="H996" i="1"/>
  <c r="D980" i="1"/>
  <c r="E980" i="1"/>
  <c r="F980" i="1"/>
  <c r="G980" i="1"/>
  <c r="H980" i="1"/>
  <c r="D998" i="1"/>
  <c r="E998" i="1"/>
  <c r="F998" i="1"/>
  <c r="G998" i="1"/>
  <c r="H998" i="1"/>
  <c r="D999" i="1"/>
  <c r="E999" i="1"/>
  <c r="F999" i="1"/>
  <c r="G999" i="1"/>
  <c r="H999" i="1"/>
  <c r="D985" i="1"/>
  <c r="E985" i="1"/>
  <c r="F985" i="1"/>
  <c r="G985" i="1"/>
  <c r="H985" i="1"/>
  <c r="D1002" i="1"/>
  <c r="E1002" i="1"/>
  <c r="F1002" i="1"/>
  <c r="G1002" i="1"/>
  <c r="H1002" i="1"/>
  <c r="D986" i="1"/>
  <c r="E986" i="1"/>
  <c r="F986" i="1"/>
  <c r="G986" i="1"/>
  <c r="H986" i="1"/>
  <c r="D988" i="1"/>
  <c r="E988" i="1"/>
  <c r="F988" i="1"/>
  <c r="G988" i="1"/>
  <c r="H988" i="1"/>
  <c r="D1001" i="1"/>
  <c r="E1001" i="1"/>
  <c r="F1001" i="1"/>
  <c r="G1001" i="1"/>
  <c r="H1001" i="1"/>
  <c r="D1003" i="1"/>
  <c r="E1003" i="1"/>
  <c r="F1003" i="1"/>
  <c r="G1003" i="1"/>
  <c r="H1003" i="1"/>
  <c r="D987" i="1"/>
  <c r="E987" i="1"/>
  <c r="F987" i="1"/>
  <c r="G987" i="1"/>
  <c r="H987" i="1"/>
  <c r="D1006" i="1"/>
  <c r="E1006" i="1"/>
  <c r="F1006" i="1"/>
  <c r="G1006" i="1"/>
  <c r="H1006" i="1"/>
  <c r="D997" i="1"/>
  <c r="E997" i="1"/>
  <c r="F997" i="1"/>
  <c r="G997" i="1"/>
  <c r="H997" i="1"/>
  <c r="D1007" i="1"/>
  <c r="E1007" i="1"/>
  <c r="F1007" i="1"/>
  <c r="G1007" i="1"/>
  <c r="H1007" i="1"/>
  <c r="D984" i="1"/>
  <c r="E984" i="1"/>
  <c r="F984" i="1"/>
  <c r="G984" i="1"/>
  <c r="H984" i="1"/>
  <c r="D1012" i="1"/>
  <c r="E1012" i="1"/>
  <c r="F1012" i="1"/>
  <c r="G1012" i="1"/>
  <c r="H1012" i="1"/>
  <c r="D1013" i="1"/>
  <c r="E1013" i="1"/>
  <c r="F1013" i="1"/>
  <c r="G1013" i="1"/>
  <c r="H1013" i="1"/>
  <c r="D992" i="1"/>
  <c r="E992" i="1"/>
  <c r="F992" i="1"/>
  <c r="G992" i="1"/>
  <c r="H992" i="1"/>
  <c r="D991" i="1"/>
  <c r="E991" i="1"/>
  <c r="F991" i="1"/>
  <c r="G991" i="1"/>
  <c r="H991" i="1"/>
  <c r="D995" i="1"/>
  <c r="E995" i="1"/>
  <c r="F995" i="1"/>
  <c r="G995" i="1"/>
  <c r="H995" i="1"/>
  <c r="D981" i="1"/>
  <c r="E981" i="1"/>
  <c r="F981" i="1"/>
  <c r="G981" i="1"/>
  <c r="H981" i="1"/>
  <c r="D1009" i="1"/>
  <c r="E1009" i="1"/>
  <c r="F1009" i="1"/>
  <c r="G1009" i="1"/>
  <c r="H1009" i="1"/>
  <c r="D983" i="1"/>
  <c r="E983" i="1"/>
  <c r="F983" i="1"/>
  <c r="G983" i="1"/>
  <c r="H983" i="1"/>
  <c r="D1011" i="1"/>
  <c r="E1011" i="1"/>
  <c r="F1011" i="1"/>
  <c r="G1011" i="1"/>
  <c r="H1011" i="1"/>
  <c r="D989" i="1"/>
  <c r="E989" i="1"/>
  <c r="F989" i="1"/>
  <c r="G989" i="1"/>
  <c r="H989" i="1"/>
  <c r="D1004" i="1"/>
  <c r="E1004" i="1"/>
  <c r="F1004" i="1"/>
  <c r="G1004" i="1"/>
  <c r="H1004" i="1"/>
  <c r="D1010" i="1"/>
  <c r="E1010" i="1"/>
  <c r="F1010" i="1"/>
  <c r="G1010" i="1"/>
  <c r="H1010" i="1"/>
  <c r="D990" i="1"/>
  <c r="E990" i="1"/>
  <c r="F990" i="1"/>
  <c r="G990" i="1"/>
  <c r="H990" i="1"/>
  <c r="D1008" i="1"/>
  <c r="E1008" i="1"/>
  <c r="F1008" i="1"/>
  <c r="G1008" i="1"/>
  <c r="H1008" i="1"/>
  <c r="D1000" i="1"/>
  <c r="E1000" i="1"/>
  <c r="F1000" i="1"/>
  <c r="G1000" i="1"/>
  <c r="H1000" i="1"/>
  <c r="D982" i="1"/>
  <c r="E982" i="1"/>
  <c r="F982" i="1"/>
  <c r="G982" i="1"/>
  <c r="H982" i="1"/>
  <c r="D1005" i="1"/>
  <c r="E1005" i="1"/>
  <c r="F1005" i="1"/>
  <c r="G1005" i="1"/>
  <c r="H1005" i="1"/>
  <c r="D883" i="1"/>
  <c r="E883" i="1"/>
  <c r="F883" i="1"/>
  <c r="G883" i="1"/>
  <c r="H883" i="1"/>
</calcChain>
</file>

<file path=xl/sharedStrings.xml><?xml version="1.0" encoding="utf-8"?>
<sst xmlns="http://schemas.openxmlformats.org/spreadsheetml/2006/main" count="19" uniqueCount="19">
  <si>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</si>
  <si>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</si>
  <si>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</si>
  <si>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</si>
  <si>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</si>
  <si>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</si>
  <si>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</si>
  <si>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</si>
  <si>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</si>
  <si>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Наименование</t>
  </si>
  <si>
    <r>
      <rPr>
        <sz val="10"/>
        <rFont val="Times New Roman"/>
        <family val="1"/>
        <charset val="204"/>
      </rPr>
      <t>АО "Народный Банк Казахстана"</t>
    </r>
  </si>
  <si>
    <t>Первый руководитель или лицо, уполномоченное им на подписание отчета:</t>
  </si>
  <si>
    <t>Заместитель Председателя Правления     ____________________    Кошенов М.У.</t>
  </si>
  <si>
    <t>Главный бухгалтер или лицо, уполномоченное на подписание отчета:</t>
  </si>
  <si>
    <t>Главный бухгалтер    ____________________    Чеусов П.А.</t>
  </si>
  <si>
    <t>Исполнитель:</t>
  </si>
  <si>
    <t>Гл.менеджер    ____________________    Сафина М.</t>
  </si>
  <si>
    <t>Номер телефона    330-18-33</t>
  </si>
  <si>
    <t>Дата подписания: 6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</si>
</sst>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4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3" fontId="16" fillId="0" borderId="12" xfId="1" applyFont="1" applyBorder="1" applyAlignment="1">
      <alignment horizontal="center" vertical="center" wrapText="1"/>
    </xf>
    <xf numFmtId="0" fontId="19" fillId="0" borderId="0" xfId="43" applyFont="1" applyAlignment="1">
      <alignment horizontal="center" vertical="center" wrapText="1"/>
    </xf>
    <xf numFmtId="0" fontId="19" fillId="0" borderId="0" xfId="43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164" fontId="20" fillId="0" borderId="0" xfId="0" applyNumberFormat="1" applyFont="1" applyAlignment="1">
      <alignment horizontal="right" wrapText="1"/>
    </xf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3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6"/>
  <sheetViews>
    <sheetView tabSelected="1" topLeftCell="A1004" workbookViewId="0">
      <selection activeCell="C1015" sqref="C1015"/>
    </sheetView>
  </sheetViews>
  <sheetFormatPr defaultRowHeight="15" x14ac:dyDescent="0.25"/>
  <cols>
    <col min="1" max="1" width="9.140625" style="2"/>
    <col min="2" max="2" width="13.42578125" style="2" customWidth="1"/>
    <col min="3" max="3" width="13.28515625" style="2" customWidth="1"/>
    <col min="4" max="4" width="9.140625" style="4"/>
    <col min="5" max="5" width="73.42578125" customWidth="1"/>
    <col min="6" max="6" width="13.7109375" style="2" customWidth="1"/>
    <col min="7" max="7" width="11.42578125" style="2" customWidth="1"/>
    <col min="8" max="8" width="10" style="2" customWidth="1"/>
    <col min="9" max="9" width="24.85546875" style="1" customWidth="1"/>
  </cols>
  <sheetData>
    <row r="1" spans="1:14" ht="55.5" customHeight="1" thickBo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</row>
    <row r="2" spans="1:14" x14ac:dyDescent="0.25">
      <c r="A2" s="2">
        <v>1</v>
      </c>
      <c r="B2" s="3">
        <v>44834</v>
      </c>
      <c r="C2" s="2">
        <v>14</v>
      </c>
      <c r="D2" s="4" t="str">
        <f>"1001"</f>
        <v>1001</v>
      </c>
      <c r="E2" t="str">
        <f>"Наличность в кассе"</f>
        <v>Наличность в кассе</v>
      </c>
      <c r="F2" s="2" t="str">
        <f>"1"</f>
        <v>1</v>
      </c>
      <c r="G2" s="2" t="str">
        <f>"3"</f>
        <v>3</v>
      </c>
      <c r="H2" s="2" t="str">
        <f>"1"</f>
        <v>1</v>
      </c>
      <c r="I2" s="1">
        <v>59185669847</v>
      </c>
    </row>
    <row r="3" spans="1:14" x14ac:dyDescent="0.25">
      <c r="A3" s="2">
        <v>2</v>
      </c>
      <c r="B3" s="3">
        <v>44834</v>
      </c>
      <c r="C3" s="2">
        <v>14</v>
      </c>
      <c r="D3" s="4" t="str">
        <f>"1001"</f>
        <v>1001</v>
      </c>
      <c r="E3" t="str">
        <f>"Наличность в кассе"</f>
        <v>Наличность в кассе</v>
      </c>
      <c r="F3" s="2" t="str">
        <f>"2"</f>
        <v>2</v>
      </c>
      <c r="G3" s="2" t="str">
        <f>"3"</f>
        <v>3</v>
      </c>
      <c r="H3" s="2" t="str">
        <f>"2"</f>
        <v>2</v>
      </c>
      <c r="I3" s="1">
        <v>60811003973.849998</v>
      </c>
    </row>
    <row r="4" spans="1:14" x14ac:dyDescent="0.25">
      <c r="A4" s="2">
        <v>3</v>
      </c>
      <c r="B4" s="3">
        <v>44834</v>
      </c>
      <c r="C4" s="2">
        <v>14</v>
      </c>
      <c r="D4" s="4" t="str">
        <f>"1001"</f>
        <v>1001</v>
      </c>
      <c r="E4" t="str">
        <f>"Наличность в кассе"</f>
        <v>Наличность в кассе</v>
      </c>
      <c r="F4" s="2" t="str">
        <f>"2"</f>
        <v>2</v>
      </c>
      <c r="G4" s="2" t="str">
        <f>"3"</f>
        <v>3</v>
      </c>
      <c r="H4" s="2" t="str">
        <f>"3"</f>
        <v>3</v>
      </c>
      <c r="I4" s="1">
        <v>6039266828.6899996</v>
      </c>
    </row>
    <row r="5" spans="1:14" x14ac:dyDescent="0.25">
      <c r="A5" s="2">
        <v>4</v>
      </c>
      <c r="B5" s="3">
        <v>44834</v>
      </c>
      <c r="C5" s="2">
        <v>14</v>
      </c>
      <c r="D5" s="4" t="str">
        <f>"1002"</f>
        <v>1002</v>
      </c>
      <c r="E5" t="str">
        <f>"Банкноты и монеты в пути"</f>
        <v>Банкноты и монеты в пути</v>
      </c>
      <c r="F5" s="2" t="str">
        <f>"2"</f>
        <v>2</v>
      </c>
      <c r="G5" s="2" t="str">
        <f>"3"</f>
        <v>3</v>
      </c>
      <c r="H5" s="2" t="str">
        <f>"3"</f>
        <v>3</v>
      </c>
      <c r="I5" s="1">
        <v>1405306987.9200001</v>
      </c>
    </row>
    <row r="6" spans="1:14" x14ac:dyDescent="0.25">
      <c r="A6" s="2">
        <v>5</v>
      </c>
      <c r="B6" s="3">
        <v>44834</v>
      </c>
      <c r="C6" s="2">
        <v>14</v>
      </c>
      <c r="D6" s="4" t="str">
        <f>"1002"</f>
        <v>1002</v>
      </c>
      <c r="E6" t="str">
        <f>"Банкноты и монеты в пути"</f>
        <v>Банкноты и монеты в пути</v>
      </c>
      <c r="F6" s="2" t="str">
        <f>"2"</f>
        <v>2</v>
      </c>
      <c r="G6" s="2" t="str">
        <f>"3"</f>
        <v>3</v>
      </c>
      <c r="H6" s="2" t="str">
        <f>"2"</f>
        <v>2</v>
      </c>
      <c r="I6" s="1">
        <v>8345652670.1400003</v>
      </c>
    </row>
    <row r="7" spans="1:14" x14ac:dyDescent="0.25">
      <c r="A7" s="2">
        <v>6</v>
      </c>
      <c r="B7" s="3">
        <v>44834</v>
      </c>
      <c r="C7" s="2">
        <v>14</v>
      </c>
      <c r="D7" s="4" t="str">
        <f>"1002"</f>
        <v>1002</v>
      </c>
      <c r="E7" t="str">
        <f>"Банкноты и монеты в пути"</f>
        <v>Банкноты и монеты в пути</v>
      </c>
      <c r="F7" s="2" t="str">
        <f>"1"</f>
        <v>1</v>
      </c>
      <c r="G7" s="2" t="str">
        <f>"3"</f>
        <v>3</v>
      </c>
      <c r="H7" s="2" t="str">
        <f>"1"</f>
        <v>1</v>
      </c>
      <c r="I7" s="1">
        <v>12467310725</v>
      </c>
    </row>
    <row r="8" spans="1:14" x14ac:dyDescent="0.25">
      <c r="A8" s="2">
        <v>7</v>
      </c>
      <c r="B8" s="3">
        <v>44834</v>
      </c>
      <c r="C8" s="2">
        <v>14</v>
      </c>
      <c r="D8" s="4" t="str">
        <f>"1005"</f>
        <v>1005</v>
      </c>
      <c r="E8" t="str">
        <f>"Наличность в банкоматах и электронных терминалах"</f>
        <v>Наличность в банкоматах и электронных терминалах</v>
      </c>
      <c r="F8" s="2" t="str">
        <f>"1"</f>
        <v>1</v>
      </c>
      <c r="G8" s="2" t="str">
        <f>"3"</f>
        <v>3</v>
      </c>
      <c r="H8" s="2" t="str">
        <f>"1"</f>
        <v>1</v>
      </c>
      <c r="I8" s="1">
        <v>76432805718.029999</v>
      </c>
    </row>
    <row r="9" spans="1:14" x14ac:dyDescent="0.25">
      <c r="A9" s="2">
        <v>8</v>
      </c>
      <c r="B9" s="3">
        <v>44834</v>
      </c>
      <c r="C9" s="2">
        <v>14</v>
      </c>
      <c r="D9" s="4" t="str">
        <f>"1005"</f>
        <v>1005</v>
      </c>
      <c r="E9" t="str">
        <f>"Наличность в банкоматах и электронных терминалах"</f>
        <v>Наличность в банкоматах и электронных терминалах</v>
      </c>
      <c r="F9" s="2" t="str">
        <f>"2"</f>
        <v>2</v>
      </c>
      <c r="G9" s="2" t="str">
        <f>"3"</f>
        <v>3</v>
      </c>
      <c r="H9" s="2" t="str">
        <f>"3"</f>
        <v>3</v>
      </c>
      <c r="I9" s="1">
        <v>3971000</v>
      </c>
    </row>
    <row r="10" spans="1:14" x14ac:dyDescent="0.25">
      <c r="A10" s="2">
        <v>9</v>
      </c>
      <c r="B10" s="3">
        <v>44834</v>
      </c>
      <c r="C10" s="2">
        <v>14</v>
      </c>
      <c r="D10" s="4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s="2" t="str">
        <f>"2"</f>
        <v>2</v>
      </c>
      <c r="G10" s="2" t="str">
        <f>"3"</f>
        <v>3</v>
      </c>
      <c r="H10" s="2" t="str">
        <f>"2"</f>
        <v>2</v>
      </c>
      <c r="I10" s="1">
        <v>720482034</v>
      </c>
    </row>
    <row r="11" spans="1:14" x14ac:dyDescent="0.25">
      <c r="A11" s="2">
        <v>10</v>
      </c>
      <c r="B11" s="3">
        <v>44834</v>
      </c>
      <c r="C11" s="2">
        <v>14</v>
      </c>
      <c r="D11" s="4" t="str">
        <f>"1011"</f>
        <v>1011</v>
      </c>
      <c r="E11" t="str">
        <f>"Аффинированные драгоценные металлы"</f>
        <v>Аффинированные драгоценные металлы</v>
      </c>
      <c r="F11" s="2" t="str">
        <f>""</f>
        <v/>
      </c>
      <c r="G11" s="2" t="str">
        <f>""</f>
        <v/>
      </c>
      <c r="H11" s="2" t="str">
        <f>""</f>
        <v/>
      </c>
      <c r="I11" s="1">
        <v>1626178951.0899999</v>
      </c>
    </row>
    <row r="12" spans="1:14" x14ac:dyDescent="0.25">
      <c r="A12" s="2">
        <v>11</v>
      </c>
      <c r="B12" s="3">
        <v>44834</v>
      </c>
      <c r="C12" s="2">
        <v>14</v>
      </c>
      <c r="D12" s="4" t="str">
        <f>"1012"</f>
        <v>1012</v>
      </c>
      <c r="E12" t="str">
        <f>"Аффинированные драгоценные металлы в пути"</f>
        <v>Аффинированные драгоценные металлы в пути</v>
      </c>
      <c r="F12" s="2" t="str">
        <f>""</f>
        <v/>
      </c>
      <c r="G12" s="2" t="str">
        <f>""</f>
        <v/>
      </c>
      <c r="H12" s="2" t="str">
        <f>""</f>
        <v/>
      </c>
      <c r="I12" s="1">
        <v>15890919</v>
      </c>
    </row>
    <row r="13" spans="1:14" x14ac:dyDescent="0.25">
      <c r="A13" s="2">
        <v>12</v>
      </c>
      <c r="B13" s="3">
        <v>44834</v>
      </c>
      <c r="C13" s="2">
        <v>14</v>
      </c>
      <c r="D13" s="4" t="str">
        <f>"1013"</f>
        <v>1013</v>
      </c>
      <c r="E13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3" s="2" t="str">
        <f>"2"</f>
        <v>2</v>
      </c>
      <c r="G13" s="2" t="str">
        <f>"4"</f>
        <v>4</v>
      </c>
      <c r="H13" s="2" t="str">
        <f>""</f>
        <v/>
      </c>
      <c r="I13" s="1">
        <v>15455725003.639999</v>
      </c>
    </row>
    <row r="14" spans="1:14" x14ac:dyDescent="0.25">
      <c r="A14" s="2">
        <v>13</v>
      </c>
      <c r="B14" s="3">
        <v>44834</v>
      </c>
      <c r="C14" s="2">
        <v>14</v>
      </c>
      <c r="D14" s="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s="2" t="str">
        <f>"1"</f>
        <v>1</v>
      </c>
      <c r="G14" s="2" t="str">
        <f>"3"</f>
        <v>3</v>
      </c>
      <c r="H14" s="2" t="str">
        <f>"1"</f>
        <v>1</v>
      </c>
      <c r="I14" s="1">
        <v>156691591738.17001</v>
      </c>
      <c r="N14" s="2"/>
    </row>
    <row r="15" spans="1:14" x14ac:dyDescent="0.25">
      <c r="A15" s="2">
        <v>14</v>
      </c>
      <c r="B15" s="3">
        <v>44834</v>
      </c>
      <c r="C15" s="2">
        <v>14</v>
      </c>
      <c r="D15" s="4" t="str">
        <f>"1051"</f>
        <v>1051</v>
      </c>
      <c r="E1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s="2" t="str">
        <f>"1"</f>
        <v>1</v>
      </c>
      <c r="G15" s="2" t="str">
        <f>"3"</f>
        <v>3</v>
      </c>
      <c r="H15" s="2" t="str">
        <f>"2"</f>
        <v>2</v>
      </c>
      <c r="I15" s="1">
        <v>337784789780.42999</v>
      </c>
    </row>
    <row r="16" spans="1:14" x14ac:dyDescent="0.25">
      <c r="A16" s="2">
        <v>15</v>
      </c>
      <c r="B16" s="3">
        <v>44834</v>
      </c>
      <c r="C16" s="2">
        <v>14</v>
      </c>
      <c r="D16" s="4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s="2" t="str">
        <f>"2"</f>
        <v>2</v>
      </c>
      <c r="G16" s="2" t="str">
        <f>"3"</f>
        <v>3</v>
      </c>
      <c r="H16" s="2" t="str">
        <f>"3"</f>
        <v>3</v>
      </c>
      <c r="I16" s="1">
        <v>36045211.25</v>
      </c>
    </row>
    <row r="17" spans="1:9" x14ac:dyDescent="0.25">
      <c r="A17" s="2">
        <v>16</v>
      </c>
      <c r="B17" s="3">
        <v>44834</v>
      </c>
      <c r="C17" s="2">
        <v>14</v>
      </c>
      <c r="D17" s="4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s="2" t="str">
        <f>"1"</f>
        <v>1</v>
      </c>
      <c r="G17" s="2" t="str">
        <f>"4"</f>
        <v>4</v>
      </c>
      <c r="H17" s="2" t="str">
        <f>"2"</f>
        <v>2</v>
      </c>
      <c r="I17" s="1">
        <v>23873519819.110001</v>
      </c>
    </row>
    <row r="18" spans="1:9" x14ac:dyDescent="0.25">
      <c r="A18" s="2">
        <v>17</v>
      </c>
      <c r="B18" s="3">
        <v>44834</v>
      </c>
      <c r="C18" s="2">
        <v>14</v>
      </c>
      <c r="D18" s="4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s="2" t="str">
        <f>"1"</f>
        <v>1</v>
      </c>
      <c r="G18" s="2" t="str">
        <f>"4"</f>
        <v>4</v>
      </c>
      <c r="H18" s="2" t="str">
        <f>"1"</f>
        <v>1</v>
      </c>
      <c r="I18" s="1">
        <v>1789002385.02</v>
      </c>
    </row>
    <row r="19" spans="1:9" x14ac:dyDescent="0.25">
      <c r="A19" s="2">
        <v>18</v>
      </c>
      <c r="B19" s="3">
        <v>44834</v>
      </c>
      <c r="C19" s="2">
        <v>14</v>
      </c>
      <c r="D19" s="4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s="2" t="str">
        <f>"2"</f>
        <v>2</v>
      </c>
      <c r="G19" s="2" t="str">
        <f>"4"</f>
        <v>4</v>
      </c>
      <c r="H19" s="2" t="str">
        <f>"3"</f>
        <v>3</v>
      </c>
      <c r="I19" s="1">
        <v>84357770712.669998</v>
      </c>
    </row>
    <row r="20" spans="1:9" x14ac:dyDescent="0.25">
      <c r="A20" s="2">
        <v>19</v>
      </c>
      <c r="B20" s="3">
        <v>44834</v>
      </c>
      <c r="C20" s="2">
        <v>14</v>
      </c>
      <c r="D20" s="4" t="str">
        <f>"1052"</f>
        <v>1052</v>
      </c>
      <c r="E20" t="str">
        <f>"Корреспондентские счета в других банках"</f>
        <v>Корреспондентские счета в других банках</v>
      </c>
      <c r="F20" s="2" t="str">
        <f>"1"</f>
        <v>1</v>
      </c>
      <c r="G20" s="2" t="str">
        <f>"5"</f>
        <v>5</v>
      </c>
      <c r="H20" s="2" t="str">
        <f>"3"</f>
        <v>3</v>
      </c>
      <c r="I20" s="1">
        <v>9858588992.5100002</v>
      </c>
    </row>
    <row r="21" spans="1:9" x14ac:dyDescent="0.25">
      <c r="A21" s="2">
        <v>20</v>
      </c>
      <c r="B21" s="3">
        <v>44834</v>
      </c>
      <c r="C21" s="2">
        <v>14</v>
      </c>
      <c r="D21" s="4" t="str">
        <f>"1052"</f>
        <v>1052</v>
      </c>
      <c r="E21" t="str">
        <f>"Корреспондентские счета в других банках"</f>
        <v>Корреспондентские счета в других банках</v>
      </c>
      <c r="F21" s="2" t="str">
        <f>"2"</f>
        <v>2</v>
      </c>
      <c r="G21" s="2" t="str">
        <f>"5"</f>
        <v>5</v>
      </c>
      <c r="H21" s="2" t="str">
        <f>"1"</f>
        <v>1</v>
      </c>
      <c r="I21" s="1">
        <v>957521800.42999995</v>
      </c>
    </row>
    <row r="22" spans="1:9" x14ac:dyDescent="0.25">
      <c r="A22" s="2">
        <v>21</v>
      </c>
      <c r="B22" s="3">
        <v>44834</v>
      </c>
      <c r="C22" s="2">
        <v>14</v>
      </c>
      <c r="D22" s="4" t="str">
        <f>"1052"</f>
        <v>1052</v>
      </c>
      <c r="E22" t="str">
        <f>"Корреспондентские счета в других банках"</f>
        <v>Корреспондентские счета в других банках</v>
      </c>
      <c r="F22" s="2" t="str">
        <f>"2"</f>
        <v>2</v>
      </c>
      <c r="G22" s="2" t="str">
        <f>"5"</f>
        <v>5</v>
      </c>
      <c r="H22" s="2" t="str">
        <f>"2"</f>
        <v>2</v>
      </c>
      <c r="I22" s="1">
        <v>731963088.92999995</v>
      </c>
    </row>
    <row r="23" spans="1:9" x14ac:dyDescent="0.25">
      <c r="A23" s="2">
        <v>22</v>
      </c>
      <c r="B23" s="3">
        <v>44834</v>
      </c>
      <c r="C23" s="2">
        <v>14</v>
      </c>
      <c r="D23" s="4" t="str">
        <f>"1052"</f>
        <v>1052</v>
      </c>
      <c r="E23" t="str">
        <f>"Корреспондентские счета в других банках"</f>
        <v>Корреспондентские счета в других банках</v>
      </c>
      <c r="F23" s="2" t="str">
        <f>"2"</f>
        <v>2</v>
      </c>
      <c r="G23" s="2" t="str">
        <f>"5"</f>
        <v>5</v>
      </c>
      <c r="H23" s="2" t="str">
        <f>"3"</f>
        <v>3</v>
      </c>
      <c r="I23" s="1">
        <v>210530685.06999999</v>
      </c>
    </row>
    <row r="24" spans="1:9" x14ac:dyDescent="0.25">
      <c r="A24" s="2">
        <v>23</v>
      </c>
      <c r="B24" s="3">
        <v>44834</v>
      </c>
      <c r="C24" s="2">
        <v>14</v>
      </c>
      <c r="D24" s="4" t="str">
        <f>"1052"</f>
        <v>1052</v>
      </c>
      <c r="E24" t="str">
        <f>"Корреспондентские счета в других банках"</f>
        <v>Корреспондентские счета в других банках</v>
      </c>
      <c r="F24" s="2" t="str">
        <f>"1"</f>
        <v>1</v>
      </c>
      <c r="G24" s="2" t="str">
        <f>"5"</f>
        <v>5</v>
      </c>
      <c r="H24" s="2" t="str">
        <f>"1"</f>
        <v>1</v>
      </c>
      <c r="I24" s="1">
        <v>369749796.63999999</v>
      </c>
    </row>
    <row r="25" spans="1:9" x14ac:dyDescent="0.25">
      <c r="A25" s="2">
        <v>24</v>
      </c>
      <c r="B25" s="3">
        <v>44834</v>
      </c>
      <c r="C25" s="2">
        <v>14</v>
      </c>
      <c r="D25" s="4" t="str">
        <f>"1052"</f>
        <v>1052</v>
      </c>
      <c r="E25" t="str">
        <f>"Корреспондентские счета в других банках"</f>
        <v>Корреспондентские счета в других банках</v>
      </c>
      <c r="F25" s="2" t="str">
        <f>"2"</f>
        <v>2</v>
      </c>
      <c r="G25" s="2" t="str">
        <f>"4"</f>
        <v>4</v>
      </c>
      <c r="H25" s="2" t="str">
        <f>"2"</f>
        <v>2</v>
      </c>
      <c r="I25" s="1">
        <v>453846900105.57001</v>
      </c>
    </row>
    <row r="26" spans="1:9" x14ac:dyDescent="0.25">
      <c r="A26" s="2">
        <v>25</v>
      </c>
      <c r="B26" s="3">
        <v>44834</v>
      </c>
      <c r="C26" s="2">
        <v>14</v>
      </c>
      <c r="D26" s="4" t="str">
        <f>"1052"</f>
        <v>1052</v>
      </c>
      <c r="E26" t="str">
        <f>"Корреспондентские счета в других банках"</f>
        <v>Корреспондентские счета в других банках</v>
      </c>
      <c r="F26" s="2" t="str">
        <f>"1"</f>
        <v>1</v>
      </c>
      <c r="G26" s="2" t="str">
        <f>"5"</f>
        <v>5</v>
      </c>
      <c r="H26" s="2" t="str">
        <f>"2"</f>
        <v>2</v>
      </c>
      <c r="I26" s="1">
        <v>4759834286.3299999</v>
      </c>
    </row>
    <row r="27" spans="1:9" x14ac:dyDescent="0.25">
      <c r="A27" s="2">
        <v>26</v>
      </c>
      <c r="B27" s="3">
        <v>44834</v>
      </c>
      <c r="C27" s="2">
        <v>14</v>
      </c>
      <c r="D27" s="4" t="str">
        <f>"1054"</f>
        <v>1054</v>
      </c>
      <c r="E2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7" s="2" t="str">
        <f>"1"</f>
        <v>1</v>
      </c>
      <c r="G27" s="2" t="str">
        <f>"4"</f>
        <v>4</v>
      </c>
      <c r="H27" s="2" t="str">
        <f>"1"</f>
        <v>1</v>
      </c>
      <c r="I27" s="1">
        <v>-1645.87</v>
      </c>
    </row>
    <row r="28" spans="1:9" x14ac:dyDescent="0.25">
      <c r="A28" s="2">
        <v>27</v>
      </c>
      <c r="B28" s="3">
        <v>44834</v>
      </c>
      <c r="C28" s="2">
        <v>14</v>
      </c>
      <c r="D28" s="4" t="str">
        <f>"1054"</f>
        <v>1054</v>
      </c>
      <c r="E2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8" s="2" t="str">
        <f>"2"</f>
        <v>2</v>
      </c>
      <c r="G28" s="2" t="str">
        <f>"5"</f>
        <v>5</v>
      </c>
      <c r="H28" s="2" t="str">
        <f>"3"</f>
        <v>3</v>
      </c>
      <c r="I28" s="1">
        <v>-394613.65</v>
      </c>
    </row>
    <row r="29" spans="1:9" x14ac:dyDescent="0.25">
      <c r="A29" s="2">
        <v>28</v>
      </c>
      <c r="B29" s="3">
        <v>44834</v>
      </c>
      <c r="C29" s="2">
        <v>14</v>
      </c>
      <c r="D29" s="4" t="str">
        <f>"1054"</f>
        <v>1054</v>
      </c>
      <c r="E2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9" s="2" t="str">
        <f>"1"</f>
        <v>1</v>
      </c>
      <c r="G29" s="2" t="str">
        <f>"4"</f>
        <v>4</v>
      </c>
      <c r="H29" s="2" t="str">
        <f>"2"</f>
        <v>2</v>
      </c>
      <c r="I29" s="1">
        <v>-113595.04</v>
      </c>
    </row>
    <row r="30" spans="1:9" x14ac:dyDescent="0.25">
      <c r="A30" s="2">
        <v>29</v>
      </c>
      <c r="B30" s="3">
        <v>44834</v>
      </c>
      <c r="C30" s="2">
        <v>14</v>
      </c>
      <c r="D30" s="4" t="str">
        <f>"1054"</f>
        <v>1054</v>
      </c>
      <c r="E3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0" s="2" t="str">
        <f>"2"</f>
        <v>2</v>
      </c>
      <c r="G30" s="2" t="str">
        <f>"4"</f>
        <v>4</v>
      </c>
      <c r="H30" s="2" t="str">
        <f>"2"</f>
        <v>2</v>
      </c>
      <c r="I30" s="1">
        <v>-1210905.93</v>
      </c>
    </row>
    <row r="31" spans="1:9" x14ac:dyDescent="0.25">
      <c r="A31" s="2">
        <v>30</v>
      </c>
      <c r="B31" s="3">
        <v>44834</v>
      </c>
      <c r="C31" s="2">
        <v>14</v>
      </c>
      <c r="D31" s="4" t="str">
        <f>"1054"</f>
        <v>1054</v>
      </c>
      <c r="E3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1" s="2" t="str">
        <f>"2"</f>
        <v>2</v>
      </c>
      <c r="G31" s="2" t="str">
        <f>"5"</f>
        <v>5</v>
      </c>
      <c r="H31" s="2" t="str">
        <f>"2"</f>
        <v>2</v>
      </c>
      <c r="I31" s="1">
        <v>-1371976.14</v>
      </c>
    </row>
    <row r="32" spans="1:9" x14ac:dyDescent="0.25">
      <c r="A32" s="2">
        <v>31</v>
      </c>
      <c r="B32" s="3">
        <v>44834</v>
      </c>
      <c r="C32" s="2">
        <v>14</v>
      </c>
      <c r="D32" s="4" t="str">
        <f>"1054"</f>
        <v>1054</v>
      </c>
      <c r="E3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2" s="2" t="str">
        <f>"2"</f>
        <v>2</v>
      </c>
      <c r="G32" s="2" t="str">
        <f>"5"</f>
        <v>5</v>
      </c>
      <c r="H32" s="2" t="str">
        <f>"1"</f>
        <v>1</v>
      </c>
      <c r="I32" s="1">
        <v>-1794755.7</v>
      </c>
    </row>
    <row r="33" spans="1:9" x14ac:dyDescent="0.25">
      <c r="A33" s="2">
        <v>32</v>
      </c>
      <c r="B33" s="3">
        <v>44834</v>
      </c>
      <c r="C33" s="2">
        <v>14</v>
      </c>
      <c r="D33" s="4" t="str">
        <f>"1054"</f>
        <v>1054</v>
      </c>
      <c r="E3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3" s="2" t="str">
        <f>"1"</f>
        <v>1</v>
      </c>
      <c r="G33" s="2" t="str">
        <f>"5"</f>
        <v>5</v>
      </c>
      <c r="H33" s="2" t="str">
        <f>"1"</f>
        <v>1</v>
      </c>
      <c r="I33" s="1">
        <v>-3518.87</v>
      </c>
    </row>
    <row r="34" spans="1:9" x14ac:dyDescent="0.25">
      <c r="A34" s="2">
        <v>33</v>
      </c>
      <c r="B34" s="3">
        <v>44834</v>
      </c>
      <c r="C34" s="2">
        <v>14</v>
      </c>
      <c r="D34" s="4" t="str">
        <f>"1054"</f>
        <v>1054</v>
      </c>
      <c r="E3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4" s="2" t="str">
        <f>"1"</f>
        <v>1</v>
      </c>
      <c r="G34" s="2" t="str">
        <f>"5"</f>
        <v>5</v>
      </c>
      <c r="H34" s="2" t="str">
        <f>"2"</f>
        <v>2</v>
      </c>
      <c r="I34" s="1">
        <v>-45293.21</v>
      </c>
    </row>
    <row r="35" spans="1:9" x14ac:dyDescent="0.25">
      <c r="A35" s="2">
        <v>34</v>
      </c>
      <c r="B35" s="3">
        <v>44834</v>
      </c>
      <c r="C35" s="2">
        <v>14</v>
      </c>
      <c r="D35" s="4" t="str">
        <f>"1054"</f>
        <v>1054</v>
      </c>
      <c r="E3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5" s="2" t="str">
        <f>"2"</f>
        <v>2</v>
      </c>
      <c r="G35" s="2" t="str">
        <f>"4"</f>
        <v>4</v>
      </c>
      <c r="H35" s="2" t="str">
        <f>"3"</f>
        <v>3</v>
      </c>
      <c r="I35" s="1">
        <v>-1016285.43</v>
      </c>
    </row>
    <row r="36" spans="1:9" x14ac:dyDescent="0.25">
      <c r="A36" s="2">
        <v>35</v>
      </c>
      <c r="B36" s="3">
        <v>44834</v>
      </c>
      <c r="C36" s="2">
        <v>14</v>
      </c>
      <c r="D36" s="4" t="str">
        <f>"1054"</f>
        <v>1054</v>
      </c>
      <c r="E3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6" s="2" t="str">
        <f>"1"</f>
        <v>1</v>
      </c>
      <c r="G36" s="2" t="str">
        <f>"3"</f>
        <v>3</v>
      </c>
      <c r="H36" s="2" t="str">
        <f>"1"</f>
        <v>1</v>
      </c>
      <c r="I36" s="1">
        <v>-595354.97</v>
      </c>
    </row>
    <row r="37" spans="1:9" x14ac:dyDescent="0.25">
      <c r="A37" s="2">
        <v>36</v>
      </c>
      <c r="B37" s="3">
        <v>44834</v>
      </c>
      <c r="C37" s="2">
        <v>14</v>
      </c>
      <c r="D37" s="4" t="str">
        <f>"1054"</f>
        <v>1054</v>
      </c>
      <c r="E3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7" s="2" t="str">
        <f>"2"</f>
        <v>2</v>
      </c>
      <c r="G37" s="2" t="str">
        <f>"3"</f>
        <v>3</v>
      </c>
      <c r="H37" s="2" t="str">
        <f>"3"</f>
        <v>3</v>
      </c>
      <c r="I37" s="1">
        <v>-10309.719999999999</v>
      </c>
    </row>
    <row r="38" spans="1:9" x14ac:dyDescent="0.25">
      <c r="A38" s="2">
        <v>37</v>
      </c>
      <c r="B38" s="3">
        <v>44834</v>
      </c>
      <c r="C38" s="2">
        <v>14</v>
      </c>
      <c r="D38" s="4" t="str">
        <f>"1054"</f>
        <v>1054</v>
      </c>
      <c r="E3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8" s="2" t="str">
        <f>"1"</f>
        <v>1</v>
      </c>
      <c r="G38" s="2" t="str">
        <f>"5"</f>
        <v>5</v>
      </c>
      <c r="H38" s="2" t="str">
        <f>"3"</f>
        <v>3</v>
      </c>
      <c r="I38" s="1">
        <v>-93823.27</v>
      </c>
    </row>
    <row r="39" spans="1:9" x14ac:dyDescent="0.25">
      <c r="A39" s="2">
        <v>38</v>
      </c>
      <c r="B39" s="3">
        <v>44834</v>
      </c>
      <c r="C39" s="2">
        <v>14</v>
      </c>
      <c r="D39" s="4" t="str">
        <f>"1054"</f>
        <v>1054</v>
      </c>
      <c r="E3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9" s="2" t="str">
        <f>"1"</f>
        <v>1</v>
      </c>
      <c r="G39" s="2" t="str">
        <f>"3"</f>
        <v>3</v>
      </c>
      <c r="H39" s="2" t="str">
        <f>"2"</f>
        <v>2</v>
      </c>
      <c r="I39" s="1">
        <v>-1187472.03</v>
      </c>
    </row>
    <row r="40" spans="1:9" x14ac:dyDescent="0.25">
      <c r="A40" s="2">
        <v>39</v>
      </c>
      <c r="B40" s="3">
        <v>44834</v>
      </c>
      <c r="C40" s="2">
        <v>14</v>
      </c>
      <c r="D40" s="4" t="str">
        <f>"1055"</f>
        <v>1055</v>
      </c>
      <c r="E40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0" s="2" t="str">
        <f>"1"</f>
        <v>1</v>
      </c>
      <c r="G40" s="2" t="str">
        <f>"3"</f>
        <v>3</v>
      </c>
      <c r="H40" s="2" t="str">
        <f>"1"</f>
        <v>1</v>
      </c>
      <c r="I40" s="1">
        <v>8754234210.3999996</v>
      </c>
    </row>
    <row r="41" spans="1:9" x14ac:dyDescent="0.25">
      <c r="A41" s="2">
        <v>40</v>
      </c>
      <c r="B41" s="3">
        <v>44834</v>
      </c>
      <c r="C41" s="2">
        <v>14</v>
      </c>
      <c r="D41" s="4" t="str">
        <f>"1101"</f>
        <v>1101</v>
      </c>
      <c r="E4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41" s="2" t="str">
        <f>"1"</f>
        <v>1</v>
      </c>
      <c r="G41" s="2" t="str">
        <f>"3"</f>
        <v>3</v>
      </c>
      <c r="H41" s="2" t="str">
        <f>"1"</f>
        <v>1</v>
      </c>
      <c r="I41" s="1">
        <v>50000000000</v>
      </c>
    </row>
    <row r="42" spans="1:9" x14ac:dyDescent="0.25">
      <c r="A42" s="2">
        <v>41</v>
      </c>
      <c r="B42" s="3">
        <v>44834</v>
      </c>
      <c r="C42" s="2">
        <v>14</v>
      </c>
      <c r="D42" s="4" t="str">
        <f>"1103"</f>
        <v>1103</v>
      </c>
      <c r="E4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42" s="2" t="str">
        <f>"1"</f>
        <v>1</v>
      </c>
      <c r="G42" s="2" t="str">
        <f>"3"</f>
        <v>3</v>
      </c>
      <c r="H42" s="2" t="str">
        <f>"2"</f>
        <v>2</v>
      </c>
      <c r="I42" s="1">
        <v>1072597500000</v>
      </c>
    </row>
    <row r="43" spans="1:9" x14ac:dyDescent="0.25">
      <c r="A43" s="2">
        <v>42</v>
      </c>
      <c r="B43" s="3">
        <v>44834</v>
      </c>
      <c r="C43" s="2">
        <v>14</v>
      </c>
      <c r="D43" s="4" t="str">
        <f>"1251"</f>
        <v>1251</v>
      </c>
      <c r="E43" t="str">
        <f>"Вклады, размещенные в других банках (на одну ночь)"</f>
        <v>Вклады, размещенные в других банках (на одну ночь)</v>
      </c>
      <c r="F43" s="2" t="str">
        <f>"2"</f>
        <v>2</v>
      </c>
      <c r="G43" s="2" t="str">
        <f>"4"</f>
        <v>4</v>
      </c>
      <c r="H43" s="2" t="str">
        <f>"2"</f>
        <v>2</v>
      </c>
      <c r="I43" s="1">
        <v>262905565000</v>
      </c>
    </row>
    <row r="44" spans="1:9" x14ac:dyDescent="0.25">
      <c r="A44" s="2">
        <v>43</v>
      </c>
      <c r="B44" s="3">
        <v>44834</v>
      </c>
      <c r="C44" s="2">
        <v>14</v>
      </c>
      <c r="D44" s="4" t="str">
        <f>"1254"</f>
        <v>1254</v>
      </c>
      <c r="E44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44" s="2" t="str">
        <f>"2"</f>
        <v>2</v>
      </c>
      <c r="G44" s="2" t="str">
        <f>"4"</f>
        <v>4</v>
      </c>
      <c r="H44" s="2" t="str">
        <f>"1"</f>
        <v>1</v>
      </c>
      <c r="I44" s="1">
        <v>1215000000</v>
      </c>
    </row>
    <row r="45" spans="1:9" x14ac:dyDescent="0.25">
      <c r="A45" s="2">
        <v>44</v>
      </c>
      <c r="B45" s="3">
        <v>44834</v>
      </c>
      <c r="C45" s="2">
        <v>14</v>
      </c>
      <c r="D45" s="4" t="str">
        <f>"1254"</f>
        <v>1254</v>
      </c>
      <c r="E45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45" s="2" t="str">
        <f>"2"</f>
        <v>2</v>
      </c>
      <c r="G45" s="2" t="str">
        <f>"4"</f>
        <v>4</v>
      </c>
      <c r="H45" s="2" t="str">
        <f>"2"</f>
        <v>2</v>
      </c>
      <c r="I45" s="1">
        <v>58155546760</v>
      </c>
    </row>
    <row r="46" spans="1:9" x14ac:dyDescent="0.25">
      <c r="A46" s="2">
        <v>45</v>
      </c>
      <c r="B46" s="3">
        <v>44834</v>
      </c>
      <c r="C46" s="2">
        <v>14</v>
      </c>
      <c r="D46" s="4" t="str">
        <f>"1255"</f>
        <v>1255</v>
      </c>
      <c r="E46" t="str">
        <f>"Долгосрочные вклады, размещенные в других банках"</f>
        <v>Долгосрочные вклады, размещенные в других банках</v>
      </c>
      <c r="F46" s="2" t="str">
        <f>"2"</f>
        <v>2</v>
      </c>
      <c r="G46" s="2" t="str">
        <f>"4"</f>
        <v>4</v>
      </c>
      <c r="H46" s="2" t="str">
        <f>"1"</f>
        <v>1</v>
      </c>
      <c r="I46" s="1">
        <v>2750000000</v>
      </c>
    </row>
    <row r="47" spans="1:9" x14ac:dyDescent="0.25">
      <c r="A47" s="2">
        <v>46</v>
      </c>
      <c r="B47" s="3">
        <v>44834</v>
      </c>
      <c r="C47" s="2">
        <v>14</v>
      </c>
      <c r="D47" s="4" t="str">
        <f>"1255"</f>
        <v>1255</v>
      </c>
      <c r="E47" t="str">
        <f>"Долгосрочные вклады, размещенные в других банках"</f>
        <v>Долгосрочные вклады, размещенные в других банках</v>
      </c>
      <c r="F47" s="2" t="str">
        <f>"2"</f>
        <v>2</v>
      </c>
      <c r="G47" s="2" t="str">
        <f>"4"</f>
        <v>4</v>
      </c>
      <c r="H47" s="2" t="str">
        <f>"2"</f>
        <v>2</v>
      </c>
      <c r="I47" s="1">
        <v>32416996170</v>
      </c>
    </row>
    <row r="48" spans="1:9" x14ac:dyDescent="0.25">
      <c r="A48" s="2">
        <v>47</v>
      </c>
      <c r="B48" s="3">
        <v>44834</v>
      </c>
      <c r="C48" s="2">
        <v>14</v>
      </c>
      <c r="D48" s="4" t="str">
        <f>"1259"</f>
        <v>1259</v>
      </c>
      <c r="E4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8" s="2" t="str">
        <f>"2"</f>
        <v>2</v>
      </c>
      <c r="G48" s="2" t="str">
        <f>"4"</f>
        <v>4</v>
      </c>
      <c r="H48" s="2" t="str">
        <f>"1"</f>
        <v>1</v>
      </c>
      <c r="I48" s="1">
        <v>-4983240.03</v>
      </c>
    </row>
    <row r="49" spans="1:9" x14ac:dyDescent="0.25">
      <c r="A49" s="2">
        <v>48</v>
      </c>
      <c r="B49" s="3">
        <v>44834</v>
      </c>
      <c r="C49" s="2">
        <v>14</v>
      </c>
      <c r="D49" s="4" t="str">
        <f>"1259"</f>
        <v>1259</v>
      </c>
      <c r="E4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9" s="2" t="str">
        <f>"1"</f>
        <v>1</v>
      </c>
      <c r="G49" s="2" t="str">
        <f>"3"</f>
        <v>3</v>
      </c>
      <c r="H49" s="2" t="str">
        <f>"2"</f>
        <v>2</v>
      </c>
      <c r="I49" s="1">
        <v>-35765468.079999998</v>
      </c>
    </row>
    <row r="50" spans="1:9" x14ac:dyDescent="0.25">
      <c r="A50" s="2">
        <v>49</v>
      </c>
      <c r="B50" s="3">
        <v>44834</v>
      </c>
      <c r="C50" s="2">
        <v>14</v>
      </c>
      <c r="D50" s="4" t="str">
        <f>"1259"</f>
        <v>1259</v>
      </c>
      <c r="E5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0" s="2" t="str">
        <f>"2"</f>
        <v>2</v>
      </c>
      <c r="G50" s="2" t="str">
        <f>"5"</f>
        <v>5</v>
      </c>
      <c r="H50" s="2" t="str">
        <f>"2"</f>
        <v>2</v>
      </c>
      <c r="I50" s="1">
        <v>-5614595.04</v>
      </c>
    </row>
    <row r="51" spans="1:9" x14ac:dyDescent="0.25">
      <c r="A51" s="2">
        <v>50</v>
      </c>
      <c r="B51" s="3">
        <v>44834</v>
      </c>
      <c r="C51" s="2">
        <v>14</v>
      </c>
      <c r="D51" s="4" t="str">
        <f>"1259"</f>
        <v>1259</v>
      </c>
      <c r="E5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1" s="2" t="str">
        <f>"1"</f>
        <v>1</v>
      </c>
      <c r="G51" s="2" t="str">
        <f>"3"</f>
        <v>3</v>
      </c>
      <c r="H51" s="2" t="str">
        <f>"1"</f>
        <v>1</v>
      </c>
      <c r="I51" s="1">
        <v>-175773.89</v>
      </c>
    </row>
    <row r="52" spans="1:9" x14ac:dyDescent="0.25">
      <c r="A52" s="2">
        <v>51</v>
      </c>
      <c r="B52" s="3">
        <v>44834</v>
      </c>
      <c r="C52" s="2">
        <v>14</v>
      </c>
      <c r="D52" s="4" t="str">
        <f>"1259"</f>
        <v>1259</v>
      </c>
      <c r="E5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2" s="2" t="str">
        <f>"2"</f>
        <v>2</v>
      </c>
      <c r="G52" s="2" t="str">
        <f>"4"</f>
        <v>4</v>
      </c>
      <c r="H52" s="2" t="str">
        <f>"2"</f>
        <v>2</v>
      </c>
      <c r="I52" s="1">
        <v>-92306106.349999994</v>
      </c>
    </row>
    <row r="53" spans="1:9" x14ac:dyDescent="0.25">
      <c r="A53" s="2">
        <v>52</v>
      </c>
      <c r="B53" s="3">
        <v>44834</v>
      </c>
      <c r="C53" s="2">
        <v>14</v>
      </c>
      <c r="D53" s="4" t="str">
        <f>"1264"</f>
        <v>1264</v>
      </c>
      <c r="E53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53" s="2" t="str">
        <f>"2"</f>
        <v>2</v>
      </c>
      <c r="G53" s="2" t="str">
        <f>"4"</f>
        <v>4</v>
      </c>
      <c r="H53" s="2" t="str">
        <f>"2"</f>
        <v>2</v>
      </c>
      <c r="I53" s="1">
        <v>29513116100</v>
      </c>
    </row>
    <row r="54" spans="1:9" x14ac:dyDescent="0.25">
      <c r="A54" s="2">
        <v>53</v>
      </c>
      <c r="B54" s="3">
        <v>44834</v>
      </c>
      <c r="C54" s="2">
        <v>14</v>
      </c>
      <c r="D54" s="4" t="str">
        <f>"1264"</f>
        <v>1264</v>
      </c>
      <c r="E54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54" s="2" t="str">
        <f>"2"</f>
        <v>2</v>
      </c>
      <c r="G54" s="2" t="str">
        <f>"5"</f>
        <v>5</v>
      </c>
      <c r="H54" s="2" t="str">
        <f>"2"</f>
        <v>2</v>
      </c>
      <c r="I54" s="1">
        <v>17898425425.009998</v>
      </c>
    </row>
    <row r="55" spans="1:9" x14ac:dyDescent="0.25">
      <c r="A55" s="2">
        <v>54</v>
      </c>
      <c r="B55" s="3">
        <v>44834</v>
      </c>
      <c r="C55" s="2">
        <v>14</v>
      </c>
      <c r="D55" s="4" t="str">
        <f>"1267"</f>
        <v>1267</v>
      </c>
      <c r="E5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5" s="2" t="str">
        <f>"1"</f>
        <v>1</v>
      </c>
      <c r="G55" s="2" t="str">
        <f>"5"</f>
        <v>5</v>
      </c>
      <c r="H55" s="2" t="str">
        <f>"2"</f>
        <v>2</v>
      </c>
      <c r="I55" s="1">
        <v>1430130000</v>
      </c>
    </row>
    <row r="56" spans="1:9" x14ac:dyDescent="0.25">
      <c r="A56" s="2">
        <v>55</v>
      </c>
      <c r="B56" s="3">
        <v>44834</v>
      </c>
      <c r="C56" s="2">
        <v>14</v>
      </c>
      <c r="D56" s="4" t="str">
        <f>"1267"</f>
        <v>1267</v>
      </c>
      <c r="E56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6" s="2" t="str">
        <f>"1"</f>
        <v>1</v>
      </c>
      <c r="G56" s="2" t="str">
        <f>"5"</f>
        <v>5</v>
      </c>
      <c r="H56" s="2" t="str">
        <f>"1"</f>
        <v>1</v>
      </c>
      <c r="I56" s="1">
        <v>8334398265.3800001</v>
      </c>
    </row>
    <row r="57" spans="1:9" x14ac:dyDescent="0.25">
      <c r="A57" s="2">
        <v>56</v>
      </c>
      <c r="B57" s="3">
        <v>44834</v>
      </c>
      <c r="C57" s="2">
        <v>14</v>
      </c>
      <c r="D57" s="4" t="str">
        <f>"1302"</f>
        <v>1302</v>
      </c>
      <c r="E57" t="str">
        <f>"Краткосрочные займы, предоставленные другим банкам"</f>
        <v>Краткосрочные займы, предоставленные другим банкам</v>
      </c>
      <c r="F57" s="2" t="str">
        <f>"2"</f>
        <v>2</v>
      </c>
      <c r="G57" s="2" t="str">
        <f>"4"</f>
        <v>4</v>
      </c>
      <c r="H57" s="2" t="str">
        <f>"2"</f>
        <v>2</v>
      </c>
      <c r="I57" s="1">
        <v>10562153740.450001</v>
      </c>
    </row>
    <row r="58" spans="1:9" x14ac:dyDescent="0.25">
      <c r="A58" s="2">
        <v>57</v>
      </c>
      <c r="B58" s="3">
        <v>44834</v>
      </c>
      <c r="C58" s="2">
        <v>14</v>
      </c>
      <c r="D58" s="4" t="str">
        <f>"1304"</f>
        <v>1304</v>
      </c>
      <c r="E58" t="str">
        <f>"Долгосрочные займы, предоставленные другим банкам"</f>
        <v>Долгосрочные займы, предоставленные другим банкам</v>
      </c>
      <c r="F58" s="2" t="str">
        <f>"2"</f>
        <v>2</v>
      </c>
      <c r="G58" s="2" t="str">
        <f>"4"</f>
        <v>4</v>
      </c>
      <c r="H58" s="2" t="str">
        <f>"2"</f>
        <v>2</v>
      </c>
      <c r="I58" s="1">
        <v>57555254147.629997</v>
      </c>
    </row>
    <row r="59" spans="1:9" x14ac:dyDescent="0.25">
      <c r="A59" s="2">
        <v>58</v>
      </c>
      <c r="B59" s="3">
        <v>44834</v>
      </c>
      <c r="C59" s="2">
        <v>14</v>
      </c>
      <c r="D59" s="4" t="str">
        <f>"1312"</f>
        <v>1312</v>
      </c>
      <c r="E59" t="str">
        <f>"Дисконт по займам, предоставленным другим банкам"</f>
        <v>Дисконт по займам, предоставленным другим банкам</v>
      </c>
      <c r="F59" s="2" t="str">
        <f>"2"</f>
        <v>2</v>
      </c>
      <c r="G59" s="2" t="str">
        <f>"4"</f>
        <v>4</v>
      </c>
      <c r="H59" s="2" t="str">
        <f>"2"</f>
        <v>2</v>
      </c>
      <c r="I59" s="1">
        <v>-17249388.789999999</v>
      </c>
    </row>
    <row r="60" spans="1:9" x14ac:dyDescent="0.25">
      <c r="A60" s="2">
        <v>59</v>
      </c>
      <c r="B60" s="3">
        <v>44834</v>
      </c>
      <c r="C60" s="2">
        <v>14</v>
      </c>
      <c r="D60" s="4" t="str">
        <f>"1319"</f>
        <v>1319</v>
      </c>
      <c r="E60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60" s="2" t="str">
        <f>"2"</f>
        <v>2</v>
      </c>
      <c r="G60" s="2" t="str">
        <f>"4"</f>
        <v>4</v>
      </c>
      <c r="H60" s="2" t="str">
        <f>"2"</f>
        <v>2</v>
      </c>
      <c r="I60" s="1">
        <v>-114934415.53</v>
      </c>
    </row>
    <row r="61" spans="1:9" x14ac:dyDescent="0.25">
      <c r="A61" s="2">
        <v>60</v>
      </c>
      <c r="B61" s="3">
        <v>44834</v>
      </c>
      <c r="C61" s="2">
        <v>14</v>
      </c>
      <c r="D61" s="4" t="str">
        <f>"1401"</f>
        <v>1401</v>
      </c>
      <c r="E61" t="str">
        <f>"Займы овердрафт, предоставленные клиентам"</f>
        <v>Займы овердрафт, предоставленные клиентам</v>
      </c>
      <c r="F61" s="2" t="str">
        <f>"1"</f>
        <v>1</v>
      </c>
      <c r="G61" s="2" t="str">
        <f>"9"</f>
        <v>9</v>
      </c>
      <c r="H61" s="2" t="str">
        <f>"1"</f>
        <v>1</v>
      </c>
      <c r="I61" s="1">
        <v>18397472917.049999</v>
      </c>
    </row>
    <row r="62" spans="1:9" x14ac:dyDescent="0.25">
      <c r="A62" s="2">
        <v>61</v>
      </c>
      <c r="B62" s="3">
        <v>44834</v>
      </c>
      <c r="C62" s="2">
        <v>14</v>
      </c>
      <c r="D62" s="4" t="str">
        <f>"1401"</f>
        <v>1401</v>
      </c>
      <c r="E62" t="str">
        <f>"Займы овердрафт, предоставленные клиентам"</f>
        <v>Займы овердрафт, предоставленные клиентам</v>
      </c>
      <c r="F62" s="2" t="str">
        <f>"1"</f>
        <v>1</v>
      </c>
      <c r="G62" s="2" t="str">
        <f>"7"</f>
        <v>7</v>
      </c>
      <c r="H62" s="2" t="str">
        <f>"1"</f>
        <v>1</v>
      </c>
      <c r="I62" s="1">
        <v>1488484610.1500001</v>
      </c>
    </row>
    <row r="63" spans="1:9" x14ac:dyDescent="0.25">
      <c r="A63" s="2">
        <v>62</v>
      </c>
      <c r="B63" s="3">
        <v>44834</v>
      </c>
      <c r="C63" s="2">
        <v>14</v>
      </c>
      <c r="D63" s="4" t="str">
        <f>"1401"</f>
        <v>1401</v>
      </c>
      <c r="E63" t="str">
        <f>"Займы овердрафт, предоставленные клиентам"</f>
        <v>Займы овердрафт, предоставленные клиентам</v>
      </c>
      <c r="F63" s="2" t="str">
        <f>"2"</f>
        <v>2</v>
      </c>
      <c r="G63" s="2" t="str">
        <f>"9"</f>
        <v>9</v>
      </c>
      <c r="H63" s="2" t="str">
        <f>"2"</f>
        <v>2</v>
      </c>
      <c r="I63" s="1">
        <v>16548429.9</v>
      </c>
    </row>
    <row r="64" spans="1:9" x14ac:dyDescent="0.25">
      <c r="A64" s="2">
        <v>63</v>
      </c>
      <c r="B64" s="3">
        <v>44834</v>
      </c>
      <c r="C64" s="2">
        <v>14</v>
      </c>
      <c r="D64" s="4" t="str">
        <f>"1401"</f>
        <v>1401</v>
      </c>
      <c r="E64" t="str">
        <f>"Займы овердрафт, предоставленные клиентам"</f>
        <v>Займы овердрафт, предоставленные клиентам</v>
      </c>
      <c r="F64" s="2" t="str">
        <f>"2"</f>
        <v>2</v>
      </c>
      <c r="G64" s="2" t="str">
        <f>"9"</f>
        <v>9</v>
      </c>
      <c r="H64" s="2" t="str">
        <f>"1"</f>
        <v>1</v>
      </c>
      <c r="I64" s="1">
        <v>7180241.8200000003</v>
      </c>
    </row>
    <row r="65" spans="1:9" x14ac:dyDescent="0.25">
      <c r="A65" s="2">
        <v>64</v>
      </c>
      <c r="B65" s="3">
        <v>44834</v>
      </c>
      <c r="C65" s="2">
        <v>14</v>
      </c>
      <c r="D65" s="4" t="str">
        <f>"1401"</f>
        <v>1401</v>
      </c>
      <c r="E65" t="str">
        <f>"Займы овердрафт, предоставленные клиентам"</f>
        <v>Займы овердрафт, предоставленные клиентам</v>
      </c>
      <c r="F65" s="2" t="str">
        <f>"1"</f>
        <v>1</v>
      </c>
      <c r="G65" s="2" t="str">
        <f>"9"</f>
        <v>9</v>
      </c>
      <c r="H65" s="2" t="str">
        <f>"2"</f>
        <v>2</v>
      </c>
      <c r="I65" s="1">
        <v>475358022.20999998</v>
      </c>
    </row>
    <row r="66" spans="1:9" x14ac:dyDescent="0.25">
      <c r="A66" s="2">
        <v>65</v>
      </c>
      <c r="B66" s="3">
        <v>44834</v>
      </c>
      <c r="C66" s="2">
        <v>14</v>
      </c>
      <c r="D66" s="4" t="str">
        <f>"1401"</f>
        <v>1401</v>
      </c>
      <c r="E66" t="str">
        <f>"Займы овердрафт, предоставленные клиентам"</f>
        <v>Займы овердрафт, предоставленные клиентам</v>
      </c>
      <c r="F66" s="2" t="str">
        <f>"1"</f>
        <v>1</v>
      </c>
      <c r="G66" s="2" t="str">
        <f>"6"</f>
        <v>6</v>
      </c>
      <c r="H66" s="2" t="str">
        <f>"1"</f>
        <v>1</v>
      </c>
      <c r="I66" s="1">
        <v>80000000</v>
      </c>
    </row>
    <row r="67" spans="1:9" x14ac:dyDescent="0.25">
      <c r="A67" s="2">
        <v>66</v>
      </c>
      <c r="B67" s="3">
        <v>44834</v>
      </c>
      <c r="C67" s="2">
        <v>14</v>
      </c>
      <c r="D67" s="4" t="str">
        <f>"1401"</f>
        <v>1401</v>
      </c>
      <c r="E67" t="str">
        <f>"Займы овердрафт, предоставленные клиентам"</f>
        <v>Займы овердрафт, предоставленные клиентам</v>
      </c>
      <c r="F67" s="2" t="str">
        <f>"1"</f>
        <v>1</v>
      </c>
      <c r="G67" s="2" t="str">
        <f>"7"</f>
        <v>7</v>
      </c>
      <c r="H67" s="2" t="str">
        <f>"2"</f>
        <v>2</v>
      </c>
      <c r="I67" s="1">
        <v>29713.33</v>
      </c>
    </row>
    <row r="68" spans="1:9" x14ac:dyDescent="0.25">
      <c r="A68" s="2">
        <v>67</v>
      </c>
      <c r="B68" s="3">
        <v>44834</v>
      </c>
      <c r="C68" s="2">
        <v>14</v>
      </c>
      <c r="D68" s="4" t="str">
        <f>"1403"</f>
        <v>1403</v>
      </c>
      <c r="E68" t="str">
        <f>"Счета по кредитным карточкам клиентов"</f>
        <v>Счета по кредитным карточкам клиентов</v>
      </c>
      <c r="F68" s="2" t="str">
        <f>"1"</f>
        <v>1</v>
      </c>
      <c r="G68" s="2" t="str">
        <f>"9"</f>
        <v>9</v>
      </c>
      <c r="H68" s="2" t="str">
        <f>"1"</f>
        <v>1</v>
      </c>
      <c r="I68" s="1">
        <v>1646591674681.4199</v>
      </c>
    </row>
    <row r="69" spans="1:9" x14ac:dyDescent="0.25">
      <c r="A69" s="2">
        <v>68</v>
      </c>
      <c r="B69" s="3">
        <v>44834</v>
      </c>
      <c r="C69" s="2">
        <v>14</v>
      </c>
      <c r="D69" s="4" t="str">
        <f>"1403"</f>
        <v>1403</v>
      </c>
      <c r="E69" t="str">
        <f>"Счета по кредитным карточкам клиентов"</f>
        <v>Счета по кредитным карточкам клиентов</v>
      </c>
      <c r="F69" s="2" t="str">
        <f>"2"</f>
        <v>2</v>
      </c>
      <c r="G69" s="2" t="str">
        <f>"9"</f>
        <v>9</v>
      </c>
      <c r="H69" s="2" t="str">
        <f>"1"</f>
        <v>1</v>
      </c>
      <c r="I69" s="1">
        <v>65485607.460000001</v>
      </c>
    </row>
    <row r="70" spans="1:9" x14ac:dyDescent="0.25">
      <c r="A70" s="2">
        <v>69</v>
      </c>
      <c r="B70" s="3">
        <v>44834</v>
      </c>
      <c r="C70" s="2">
        <v>14</v>
      </c>
      <c r="D70" s="4" t="str">
        <f>"1403"</f>
        <v>1403</v>
      </c>
      <c r="E70" t="str">
        <f>"Счета по кредитным карточкам клиентов"</f>
        <v>Счета по кредитным карточкам клиентов</v>
      </c>
      <c r="F70" s="2" t="str">
        <f>"1"</f>
        <v>1</v>
      </c>
      <c r="G70" s="2" t="str">
        <f>"7"</f>
        <v>7</v>
      </c>
      <c r="H70" s="2" t="str">
        <f>"1"</f>
        <v>1</v>
      </c>
      <c r="I70" s="1">
        <v>187989365.13999999</v>
      </c>
    </row>
    <row r="71" spans="1:9" x14ac:dyDescent="0.25">
      <c r="A71" s="2">
        <v>70</v>
      </c>
      <c r="B71" s="3">
        <v>44834</v>
      </c>
      <c r="C71" s="2">
        <v>14</v>
      </c>
      <c r="D71" s="4" t="str">
        <f>"1403"</f>
        <v>1403</v>
      </c>
      <c r="E71" t="str">
        <f>"Счета по кредитным карточкам клиентов"</f>
        <v>Счета по кредитным карточкам клиентов</v>
      </c>
      <c r="F71" s="2" t="str">
        <f>"1"</f>
        <v>1</v>
      </c>
      <c r="G71" s="2" t="str">
        <f>"9"</f>
        <v>9</v>
      </c>
      <c r="H71" s="2" t="str">
        <f>"2"</f>
        <v>2</v>
      </c>
      <c r="I71" s="1">
        <v>161331558.13999999</v>
      </c>
    </row>
    <row r="72" spans="1:9" x14ac:dyDescent="0.25">
      <c r="A72" s="2">
        <v>71</v>
      </c>
      <c r="B72" s="3">
        <v>44834</v>
      </c>
      <c r="C72" s="2">
        <v>14</v>
      </c>
      <c r="D72" s="4" t="str">
        <f>"1411"</f>
        <v>1411</v>
      </c>
      <c r="E72" t="str">
        <f>"Краткосрочные займы, предоставленные клиентам"</f>
        <v>Краткосрочные займы, предоставленные клиентам</v>
      </c>
      <c r="F72" s="2" t="str">
        <f>"2"</f>
        <v>2</v>
      </c>
      <c r="G72" s="2" t="str">
        <f>"7"</f>
        <v>7</v>
      </c>
      <c r="H72" s="2" t="str">
        <f>"2"</f>
        <v>2</v>
      </c>
      <c r="I72" s="1">
        <v>5454568739.5799999</v>
      </c>
    </row>
    <row r="73" spans="1:9" x14ac:dyDescent="0.25">
      <c r="A73" s="2">
        <v>72</v>
      </c>
      <c r="B73" s="3">
        <v>44834</v>
      </c>
      <c r="C73" s="2">
        <v>14</v>
      </c>
      <c r="D73" s="4" t="str">
        <f>"1411"</f>
        <v>1411</v>
      </c>
      <c r="E73" t="str">
        <f>"Краткосрочные займы, предоставленные клиентам"</f>
        <v>Краткосрочные займы, предоставленные клиентам</v>
      </c>
      <c r="F73" s="2" t="str">
        <f>"1"</f>
        <v>1</v>
      </c>
      <c r="G73" s="2" t="str">
        <f>"7"</f>
        <v>7</v>
      </c>
      <c r="H73" s="2" t="str">
        <f>"2"</f>
        <v>2</v>
      </c>
      <c r="I73" s="1">
        <v>82619945190.649994</v>
      </c>
    </row>
    <row r="74" spans="1:9" x14ac:dyDescent="0.25">
      <c r="A74" s="2">
        <v>73</v>
      </c>
      <c r="B74" s="3">
        <v>44834</v>
      </c>
      <c r="C74" s="2">
        <v>14</v>
      </c>
      <c r="D74" s="4" t="str">
        <f>"1411"</f>
        <v>1411</v>
      </c>
      <c r="E74" t="str">
        <f>"Краткосрочные займы, предоставленные клиентам"</f>
        <v>Краткосрочные займы, предоставленные клиентам</v>
      </c>
      <c r="F74" s="2" t="str">
        <f>"1"</f>
        <v>1</v>
      </c>
      <c r="G74" s="2" t="str">
        <f>"7"</f>
        <v>7</v>
      </c>
      <c r="H74" s="2" t="str">
        <f>"3"</f>
        <v>3</v>
      </c>
      <c r="I74" s="1">
        <v>29909829822.150002</v>
      </c>
    </row>
    <row r="75" spans="1:9" x14ac:dyDescent="0.25">
      <c r="A75" s="2">
        <v>74</v>
      </c>
      <c r="B75" s="3">
        <v>44834</v>
      </c>
      <c r="C75" s="2">
        <v>14</v>
      </c>
      <c r="D75" s="4" t="str">
        <f>"1411"</f>
        <v>1411</v>
      </c>
      <c r="E75" t="str">
        <f>"Краткосрочные займы, предоставленные клиентам"</f>
        <v>Краткосрочные займы, предоставленные клиентам</v>
      </c>
      <c r="F75" s="2" t="str">
        <f>"1"</f>
        <v>1</v>
      </c>
      <c r="G75" s="2" t="str">
        <f>"7"</f>
        <v>7</v>
      </c>
      <c r="H75" s="2" t="str">
        <f>"1"</f>
        <v>1</v>
      </c>
      <c r="I75" s="1">
        <v>1354086676335.4199</v>
      </c>
    </row>
    <row r="76" spans="1:9" x14ac:dyDescent="0.25">
      <c r="A76" s="2">
        <v>75</v>
      </c>
      <c r="B76" s="3">
        <v>44834</v>
      </c>
      <c r="C76" s="2">
        <v>14</v>
      </c>
      <c r="D76" s="4" t="str">
        <f>"1411"</f>
        <v>1411</v>
      </c>
      <c r="E76" t="str">
        <f>"Краткосрочные займы, предоставленные клиентам"</f>
        <v>Краткосрочные займы, предоставленные клиентам</v>
      </c>
      <c r="F76" s="2" t="str">
        <f>"2"</f>
        <v>2</v>
      </c>
      <c r="G76" s="2" t="str">
        <f>"9"</f>
        <v>9</v>
      </c>
      <c r="H76" s="2" t="str">
        <f>"1"</f>
        <v>1</v>
      </c>
      <c r="I76" s="1">
        <v>2321104.13</v>
      </c>
    </row>
    <row r="77" spans="1:9" x14ac:dyDescent="0.25">
      <c r="A77" s="2">
        <v>76</v>
      </c>
      <c r="B77" s="3">
        <v>44834</v>
      </c>
      <c r="C77" s="2">
        <v>14</v>
      </c>
      <c r="D77" s="4" t="str">
        <f>"1411"</f>
        <v>1411</v>
      </c>
      <c r="E77" t="str">
        <f>"Краткосрочные займы, предоставленные клиентам"</f>
        <v>Краткосрочные займы, предоставленные клиентам</v>
      </c>
      <c r="F77" s="2" t="str">
        <f>"1"</f>
        <v>1</v>
      </c>
      <c r="G77" s="2" t="str">
        <f>"9"</f>
        <v>9</v>
      </c>
      <c r="H77" s="2" t="str">
        <f>"1"</f>
        <v>1</v>
      </c>
      <c r="I77" s="1">
        <v>42671622746.150002</v>
      </c>
    </row>
    <row r="78" spans="1:9" x14ac:dyDescent="0.25">
      <c r="A78" s="2">
        <v>77</v>
      </c>
      <c r="B78" s="3">
        <v>44834</v>
      </c>
      <c r="C78" s="2">
        <v>14</v>
      </c>
      <c r="D78" s="4" t="str">
        <f>"1411"</f>
        <v>1411</v>
      </c>
      <c r="E78" t="str">
        <f>"Краткосрочные займы, предоставленные клиентам"</f>
        <v>Краткосрочные займы, предоставленные клиентам</v>
      </c>
      <c r="F78" s="2" t="str">
        <f>"1"</f>
        <v>1</v>
      </c>
      <c r="G78" s="2" t="str">
        <f>"5"</f>
        <v>5</v>
      </c>
      <c r="H78" s="2" t="str">
        <f>"2"</f>
        <v>2</v>
      </c>
      <c r="I78" s="1">
        <v>4090171800</v>
      </c>
    </row>
    <row r="79" spans="1:9" x14ac:dyDescent="0.25">
      <c r="A79" s="2">
        <v>78</v>
      </c>
      <c r="B79" s="3">
        <v>44834</v>
      </c>
      <c r="C79" s="2">
        <v>14</v>
      </c>
      <c r="D79" s="4" t="str">
        <f>"1411"</f>
        <v>1411</v>
      </c>
      <c r="E79" t="str">
        <f>"Краткосрочные займы, предоставленные клиентам"</f>
        <v>Краткосрочные займы, предоставленные клиентам</v>
      </c>
      <c r="F79" s="2" t="str">
        <f>"1"</f>
        <v>1</v>
      </c>
      <c r="G79" s="2" t="str">
        <f>"6"</f>
        <v>6</v>
      </c>
      <c r="H79" s="2" t="str">
        <f>"1"</f>
        <v>1</v>
      </c>
      <c r="I79" s="1">
        <v>69580668312</v>
      </c>
    </row>
    <row r="80" spans="1:9" x14ac:dyDescent="0.25">
      <c r="A80" s="2">
        <v>79</v>
      </c>
      <c r="B80" s="3">
        <v>44834</v>
      </c>
      <c r="C80" s="2">
        <v>14</v>
      </c>
      <c r="D80" s="4" t="str">
        <f>"1417"</f>
        <v>1417</v>
      </c>
      <c r="E80" t="str">
        <f>"Долгосрочные займы, предоставленные клиентам"</f>
        <v>Долгосрочные займы, предоставленные клиентам</v>
      </c>
      <c r="F80" s="2" t="str">
        <f>"1"</f>
        <v>1</v>
      </c>
      <c r="G80" s="2" t="str">
        <f>"6"</f>
        <v>6</v>
      </c>
      <c r="H80" s="2" t="str">
        <f>"1"</f>
        <v>1</v>
      </c>
      <c r="I80" s="1">
        <v>56119085921.75</v>
      </c>
    </row>
    <row r="81" spans="1:9" x14ac:dyDescent="0.25">
      <c r="A81" s="2">
        <v>80</v>
      </c>
      <c r="B81" s="3">
        <v>44834</v>
      </c>
      <c r="C81" s="2">
        <v>14</v>
      </c>
      <c r="D81" s="4" t="str">
        <f>"1417"</f>
        <v>1417</v>
      </c>
      <c r="E81" t="str">
        <f>"Долгосрочные займы, предоставленные клиентам"</f>
        <v>Долгосрочные займы, предоставленные клиентам</v>
      </c>
      <c r="F81" s="2" t="str">
        <f>"2"</f>
        <v>2</v>
      </c>
      <c r="G81" s="2" t="str">
        <f>"9"</f>
        <v>9</v>
      </c>
      <c r="H81" s="2" t="str">
        <f>"1"</f>
        <v>1</v>
      </c>
      <c r="I81" s="1">
        <v>261295824.74000001</v>
      </c>
    </row>
    <row r="82" spans="1:9" x14ac:dyDescent="0.25">
      <c r="A82" s="2">
        <v>81</v>
      </c>
      <c r="B82" s="3">
        <v>44834</v>
      </c>
      <c r="C82" s="2">
        <v>14</v>
      </c>
      <c r="D82" s="4" t="str">
        <f>"1417"</f>
        <v>1417</v>
      </c>
      <c r="E82" t="str">
        <f>"Долгосрочные займы, предоставленные клиентам"</f>
        <v>Долгосрочные займы, предоставленные клиентам</v>
      </c>
      <c r="F82" s="2" t="str">
        <f>"1"</f>
        <v>1</v>
      </c>
      <c r="G82" s="2" t="str">
        <f>"5"</f>
        <v>5</v>
      </c>
      <c r="H82" s="2" t="str">
        <f>"1"</f>
        <v>1</v>
      </c>
      <c r="I82" s="1">
        <v>222716798797.89999</v>
      </c>
    </row>
    <row r="83" spans="1:9" x14ac:dyDescent="0.25">
      <c r="A83" s="2">
        <v>82</v>
      </c>
      <c r="B83" s="3">
        <v>44834</v>
      </c>
      <c r="C83" s="2">
        <v>14</v>
      </c>
      <c r="D83" s="4" t="str">
        <f>"1417"</f>
        <v>1417</v>
      </c>
      <c r="E83" t="str">
        <f>"Долгосрочные займы, предоставленные клиентам"</f>
        <v>Долгосрочные займы, предоставленные клиентам</v>
      </c>
      <c r="F83" s="2" t="str">
        <f>"1"</f>
        <v>1</v>
      </c>
      <c r="G83" s="2" t="str">
        <f>"7"</f>
        <v>7</v>
      </c>
      <c r="H83" s="2" t="str">
        <f>"2"</f>
        <v>2</v>
      </c>
      <c r="I83" s="1">
        <v>669806740121.87</v>
      </c>
    </row>
    <row r="84" spans="1:9" x14ac:dyDescent="0.25">
      <c r="A84" s="2">
        <v>83</v>
      </c>
      <c r="B84" s="3">
        <v>44834</v>
      </c>
      <c r="C84" s="2">
        <v>14</v>
      </c>
      <c r="D84" s="4" t="str">
        <f>"1417"</f>
        <v>1417</v>
      </c>
      <c r="E84" t="str">
        <f>"Долгосрочные займы, предоставленные клиентам"</f>
        <v>Долгосрочные займы, предоставленные клиентам</v>
      </c>
      <c r="F84" s="2" t="str">
        <f>"1"</f>
        <v>1</v>
      </c>
      <c r="G84" s="2" t="str">
        <f>"7"</f>
        <v>7</v>
      </c>
      <c r="H84" s="2" t="str">
        <f>"3"</f>
        <v>3</v>
      </c>
      <c r="I84" s="1">
        <v>4839657710.5799999</v>
      </c>
    </row>
    <row r="85" spans="1:9" x14ac:dyDescent="0.25">
      <c r="A85" s="2">
        <v>84</v>
      </c>
      <c r="B85" s="3">
        <v>44834</v>
      </c>
      <c r="C85" s="2">
        <v>14</v>
      </c>
      <c r="D85" s="4" t="str">
        <f>"1417"</f>
        <v>1417</v>
      </c>
      <c r="E85" t="str">
        <f>"Долгосрочные займы, предоставленные клиентам"</f>
        <v>Долгосрочные займы, предоставленные клиентам</v>
      </c>
      <c r="F85" s="2" t="str">
        <f>"1"</f>
        <v>1</v>
      </c>
      <c r="G85" s="2" t="str">
        <f>"7"</f>
        <v>7</v>
      </c>
      <c r="H85" s="2" t="str">
        <f>"1"</f>
        <v>1</v>
      </c>
      <c r="I85" s="1">
        <v>2043785148832.6399</v>
      </c>
    </row>
    <row r="86" spans="1:9" x14ac:dyDescent="0.25">
      <c r="A86" s="2">
        <v>85</v>
      </c>
      <c r="B86" s="3">
        <v>44834</v>
      </c>
      <c r="C86" s="2">
        <v>14</v>
      </c>
      <c r="D86" s="4" t="str">
        <f>"1417"</f>
        <v>1417</v>
      </c>
      <c r="E86" t="str">
        <f>"Долгосрочные займы, предоставленные клиентам"</f>
        <v>Долгосрочные займы, предоставленные клиентам</v>
      </c>
      <c r="F86" s="2" t="str">
        <f>"2"</f>
        <v>2</v>
      </c>
      <c r="G86" s="2" t="str">
        <f>"7"</f>
        <v>7</v>
      </c>
      <c r="H86" s="2" t="str">
        <f>"2"</f>
        <v>2</v>
      </c>
      <c r="I86" s="1">
        <v>216160038400.63</v>
      </c>
    </row>
    <row r="87" spans="1:9" x14ac:dyDescent="0.25">
      <c r="A87" s="2">
        <v>86</v>
      </c>
      <c r="B87" s="3">
        <v>44834</v>
      </c>
      <c r="C87" s="2">
        <v>14</v>
      </c>
      <c r="D87" s="4" t="str">
        <f>"1417"</f>
        <v>1417</v>
      </c>
      <c r="E87" t="str">
        <f>"Долгосрочные займы, предоставленные клиентам"</f>
        <v>Долгосрочные займы, предоставленные клиентам</v>
      </c>
      <c r="F87" s="2" t="str">
        <f>"2"</f>
        <v>2</v>
      </c>
      <c r="G87" s="2" t="str">
        <f>"7"</f>
        <v>7</v>
      </c>
      <c r="H87" s="2" t="str">
        <f>"3"</f>
        <v>3</v>
      </c>
      <c r="I87" s="1">
        <v>35757633064.699997</v>
      </c>
    </row>
    <row r="88" spans="1:9" x14ac:dyDescent="0.25">
      <c r="A88" s="2">
        <v>87</v>
      </c>
      <c r="B88" s="3">
        <v>44834</v>
      </c>
      <c r="C88" s="2">
        <v>14</v>
      </c>
      <c r="D88" s="4" t="str">
        <f>"1417"</f>
        <v>1417</v>
      </c>
      <c r="E88" t="str">
        <f>"Долгосрочные займы, предоставленные клиентам"</f>
        <v>Долгосрочные займы, предоставленные клиентам</v>
      </c>
      <c r="F88" s="2" t="str">
        <f>"1"</f>
        <v>1</v>
      </c>
      <c r="G88" s="2" t="str">
        <f>"9"</f>
        <v>9</v>
      </c>
      <c r="H88" s="2" t="str">
        <f>"1"</f>
        <v>1</v>
      </c>
      <c r="I88" s="1">
        <v>922188534896.04004</v>
      </c>
    </row>
    <row r="89" spans="1:9" x14ac:dyDescent="0.25">
      <c r="A89" s="2">
        <v>88</v>
      </c>
      <c r="B89" s="3">
        <v>44834</v>
      </c>
      <c r="C89" s="2">
        <v>14</v>
      </c>
      <c r="D89" s="4" t="str">
        <f>"1417"</f>
        <v>1417</v>
      </c>
      <c r="E89" t="str">
        <f>"Долгосрочные займы, предоставленные клиентам"</f>
        <v>Долгосрочные займы, предоставленные клиентам</v>
      </c>
      <c r="F89" s="2" t="str">
        <f>"1"</f>
        <v>1</v>
      </c>
      <c r="G89" s="2" t="str">
        <f>"8"</f>
        <v>8</v>
      </c>
      <c r="H89" s="2" t="str">
        <f>"1"</f>
        <v>1</v>
      </c>
      <c r="I89" s="1">
        <v>736903884.85000002</v>
      </c>
    </row>
    <row r="90" spans="1:9" x14ac:dyDescent="0.25">
      <c r="A90" s="2">
        <v>89</v>
      </c>
      <c r="B90" s="3">
        <v>44834</v>
      </c>
      <c r="C90" s="2">
        <v>14</v>
      </c>
      <c r="D90" s="4" t="str">
        <f>"1417"</f>
        <v>1417</v>
      </c>
      <c r="E90" t="str">
        <f>"Долгосрочные займы, предоставленные клиентам"</f>
        <v>Долгосрочные займы, предоставленные клиентам</v>
      </c>
      <c r="F90" s="2" t="str">
        <f>"1"</f>
        <v>1</v>
      </c>
      <c r="G90" s="2" t="str">
        <f>"5"</f>
        <v>5</v>
      </c>
      <c r="H90" s="2" t="str">
        <f>"2"</f>
        <v>2</v>
      </c>
      <c r="I90" s="1">
        <v>9343516000</v>
      </c>
    </row>
    <row r="91" spans="1:9" x14ac:dyDescent="0.25">
      <c r="A91" s="2">
        <v>90</v>
      </c>
      <c r="B91" s="3">
        <v>44834</v>
      </c>
      <c r="C91" s="2">
        <v>14</v>
      </c>
      <c r="D91" s="4" t="str">
        <f>"1417"</f>
        <v>1417</v>
      </c>
      <c r="E91" t="str">
        <f>"Долгосрочные займы, предоставленные клиентам"</f>
        <v>Долгосрочные займы, предоставленные клиентам</v>
      </c>
      <c r="F91" s="2" t="str">
        <f>"2"</f>
        <v>2</v>
      </c>
      <c r="G91" s="2" t="str">
        <f>"7"</f>
        <v>7</v>
      </c>
      <c r="H91" s="2" t="str">
        <f>"1"</f>
        <v>1</v>
      </c>
      <c r="I91" s="1">
        <v>13526804264.530001</v>
      </c>
    </row>
    <row r="92" spans="1:9" x14ac:dyDescent="0.25">
      <c r="A92" s="2">
        <v>91</v>
      </c>
      <c r="B92" s="3">
        <v>44834</v>
      </c>
      <c r="C92" s="2">
        <v>14</v>
      </c>
      <c r="D92" s="4" t="str">
        <f>"1417"</f>
        <v>1417</v>
      </c>
      <c r="E92" t="str">
        <f>"Долгосрочные займы, предоставленные клиентам"</f>
        <v>Долгосрочные займы, предоставленные клиентам</v>
      </c>
      <c r="F92" s="2" t="str">
        <f>"1"</f>
        <v>1</v>
      </c>
      <c r="G92" s="2" t="str">
        <f>"9"</f>
        <v>9</v>
      </c>
      <c r="H92" s="2" t="str">
        <f>"2"</f>
        <v>2</v>
      </c>
      <c r="I92" s="1">
        <v>255158617.53</v>
      </c>
    </row>
    <row r="93" spans="1:9" x14ac:dyDescent="0.25">
      <c r="A93" s="2">
        <v>92</v>
      </c>
      <c r="B93" s="3">
        <v>44834</v>
      </c>
      <c r="C93" s="2">
        <v>14</v>
      </c>
      <c r="D93" s="4" t="str">
        <f>"1421"</f>
        <v>1421</v>
      </c>
      <c r="E93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93" s="2" t="str">
        <f>"1"</f>
        <v>1</v>
      </c>
      <c r="G93" s="2" t="str">
        <f>"7"</f>
        <v>7</v>
      </c>
      <c r="H93" s="2" t="str">
        <f>"1"</f>
        <v>1</v>
      </c>
      <c r="I93" s="1">
        <v>51814685.399999999</v>
      </c>
    </row>
    <row r="94" spans="1:9" x14ac:dyDescent="0.25">
      <c r="A94" s="2">
        <v>93</v>
      </c>
      <c r="B94" s="3">
        <v>44834</v>
      </c>
      <c r="C94" s="2">
        <v>14</v>
      </c>
      <c r="D94" s="4" t="str">
        <f>"1424"</f>
        <v>1424</v>
      </c>
      <c r="E94" t="str">
        <f>"Просроченная задолженность клиентов по займам"</f>
        <v>Просроченная задолженность клиентов по займам</v>
      </c>
      <c r="F94" s="2" t="str">
        <f>"2"</f>
        <v>2</v>
      </c>
      <c r="G94" s="2" t="str">
        <f>"7"</f>
        <v>7</v>
      </c>
      <c r="H94" s="2" t="str">
        <f>"3"</f>
        <v>3</v>
      </c>
      <c r="I94" s="1">
        <v>11214341076.139999</v>
      </c>
    </row>
    <row r="95" spans="1:9" x14ac:dyDescent="0.25">
      <c r="A95" s="2">
        <v>94</v>
      </c>
      <c r="B95" s="3">
        <v>44834</v>
      </c>
      <c r="C95" s="2">
        <v>14</v>
      </c>
      <c r="D95" s="4" t="str">
        <f>"1424"</f>
        <v>1424</v>
      </c>
      <c r="E95" t="str">
        <f>"Просроченная задолженность клиентов по займам"</f>
        <v>Просроченная задолженность клиентов по займам</v>
      </c>
      <c r="F95" s="2" t="str">
        <f>"1"</f>
        <v>1</v>
      </c>
      <c r="G95" s="2" t="str">
        <f>"9"</f>
        <v>9</v>
      </c>
      <c r="H95" s="2" t="str">
        <f>"1"</f>
        <v>1</v>
      </c>
      <c r="I95" s="1">
        <v>53260931942.199997</v>
      </c>
    </row>
    <row r="96" spans="1:9" x14ac:dyDescent="0.25">
      <c r="A96" s="2">
        <v>95</v>
      </c>
      <c r="B96" s="3">
        <v>44834</v>
      </c>
      <c r="C96" s="2">
        <v>14</v>
      </c>
      <c r="D96" s="4" t="str">
        <f>"1424"</f>
        <v>1424</v>
      </c>
      <c r="E96" t="str">
        <f>"Просроченная задолженность клиентов по займам"</f>
        <v>Просроченная задолженность клиентов по займам</v>
      </c>
      <c r="F96" s="2" t="str">
        <f>"2"</f>
        <v>2</v>
      </c>
      <c r="G96" s="2" t="str">
        <f>"9"</f>
        <v>9</v>
      </c>
      <c r="H96" s="2" t="str">
        <f>"2"</f>
        <v>2</v>
      </c>
      <c r="I96" s="1">
        <v>16711989.09</v>
      </c>
    </row>
    <row r="97" spans="1:9" x14ac:dyDescent="0.25">
      <c r="A97" s="2">
        <v>96</v>
      </c>
      <c r="B97" s="3">
        <v>44834</v>
      </c>
      <c r="C97" s="2">
        <v>14</v>
      </c>
      <c r="D97" s="4" t="str">
        <f>"1424"</f>
        <v>1424</v>
      </c>
      <c r="E97" t="str">
        <f>"Просроченная задолженность клиентов по займам"</f>
        <v>Просроченная задолженность клиентов по займам</v>
      </c>
      <c r="F97" s="2" t="str">
        <f>"2"</f>
        <v>2</v>
      </c>
      <c r="G97" s="2" t="str">
        <f>"9"</f>
        <v>9</v>
      </c>
      <c r="H97" s="2" t="str">
        <f>"1"</f>
        <v>1</v>
      </c>
      <c r="I97" s="1">
        <v>34757834.280000001</v>
      </c>
    </row>
    <row r="98" spans="1:9" x14ac:dyDescent="0.25">
      <c r="A98" s="2">
        <v>97</v>
      </c>
      <c r="B98" s="3">
        <v>44834</v>
      </c>
      <c r="C98" s="2">
        <v>14</v>
      </c>
      <c r="D98" s="4" t="str">
        <f>"1424"</f>
        <v>1424</v>
      </c>
      <c r="E98" t="str">
        <f>"Просроченная задолженность клиентов по займам"</f>
        <v>Просроченная задолженность клиентов по займам</v>
      </c>
      <c r="F98" s="2" t="str">
        <f>"1"</f>
        <v>1</v>
      </c>
      <c r="G98" s="2" t="str">
        <f>"5"</f>
        <v>5</v>
      </c>
      <c r="H98" s="2" t="str">
        <f>"1"</f>
        <v>1</v>
      </c>
      <c r="I98" s="1">
        <v>31999188.620000001</v>
      </c>
    </row>
    <row r="99" spans="1:9" x14ac:dyDescent="0.25">
      <c r="A99" s="2">
        <v>98</v>
      </c>
      <c r="B99" s="3">
        <v>44834</v>
      </c>
      <c r="C99" s="2">
        <v>14</v>
      </c>
      <c r="D99" s="4" t="str">
        <f>"1424"</f>
        <v>1424</v>
      </c>
      <c r="E99" t="str">
        <f>"Просроченная задолженность клиентов по займам"</f>
        <v>Просроченная задолженность клиентов по займам</v>
      </c>
      <c r="F99" s="2" t="str">
        <f>"1"</f>
        <v>1</v>
      </c>
      <c r="G99" s="2" t="str">
        <f>"7"</f>
        <v>7</v>
      </c>
      <c r="H99" s="2" t="str">
        <f>"2"</f>
        <v>2</v>
      </c>
      <c r="I99" s="1">
        <v>481958246.77999997</v>
      </c>
    </row>
    <row r="100" spans="1:9" x14ac:dyDescent="0.25">
      <c r="A100" s="2">
        <v>99</v>
      </c>
      <c r="B100" s="3">
        <v>44834</v>
      </c>
      <c r="C100" s="2">
        <v>14</v>
      </c>
      <c r="D100" s="4" t="str">
        <f>"1424"</f>
        <v>1424</v>
      </c>
      <c r="E100" t="str">
        <f>"Просроченная задолженность клиентов по займам"</f>
        <v>Просроченная задолженность клиентов по займам</v>
      </c>
      <c r="F100" s="2" t="str">
        <f>"1"</f>
        <v>1</v>
      </c>
      <c r="G100" s="2" t="str">
        <f>"9"</f>
        <v>9</v>
      </c>
      <c r="H100" s="2" t="str">
        <f>"2"</f>
        <v>2</v>
      </c>
      <c r="I100" s="1">
        <v>1976456243.4000001</v>
      </c>
    </row>
    <row r="101" spans="1:9" x14ac:dyDescent="0.25">
      <c r="A101" s="2">
        <v>100</v>
      </c>
      <c r="B101" s="3">
        <v>44834</v>
      </c>
      <c r="C101" s="2">
        <v>14</v>
      </c>
      <c r="D101" s="4" t="str">
        <f>"1424"</f>
        <v>1424</v>
      </c>
      <c r="E101" t="str">
        <f>"Просроченная задолженность клиентов по займам"</f>
        <v>Просроченная задолженность клиентов по займам</v>
      </c>
      <c r="F101" s="2" t="str">
        <f>"2"</f>
        <v>2</v>
      </c>
      <c r="G101" s="2" t="str">
        <f>"7"</f>
        <v>7</v>
      </c>
      <c r="H101" s="2" t="str">
        <f>"2"</f>
        <v>2</v>
      </c>
      <c r="I101" s="1">
        <v>9531036275.9500008</v>
      </c>
    </row>
    <row r="102" spans="1:9" x14ac:dyDescent="0.25">
      <c r="A102" s="2">
        <v>101</v>
      </c>
      <c r="B102" s="3">
        <v>44834</v>
      </c>
      <c r="C102" s="2">
        <v>14</v>
      </c>
      <c r="D102" s="4" t="str">
        <f>"1424"</f>
        <v>1424</v>
      </c>
      <c r="E102" t="str">
        <f>"Просроченная задолженность клиентов по займам"</f>
        <v>Просроченная задолженность клиентов по займам</v>
      </c>
      <c r="F102" s="2" t="str">
        <f>"1"</f>
        <v>1</v>
      </c>
      <c r="G102" s="2" t="str">
        <f>"7"</f>
        <v>7</v>
      </c>
      <c r="H102" s="2" t="str">
        <f>"1"</f>
        <v>1</v>
      </c>
      <c r="I102" s="1">
        <v>45428625381.449997</v>
      </c>
    </row>
    <row r="103" spans="1:9" x14ac:dyDescent="0.25">
      <c r="A103" s="2">
        <v>102</v>
      </c>
      <c r="B103" s="3">
        <v>44834</v>
      </c>
      <c r="C103" s="2">
        <v>14</v>
      </c>
      <c r="D103" s="4" t="str">
        <f>"1428"</f>
        <v>1428</v>
      </c>
      <c r="E10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03" s="2" t="str">
        <f>"1"</f>
        <v>1</v>
      </c>
      <c r="G103" s="2" t="str">
        <f>"9"</f>
        <v>9</v>
      </c>
      <c r="H103" s="2" t="str">
        <f>"1"</f>
        <v>1</v>
      </c>
      <c r="I103" s="1">
        <v>-185959369357.16</v>
      </c>
    </row>
    <row r="104" spans="1:9" x14ac:dyDescent="0.25">
      <c r="A104" s="2">
        <v>103</v>
      </c>
      <c r="B104" s="3">
        <v>44834</v>
      </c>
      <c r="C104" s="2">
        <v>14</v>
      </c>
      <c r="D104" s="4" t="str">
        <f>"1428"</f>
        <v>1428</v>
      </c>
      <c r="E10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04" s="2" t="str">
        <f>"1"</f>
        <v>1</v>
      </c>
      <c r="G104" s="2" t="str">
        <f>"8"</f>
        <v>8</v>
      </c>
      <c r="H104" s="2" t="str">
        <f>"1"</f>
        <v>1</v>
      </c>
      <c r="I104" s="1">
        <v>-285042.78000000003</v>
      </c>
    </row>
    <row r="105" spans="1:9" x14ac:dyDescent="0.25">
      <c r="A105" s="2">
        <v>104</v>
      </c>
      <c r="B105" s="3">
        <v>44834</v>
      </c>
      <c r="C105" s="2">
        <v>14</v>
      </c>
      <c r="D105" s="4" t="str">
        <f>"1428"</f>
        <v>1428</v>
      </c>
      <c r="E10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05" s="2" t="str">
        <f>"2"</f>
        <v>2</v>
      </c>
      <c r="G105" s="2" t="str">
        <f>"9"</f>
        <v>9</v>
      </c>
      <c r="H105" s="2" t="str">
        <f>"1"</f>
        <v>1</v>
      </c>
      <c r="I105" s="1">
        <v>-43128297.299999997</v>
      </c>
    </row>
    <row r="106" spans="1:9" x14ac:dyDescent="0.25">
      <c r="A106" s="2">
        <v>105</v>
      </c>
      <c r="B106" s="3">
        <v>44834</v>
      </c>
      <c r="C106" s="2">
        <v>14</v>
      </c>
      <c r="D106" s="4" t="str">
        <f>"1428"</f>
        <v>1428</v>
      </c>
      <c r="E10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06" s="2" t="str">
        <f>"1"</f>
        <v>1</v>
      </c>
      <c r="G106" s="2" t="str">
        <f>"7"</f>
        <v>7</v>
      </c>
      <c r="H106" s="2" t="str">
        <f>"2"</f>
        <v>2</v>
      </c>
      <c r="I106" s="1">
        <v>-11185287158.15</v>
      </c>
    </row>
    <row r="107" spans="1:9" x14ac:dyDescent="0.25">
      <c r="A107" s="2">
        <v>106</v>
      </c>
      <c r="B107" s="3">
        <v>44834</v>
      </c>
      <c r="C107" s="2">
        <v>14</v>
      </c>
      <c r="D107" s="4" t="str">
        <f>"1428"</f>
        <v>1428</v>
      </c>
      <c r="E10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07" s="2" t="str">
        <f>"1"</f>
        <v>1</v>
      </c>
      <c r="G107" s="2" t="str">
        <f>"5"</f>
        <v>5</v>
      </c>
      <c r="H107" s="2" t="str">
        <f>"2"</f>
        <v>2</v>
      </c>
      <c r="I107" s="1">
        <v>-4087063.64</v>
      </c>
    </row>
    <row r="108" spans="1:9" x14ac:dyDescent="0.25">
      <c r="A108" s="2">
        <v>107</v>
      </c>
      <c r="B108" s="3">
        <v>44834</v>
      </c>
      <c r="C108" s="2">
        <v>14</v>
      </c>
      <c r="D108" s="4" t="str">
        <f>"1428"</f>
        <v>1428</v>
      </c>
      <c r="E108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08" s="2" t="str">
        <f>"1"</f>
        <v>1</v>
      </c>
      <c r="G108" s="2" t="str">
        <f>"7"</f>
        <v>7</v>
      </c>
      <c r="H108" s="2" t="str">
        <f>"3"</f>
        <v>3</v>
      </c>
      <c r="I108" s="1">
        <v>-90003817.709999993</v>
      </c>
    </row>
    <row r="109" spans="1:9" x14ac:dyDescent="0.25">
      <c r="A109" s="2">
        <v>108</v>
      </c>
      <c r="B109" s="3">
        <v>44834</v>
      </c>
      <c r="C109" s="2">
        <v>14</v>
      </c>
      <c r="D109" s="4" t="str">
        <f>"1428"</f>
        <v>1428</v>
      </c>
      <c r="E10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09" s="2" t="str">
        <f>"1"</f>
        <v>1</v>
      </c>
      <c r="G109" s="2" t="str">
        <f>"9"</f>
        <v>9</v>
      </c>
      <c r="H109" s="2" t="str">
        <f>"2"</f>
        <v>2</v>
      </c>
      <c r="I109" s="1">
        <v>-2506074693.46</v>
      </c>
    </row>
    <row r="110" spans="1:9" x14ac:dyDescent="0.25">
      <c r="A110" s="2">
        <v>109</v>
      </c>
      <c r="B110" s="3">
        <v>44834</v>
      </c>
      <c r="C110" s="2">
        <v>14</v>
      </c>
      <c r="D110" s="4" t="str">
        <f>"1428"</f>
        <v>1428</v>
      </c>
      <c r="E11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0" s="2" t="str">
        <f>"1"</f>
        <v>1</v>
      </c>
      <c r="G110" s="2" t="str">
        <f>"7"</f>
        <v>7</v>
      </c>
      <c r="H110" s="2" t="str">
        <f>"1"</f>
        <v>1</v>
      </c>
      <c r="I110" s="1">
        <v>-159673661734.94</v>
      </c>
    </row>
    <row r="111" spans="1:9" x14ac:dyDescent="0.25">
      <c r="A111" s="2">
        <v>110</v>
      </c>
      <c r="B111" s="3">
        <v>44834</v>
      </c>
      <c r="C111" s="2">
        <v>14</v>
      </c>
      <c r="D111" s="4" t="str">
        <f>"1428"</f>
        <v>1428</v>
      </c>
      <c r="E11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1" s="2" t="str">
        <f>"1"</f>
        <v>1</v>
      </c>
      <c r="G111" s="2" t="str">
        <f>"6"</f>
        <v>6</v>
      </c>
      <c r="H111" s="2" t="str">
        <f>"1"</f>
        <v>1</v>
      </c>
      <c r="I111" s="1">
        <v>-17217093938.970001</v>
      </c>
    </row>
    <row r="112" spans="1:9" x14ac:dyDescent="0.25">
      <c r="A112" s="2">
        <v>111</v>
      </c>
      <c r="B112" s="3">
        <v>44834</v>
      </c>
      <c r="C112" s="2">
        <v>14</v>
      </c>
      <c r="D112" s="4" t="str">
        <f>"1428"</f>
        <v>1428</v>
      </c>
      <c r="E11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2" s="2" t="str">
        <f>"2"</f>
        <v>2</v>
      </c>
      <c r="G112" s="2" t="str">
        <f>"7"</f>
        <v>7</v>
      </c>
      <c r="H112" s="2" t="str">
        <f>"1"</f>
        <v>1</v>
      </c>
      <c r="I112" s="1">
        <v>-17334152924.040001</v>
      </c>
    </row>
    <row r="113" spans="1:9" x14ac:dyDescent="0.25">
      <c r="A113" s="2">
        <v>112</v>
      </c>
      <c r="B113" s="3">
        <v>44834</v>
      </c>
      <c r="C113" s="2">
        <v>14</v>
      </c>
      <c r="D113" s="4" t="str">
        <f>"1428"</f>
        <v>1428</v>
      </c>
      <c r="E11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3" s="2" t="str">
        <f>"2"</f>
        <v>2</v>
      </c>
      <c r="G113" s="2" t="str">
        <f>"7"</f>
        <v>7</v>
      </c>
      <c r="H113" s="2" t="str">
        <f>"2"</f>
        <v>2</v>
      </c>
      <c r="I113" s="1">
        <v>-27946287533.950001</v>
      </c>
    </row>
    <row r="114" spans="1:9" x14ac:dyDescent="0.25">
      <c r="A114" s="2">
        <v>113</v>
      </c>
      <c r="B114" s="3">
        <v>44834</v>
      </c>
      <c r="C114" s="2">
        <v>14</v>
      </c>
      <c r="D114" s="4" t="str">
        <f>"1428"</f>
        <v>1428</v>
      </c>
      <c r="E11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4" s="2" t="str">
        <f>"2"</f>
        <v>2</v>
      </c>
      <c r="G114" s="2" t="str">
        <f>"9"</f>
        <v>9</v>
      </c>
      <c r="H114" s="2" t="str">
        <f>"2"</f>
        <v>2</v>
      </c>
      <c r="I114" s="1">
        <v>-6144553.54</v>
      </c>
    </row>
    <row r="115" spans="1:9" x14ac:dyDescent="0.25">
      <c r="A115" s="2">
        <v>114</v>
      </c>
      <c r="B115" s="3">
        <v>44834</v>
      </c>
      <c r="C115" s="2">
        <v>14</v>
      </c>
      <c r="D115" s="4" t="str">
        <f>"1428"</f>
        <v>1428</v>
      </c>
      <c r="E11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5" s="2" t="str">
        <f>"2"</f>
        <v>2</v>
      </c>
      <c r="G115" s="2" t="str">
        <f>"7"</f>
        <v>7</v>
      </c>
      <c r="H115" s="2" t="str">
        <f>"3"</f>
        <v>3</v>
      </c>
      <c r="I115" s="1">
        <v>-15842410454.57</v>
      </c>
    </row>
    <row r="116" spans="1:9" x14ac:dyDescent="0.25">
      <c r="A116" s="2">
        <v>115</v>
      </c>
      <c r="B116" s="3">
        <v>44834</v>
      </c>
      <c r="C116" s="2">
        <v>14</v>
      </c>
      <c r="D116" s="4" t="str">
        <f>"1428"</f>
        <v>1428</v>
      </c>
      <c r="E11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6" s="2" t="str">
        <f>"1"</f>
        <v>1</v>
      </c>
      <c r="G116" s="2" t="str">
        <f>"5"</f>
        <v>5</v>
      </c>
      <c r="H116" s="2" t="str">
        <f>"1"</f>
        <v>1</v>
      </c>
      <c r="I116" s="1">
        <v>-167156681.86000001</v>
      </c>
    </row>
    <row r="117" spans="1:9" x14ac:dyDescent="0.25">
      <c r="A117" s="2">
        <v>116</v>
      </c>
      <c r="B117" s="3">
        <v>44834</v>
      </c>
      <c r="C117" s="2">
        <v>14</v>
      </c>
      <c r="D117" s="4" t="str">
        <f>"1434"</f>
        <v>1434</v>
      </c>
      <c r="E117" t="str">
        <f>"Дисконт по займам, предоставленным клиентам"</f>
        <v>Дисконт по займам, предоставленным клиентам</v>
      </c>
      <c r="F117" s="2" t="str">
        <f>"2"</f>
        <v>2</v>
      </c>
      <c r="G117" s="2" t="str">
        <f>"9"</f>
        <v>9</v>
      </c>
      <c r="H117" s="2" t="str">
        <f>"1"</f>
        <v>1</v>
      </c>
      <c r="I117" s="1">
        <v>-13173400.24</v>
      </c>
    </row>
    <row r="118" spans="1:9" x14ac:dyDescent="0.25">
      <c r="A118" s="2">
        <v>117</v>
      </c>
      <c r="B118" s="3">
        <v>44834</v>
      </c>
      <c r="C118" s="2">
        <v>14</v>
      </c>
      <c r="D118" s="4" t="str">
        <f>"1434"</f>
        <v>1434</v>
      </c>
      <c r="E118" t="str">
        <f>"Дисконт по займам, предоставленным клиентам"</f>
        <v>Дисконт по займам, предоставленным клиентам</v>
      </c>
      <c r="F118" s="2" t="str">
        <f>"1"</f>
        <v>1</v>
      </c>
      <c r="G118" s="2" t="str">
        <f>"7"</f>
        <v>7</v>
      </c>
      <c r="H118" s="2" t="str">
        <f>"3"</f>
        <v>3</v>
      </c>
      <c r="I118" s="1">
        <v>-697788627.63</v>
      </c>
    </row>
    <row r="119" spans="1:9" x14ac:dyDescent="0.25">
      <c r="A119" s="2">
        <v>118</v>
      </c>
      <c r="B119" s="3">
        <v>44834</v>
      </c>
      <c r="C119" s="2">
        <v>14</v>
      </c>
      <c r="D119" s="4" t="str">
        <f>"1434"</f>
        <v>1434</v>
      </c>
      <c r="E119" t="str">
        <f>"Дисконт по займам, предоставленным клиентам"</f>
        <v>Дисконт по займам, предоставленным клиентам</v>
      </c>
      <c r="F119" s="2" t="str">
        <f>"1"</f>
        <v>1</v>
      </c>
      <c r="G119" s="2" t="str">
        <f>"6"</f>
        <v>6</v>
      </c>
      <c r="H119" s="2" t="str">
        <f>"1"</f>
        <v>1</v>
      </c>
      <c r="I119" s="1">
        <v>-4307221571.1899996</v>
      </c>
    </row>
    <row r="120" spans="1:9" x14ac:dyDescent="0.25">
      <c r="A120" s="2">
        <v>119</v>
      </c>
      <c r="B120" s="3">
        <v>44834</v>
      </c>
      <c r="C120" s="2">
        <v>14</v>
      </c>
      <c r="D120" s="4" t="str">
        <f>"1434"</f>
        <v>1434</v>
      </c>
      <c r="E120" t="str">
        <f>"Дисконт по займам, предоставленным клиентам"</f>
        <v>Дисконт по займам, предоставленным клиентам</v>
      </c>
      <c r="F120" s="2" t="str">
        <f>"1"</f>
        <v>1</v>
      </c>
      <c r="G120" s="2" t="str">
        <f>"7"</f>
        <v>7</v>
      </c>
      <c r="H120" s="2" t="str">
        <f>"2"</f>
        <v>2</v>
      </c>
      <c r="I120" s="1">
        <v>500686469.80000001</v>
      </c>
    </row>
    <row r="121" spans="1:9" x14ac:dyDescent="0.25">
      <c r="A121" s="2">
        <v>120</v>
      </c>
      <c r="B121" s="3">
        <v>44834</v>
      </c>
      <c r="C121" s="2">
        <v>14</v>
      </c>
      <c r="D121" s="4" t="str">
        <f>"1434"</f>
        <v>1434</v>
      </c>
      <c r="E121" t="str">
        <f>"Дисконт по займам, предоставленным клиентам"</f>
        <v>Дисконт по займам, предоставленным клиентам</v>
      </c>
      <c r="F121" s="2" t="str">
        <f>"1"</f>
        <v>1</v>
      </c>
      <c r="G121" s="2" t="str">
        <f>"5"</f>
        <v>5</v>
      </c>
      <c r="H121" s="2" t="str">
        <f>"2"</f>
        <v>2</v>
      </c>
      <c r="I121" s="1">
        <v>-351702.34</v>
      </c>
    </row>
    <row r="122" spans="1:9" x14ac:dyDescent="0.25">
      <c r="A122" s="2">
        <v>121</v>
      </c>
      <c r="B122" s="3">
        <v>44834</v>
      </c>
      <c r="C122" s="2">
        <v>14</v>
      </c>
      <c r="D122" s="4" t="str">
        <f>"1434"</f>
        <v>1434</v>
      </c>
      <c r="E122" t="str">
        <f>"Дисконт по займам, предоставленным клиентам"</f>
        <v>Дисконт по займам, предоставленным клиентам</v>
      </c>
      <c r="F122" s="2" t="str">
        <f>"1"</f>
        <v>1</v>
      </c>
      <c r="G122" s="2" t="str">
        <f>"9"</f>
        <v>9</v>
      </c>
      <c r="H122" s="2" t="str">
        <f>"1"</f>
        <v>1</v>
      </c>
      <c r="I122" s="1">
        <v>-11447439392.280001</v>
      </c>
    </row>
    <row r="123" spans="1:9" x14ac:dyDescent="0.25">
      <c r="A123" s="2">
        <v>122</v>
      </c>
      <c r="B123" s="3">
        <v>44834</v>
      </c>
      <c r="C123" s="2">
        <v>14</v>
      </c>
      <c r="D123" s="4" t="str">
        <f>"1434"</f>
        <v>1434</v>
      </c>
      <c r="E123" t="str">
        <f>"Дисконт по займам, предоставленным клиентам"</f>
        <v>Дисконт по займам, предоставленным клиентам</v>
      </c>
      <c r="F123" s="2" t="str">
        <f>"1"</f>
        <v>1</v>
      </c>
      <c r="G123" s="2" t="str">
        <f>"9"</f>
        <v>9</v>
      </c>
      <c r="H123" s="2" t="str">
        <f>"2"</f>
        <v>2</v>
      </c>
      <c r="I123" s="1">
        <v>1396552211.3099999</v>
      </c>
    </row>
    <row r="124" spans="1:9" x14ac:dyDescent="0.25">
      <c r="A124" s="2">
        <v>123</v>
      </c>
      <c r="B124" s="3">
        <v>44834</v>
      </c>
      <c r="C124" s="2">
        <v>14</v>
      </c>
      <c r="D124" s="4" t="str">
        <f>"1434"</f>
        <v>1434</v>
      </c>
      <c r="E124" t="str">
        <f>"Дисконт по займам, предоставленным клиентам"</f>
        <v>Дисконт по займам, предоставленным клиентам</v>
      </c>
      <c r="F124" s="2" t="str">
        <f>"1"</f>
        <v>1</v>
      </c>
      <c r="G124" s="2" t="str">
        <f>"8"</f>
        <v>8</v>
      </c>
      <c r="H124" s="2" t="str">
        <f>"1"</f>
        <v>1</v>
      </c>
      <c r="I124" s="1">
        <v>-1441368.97</v>
      </c>
    </row>
    <row r="125" spans="1:9" x14ac:dyDescent="0.25">
      <c r="A125" s="2">
        <v>124</v>
      </c>
      <c r="B125" s="3">
        <v>44834</v>
      </c>
      <c r="C125" s="2">
        <v>14</v>
      </c>
      <c r="D125" s="4" t="str">
        <f>"1434"</f>
        <v>1434</v>
      </c>
      <c r="E125" t="str">
        <f>"Дисконт по займам, предоставленным клиентам"</f>
        <v>Дисконт по займам, предоставленным клиентам</v>
      </c>
      <c r="F125" s="2" t="str">
        <f>"1"</f>
        <v>1</v>
      </c>
      <c r="G125" s="2" t="str">
        <f>"5"</f>
        <v>5</v>
      </c>
      <c r="H125" s="2" t="str">
        <f>"1"</f>
        <v>1</v>
      </c>
      <c r="I125" s="1">
        <v>-479479237.94999999</v>
      </c>
    </row>
    <row r="126" spans="1:9" x14ac:dyDescent="0.25">
      <c r="A126" s="2">
        <v>125</v>
      </c>
      <c r="B126" s="3">
        <v>44834</v>
      </c>
      <c r="C126" s="2">
        <v>14</v>
      </c>
      <c r="D126" s="4" t="str">
        <f>"1434"</f>
        <v>1434</v>
      </c>
      <c r="E126" t="str">
        <f>"Дисконт по займам, предоставленным клиентам"</f>
        <v>Дисконт по займам, предоставленным клиентам</v>
      </c>
      <c r="F126" s="2" t="str">
        <f>"2"</f>
        <v>2</v>
      </c>
      <c r="G126" s="2" t="str">
        <f>"7"</f>
        <v>7</v>
      </c>
      <c r="H126" s="2" t="str">
        <f>"3"</f>
        <v>3</v>
      </c>
      <c r="I126" s="1">
        <v>-1376514000.26</v>
      </c>
    </row>
    <row r="127" spans="1:9" x14ac:dyDescent="0.25">
      <c r="A127" s="2">
        <v>126</v>
      </c>
      <c r="B127" s="3">
        <v>44834</v>
      </c>
      <c r="C127" s="2">
        <v>14</v>
      </c>
      <c r="D127" s="4" t="str">
        <f>"1434"</f>
        <v>1434</v>
      </c>
      <c r="E127" t="str">
        <f>"Дисконт по займам, предоставленным клиентам"</f>
        <v>Дисконт по займам, предоставленным клиентам</v>
      </c>
      <c r="F127" s="2" t="str">
        <f>"2"</f>
        <v>2</v>
      </c>
      <c r="G127" s="2" t="str">
        <f>"7"</f>
        <v>7</v>
      </c>
      <c r="H127" s="2" t="str">
        <f>"2"</f>
        <v>2</v>
      </c>
      <c r="I127" s="1">
        <v>-1366416335.5799999</v>
      </c>
    </row>
    <row r="128" spans="1:9" x14ac:dyDescent="0.25">
      <c r="A128" s="2">
        <v>127</v>
      </c>
      <c r="B128" s="3">
        <v>44834</v>
      </c>
      <c r="C128" s="2">
        <v>14</v>
      </c>
      <c r="D128" s="4" t="str">
        <f>"1434"</f>
        <v>1434</v>
      </c>
      <c r="E128" t="str">
        <f>"Дисконт по займам, предоставленным клиентам"</f>
        <v>Дисконт по займам, предоставленным клиентам</v>
      </c>
      <c r="F128" s="2" t="str">
        <f>"2"</f>
        <v>2</v>
      </c>
      <c r="G128" s="2" t="str">
        <f>"7"</f>
        <v>7</v>
      </c>
      <c r="H128" s="2" t="str">
        <f>"1"</f>
        <v>1</v>
      </c>
      <c r="I128" s="1">
        <v>-244461468.18000001</v>
      </c>
    </row>
    <row r="129" spans="1:9" x14ac:dyDescent="0.25">
      <c r="A129" s="2">
        <v>128</v>
      </c>
      <c r="B129" s="3">
        <v>44834</v>
      </c>
      <c r="C129" s="2">
        <v>14</v>
      </c>
      <c r="D129" s="4" t="str">
        <f>"1434"</f>
        <v>1434</v>
      </c>
      <c r="E129" t="str">
        <f>"Дисконт по займам, предоставленным клиентам"</f>
        <v>Дисконт по займам, предоставленным клиентам</v>
      </c>
      <c r="F129" s="2" t="str">
        <f>"1"</f>
        <v>1</v>
      </c>
      <c r="G129" s="2" t="str">
        <f>"7"</f>
        <v>7</v>
      </c>
      <c r="H129" s="2" t="str">
        <f>"1"</f>
        <v>1</v>
      </c>
      <c r="I129" s="1">
        <v>-40307668732.989998</v>
      </c>
    </row>
    <row r="130" spans="1:9" x14ac:dyDescent="0.25">
      <c r="A130" s="2">
        <v>129</v>
      </c>
      <c r="B130" s="3">
        <v>44834</v>
      </c>
      <c r="C130" s="2">
        <v>14</v>
      </c>
      <c r="D130" s="4" t="str">
        <f>"1452"</f>
        <v>1452</v>
      </c>
      <c r="E13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0" s="2" t="str">
        <f>"2"</f>
        <v>2</v>
      </c>
      <c r="G130" s="2" t="str">
        <f>"1"</f>
        <v>1</v>
      </c>
      <c r="H130" s="2" t="str">
        <f>"2"</f>
        <v>2</v>
      </c>
      <c r="I130" s="1">
        <v>136595053270</v>
      </c>
    </row>
    <row r="131" spans="1:9" x14ac:dyDescent="0.25">
      <c r="A131" s="2">
        <v>130</v>
      </c>
      <c r="B131" s="3">
        <v>44834</v>
      </c>
      <c r="C131" s="2">
        <v>14</v>
      </c>
      <c r="D131" s="4" t="str">
        <f>"1452"</f>
        <v>1452</v>
      </c>
      <c r="E13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1" s="2" t="str">
        <f>"2"</f>
        <v>2</v>
      </c>
      <c r="G131" s="2" t="str">
        <f>"3"</f>
        <v>3</v>
      </c>
      <c r="H131" s="2" t="str">
        <f>"1"</f>
        <v>1</v>
      </c>
      <c r="I131" s="1">
        <v>53450000000</v>
      </c>
    </row>
    <row r="132" spans="1:9" x14ac:dyDescent="0.25">
      <c r="A132" s="2">
        <v>131</v>
      </c>
      <c r="B132" s="3">
        <v>44834</v>
      </c>
      <c r="C132" s="2">
        <v>14</v>
      </c>
      <c r="D132" s="4" t="str">
        <f>"1452"</f>
        <v>1452</v>
      </c>
      <c r="E13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2" s="2" t="str">
        <f>"1"</f>
        <v>1</v>
      </c>
      <c r="G132" s="2" t="str">
        <f>"2"</f>
        <v>2</v>
      </c>
      <c r="H132" s="2" t="str">
        <f>"1"</f>
        <v>1</v>
      </c>
      <c r="I132" s="1">
        <v>11200000000</v>
      </c>
    </row>
    <row r="133" spans="1:9" x14ac:dyDescent="0.25">
      <c r="A133" s="2">
        <v>132</v>
      </c>
      <c r="B133" s="3">
        <v>44834</v>
      </c>
      <c r="C133" s="2">
        <v>14</v>
      </c>
      <c r="D133" s="4" t="str">
        <f>"1452"</f>
        <v>1452</v>
      </c>
      <c r="E13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3" s="2" t="str">
        <f>"1"</f>
        <v>1</v>
      </c>
      <c r="G133" s="2" t="str">
        <f>"6"</f>
        <v>6</v>
      </c>
      <c r="H133" s="2" t="str">
        <f>"2"</f>
        <v>2</v>
      </c>
      <c r="I133" s="1">
        <v>14587326000</v>
      </c>
    </row>
    <row r="134" spans="1:9" x14ac:dyDescent="0.25">
      <c r="A134" s="2">
        <v>133</v>
      </c>
      <c r="B134" s="3">
        <v>44834</v>
      </c>
      <c r="C134" s="2">
        <v>14</v>
      </c>
      <c r="D134" s="4" t="str">
        <f>"1452"</f>
        <v>1452</v>
      </c>
      <c r="E13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4" s="2" t="str">
        <f>"1"</f>
        <v>1</v>
      </c>
      <c r="G134" s="2" t="str">
        <f>"6"</f>
        <v>6</v>
      </c>
      <c r="H134" s="2" t="str">
        <f>"3"</f>
        <v>3</v>
      </c>
      <c r="I134" s="1">
        <v>14621222000</v>
      </c>
    </row>
    <row r="135" spans="1:9" x14ac:dyDescent="0.25">
      <c r="A135" s="2">
        <v>134</v>
      </c>
      <c r="B135" s="3">
        <v>44834</v>
      </c>
      <c r="C135" s="2">
        <v>14</v>
      </c>
      <c r="D135" s="4" t="str">
        <f>"1452"</f>
        <v>1452</v>
      </c>
      <c r="E13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5" s="2" t="str">
        <f>"1"</f>
        <v>1</v>
      </c>
      <c r="G135" s="2" t="str">
        <f>"5"</f>
        <v>5</v>
      </c>
      <c r="H135" s="2" t="str">
        <f>"1"</f>
        <v>1</v>
      </c>
      <c r="I135" s="1">
        <v>99658754000</v>
      </c>
    </row>
    <row r="136" spans="1:9" x14ac:dyDescent="0.25">
      <c r="A136" s="2">
        <v>135</v>
      </c>
      <c r="B136" s="3">
        <v>44834</v>
      </c>
      <c r="C136" s="2">
        <v>14</v>
      </c>
      <c r="D136" s="4" t="str">
        <f>"1452"</f>
        <v>1452</v>
      </c>
      <c r="E136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6" s="2" t="str">
        <f>"1"</f>
        <v>1</v>
      </c>
      <c r="G136" s="2" t="str">
        <f>"4"</f>
        <v>4</v>
      </c>
      <c r="H136" s="2" t="str">
        <f>"2"</f>
        <v>2</v>
      </c>
      <c r="I136" s="1">
        <v>136954206584</v>
      </c>
    </row>
    <row r="137" spans="1:9" x14ac:dyDescent="0.25">
      <c r="A137" s="2">
        <v>136</v>
      </c>
      <c r="B137" s="3">
        <v>44834</v>
      </c>
      <c r="C137" s="2">
        <v>14</v>
      </c>
      <c r="D137" s="4" t="str">
        <f>"1452"</f>
        <v>1452</v>
      </c>
      <c r="E13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7" s="2" t="str">
        <f>"1"</f>
        <v>1</v>
      </c>
      <c r="G137" s="2" t="str">
        <f>"1"</f>
        <v>1</v>
      </c>
      <c r="H137" s="2" t="str">
        <f>"1"</f>
        <v>1</v>
      </c>
      <c r="I137" s="1">
        <v>273400264000</v>
      </c>
    </row>
    <row r="138" spans="1:9" x14ac:dyDescent="0.25">
      <c r="A138" s="2">
        <v>137</v>
      </c>
      <c r="B138" s="3">
        <v>44834</v>
      </c>
      <c r="C138" s="2">
        <v>14</v>
      </c>
      <c r="D138" s="4" t="str">
        <f>"1452"</f>
        <v>1452</v>
      </c>
      <c r="E13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8" s="2" t="str">
        <f>"1"</f>
        <v>1</v>
      </c>
      <c r="G138" s="2" t="str">
        <f>"6"</f>
        <v>6</v>
      </c>
      <c r="H138" s="2" t="str">
        <f>"1"</f>
        <v>1</v>
      </c>
      <c r="I138" s="1">
        <v>49950000000</v>
      </c>
    </row>
    <row r="139" spans="1:9" x14ac:dyDescent="0.25">
      <c r="A139" s="2">
        <v>138</v>
      </c>
      <c r="B139" s="3">
        <v>44834</v>
      </c>
      <c r="C139" s="2">
        <v>14</v>
      </c>
      <c r="D139" s="4" t="str">
        <f>"1452"</f>
        <v>1452</v>
      </c>
      <c r="E13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9" s="2" t="str">
        <f>"1"</f>
        <v>1</v>
      </c>
      <c r="G139" s="2" t="str">
        <f>"1"</f>
        <v>1</v>
      </c>
      <c r="H139" s="2" t="str">
        <f>"2"</f>
        <v>2</v>
      </c>
      <c r="I139" s="1">
        <v>769571879095.16003</v>
      </c>
    </row>
    <row r="140" spans="1:9" x14ac:dyDescent="0.25">
      <c r="A140" s="2">
        <v>139</v>
      </c>
      <c r="B140" s="3">
        <v>44834</v>
      </c>
      <c r="C140" s="2">
        <v>14</v>
      </c>
      <c r="D140" s="4" t="str">
        <f>"1452"</f>
        <v>1452</v>
      </c>
      <c r="E14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0" s="2" t="str">
        <f>"2"</f>
        <v>2</v>
      </c>
      <c r="G140" s="2" t="str">
        <f>"4"</f>
        <v>4</v>
      </c>
      <c r="H140" s="2" t="str">
        <f>"2"</f>
        <v>2</v>
      </c>
      <c r="I140" s="1">
        <v>64327247400</v>
      </c>
    </row>
    <row r="141" spans="1:9" x14ac:dyDescent="0.25">
      <c r="A141" s="2">
        <v>140</v>
      </c>
      <c r="B141" s="3">
        <v>44834</v>
      </c>
      <c r="C141" s="2">
        <v>14</v>
      </c>
      <c r="D141" s="4" t="str">
        <f>"1452"</f>
        <v>1452</v>
      </c>
      <c r="E14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1" s="2" t="str">
        <f>"1"</f>
        <v>1</v>
      </c>
      <c r="G141" s="2" t="str">
        <f>"7"</f>
        <v>7</v>
      </c>
      <c r="H141" s="2" t="str">
        <f>"1"</f>
        <v>1</v>
      </c>
      <c r="I141" s="1">
        <v>34800000000</v>
      </c>
    </row>
    <row r="142" spans="1:9" x14ac:dyDescent="0.25">
      <c r="A142" s="2">
        <v>141</v>
      </c>
      <c r="B142" s="3">
        <v>44834</v>
      </c>
      <c r="C142" s="2">
        <v>14</v>
      </c>
      <c r="D142" s="4" t="str">
        <f>"1452"</f>
        <v>1452</v>
      </c>
      <c r="E14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2" s="2" t="str">
        <f>"2"</f>
        <v>2</v>
      </c>
      <c r="G142" s="2" t="str">
        <f>"4"</f>
        <v>4</v>
      </c>
      <c r="H142" s="2" t="str">
        <f>"1"</f>
        <v>1</v>
      </c>
      <c r="I142" s="1">
        <v>4554470000</v>
      </c>
    </row>
    <row r="143" spans="1:9" x14ac:dyDescent="0.25">
      <c r="A143" s="2">
        <v>142</v>
      </c>
      <c r="B143" s="3">
        <v>44834</v>
      </c>
      <c r="C143" s="2">
        <v>14</v>
      </c>
      <c r="D143" s="4" t="str">
        <f>"1452"</f>
        <v>1452</v>
      </c>
      <c r="E14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3" s="2" t="str">
        <f>"1"</f>
        <v>1</v>
      </c>
      <c r="G143" s="2" t="str">
        <f>"4"</f>
        <v>4</v>
      </c>
      <c r="H143" s="2" t="str">
        <f>"1"</f>
        <v>1</v>
      </c>
      <c r="I143" s="1">
        <v>40364000000</v>
      </c>
    </row>
    <row r="144" spans="1:9" x14ac:dyDescent="0.25">
      <c r="A144" s="2">
        <v>143</v>
      </c>
      <c r="B144" s="3">
        <v>44834</v>
      </c>
      <c r="C144" s="2">
        <v>14</v>
      </c>
      <c r="D144" s="4" t="str">
        <f>"1452"</f>
        <v>1452</v>
      </c>
      <c r="E14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4" s="2" t="str">
        <f>"2"</f>
        <v>2</v>
      </c>
      <c r="G144" s="2" t="str">
        <f>"7"</f>
        <v>7</v>
      </c>
      <c r="H144" s="2" t="str">
        <f>"2"</f>
        <v>2</v>
      </c>
      <c r="I144" s="1">
        <v>25484916600</v>
      </c>
    </row>
    <row r="145" spans="1:9" x14ac:dyDescent="0.25">
      <c r="A145" s="2">
        <v>144</v>
      </c>
      <c r="B145" s="3">
        <v>44834</v>
      </c>
      <c r="C145" s="2">
        <v>14</v>
      </c>
      <c r="D145" s="4" t="str">
        <f>"1452"</f>
        <v>1452</v>
      </c>
      <c r="E14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45" s="2" t="str">
        <f>"2"</f>
        <v>2</v>
      </c>
      <c r="G145" s="2" t="str">
        <f>"3"</f>
        <v>3</v>
      </c>
      <c r="H145" s="2" t="str">
        <f>"2"</f>
        <v>2</v>
      </c>
      <c r="I145" s="1">
        <v>4241990000</v>
      </c>
    </row>
    <row r="146" spans="1:9" x14ac:dyDescent="0.25">
      <c r="A146" s="2">
        <v>145</v>
      </c>
      <c r="B146" s="3">
        <v>44834</v>
      </c>
      <c r="C146" s="2">
        <v>14</v>
      </c>
      <c r="D146" s="4" t="str">
        <f>"1453"</f>
        <v>1453</v>
      </c>
      <c r="E146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46" s="2" t="str">
        <f>"1"</f>
        <v>1</v>
      </c>
      <c r="G146" s="2" t="str">
        <f>"4"</f>
        <v>4</v>
      </c>
      <c r="H146" s="2" t="str">
        <f>"2"</f>
        <v>2</v>
      </c>
      <c r="I146" s="1">
        <v>-486019545.64999998</v>
      </c>
    </row>
    <row r="147" spans="1:9" x14ac:dyDescent="0.25">
      <c r="A147" s="2">
        <v>146</v>
      </c>
      <c r="B147" s="3">
        <v>44834</v>
      </c>
      <c r="C147" s="2">
        <v>14</v>
      </c>
      <c r="D147" s="4" t="str">
        <f>"1453"</f>
        <v>1453</v>
      </c>
      <c r="E14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47" s="2" t="str">
        <f>"1"</f>
        <v>1</v>
      </c>
      <c r="G147" s="2" t="str">
        <f>"5"</f>
        <v>5</v>
      </c>
      <c r="H147" s="2" t="str">
        <f>"1"</f>
        <v>1</v>
      </c>
      <c r="I147" s="1">
        <v>-1179697348.8599999</v>
      </c>
    </row>
    <row r="148" spans="1:9" x14ac:dyDescent="0.25">
      <c r="A148" s="2">
        <v>147</v>
      </c>
      <c r="B148" s="3">
        <v>44834</v>
      </c>
      <c r="C148" s="2">
        <v>14</v>
      </c>
      <c r="D148" s="4" t="str">
        <f>"1453"</f>
        <v>1453</v>
      </c>
      <c r="E14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48" s="2" t="str">
        <f>"1"</f>
        <v>1</v>
      </c>
      <c r="G148" s="2" t="str">
        <f>"2"</f>
        <v>2</v>
      </c>
      <c r="H148" s="2" t="str">
        <f>"1"</f>
        <v>1</v>
      </c>
      <c r="I148" s="1">
        <v>-904744.77</v>
      </c>
    </row>
    <row r="149" spans="1:9" x14ac:dyDescent="0.25">
      <c r="A149" s="2">
        <v>148</v>
      </c>
      <c r="B149" s="3">
        <v>44834</v>
      </c>
      <c r="C149" s="2">
        <v>14</v>
      </c>
      <c r="D149" s="4" t="str">
        <f>"1453"</f>
        <v>1453</v>
      </c>
      <c r="E14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49" s="2" t="str">
        <f>"1"</f>
        <v>1</v>
      </c>
      <c r="G149" s="2" t="str">
        <f>"1"</f>
        <v>1</v>
      </c>
      <c r="H149" s="2" t="str">
        <f>"2"</f>
        <v>2</v>
      </c>
      <c r="I149" s="1">
        <v>-2464165904.9099998</v>
      </c>
    </row>
    <row r="150" spans="1:9" x14ac:dyDescent="0.25">
      <c r="A150" s="2">
        <v>149</v>
      </c>
      <c r="B150" s="3">
        <v>44834</v>
      </c>
      <c r="C150" s="2">
        <v>14</v>
      </c>
      <c r="D150" s="4" t="str">
        <f>"1453"</f>
        <v>1453</v>
      </c>
      <c r="E15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50" s="2" t="str">
        <f>"1"</f>
        <v>1</v>
      </c>
      <c r="G150" s="2" t="str">
        <f>"1"</f>
        <v>1</v>
      </c>
      <c r="H150" s="2" t="str">
        <f>"1"</f>
        <v>1</v>
      </c>
      <c r="I150" s="1">
        <v>-14077946352.67</v>
      </c>
    </row>
    <row r="151" spans="1:9" x14ac:dyDescent="0.25">
      <c r="A151" s="2">
        <v>150</v>
      </c>
      <c r="B151" s="3">
        <v>44834</v>
      </c>
      <c r="C151" s="2">
        <v>14</v>
      </c>
      <c r="D151" s="4" t="str">
        <f>"1453"</f>
        <v>1453</v>
      </c>
      <c r="E15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51" s="2" t="str">
        <f>"1"</f>
        <v>1</v>
      </c>
      <c r="G151" s="2" t="str">
        <f>"6"</f>
        <v>6</v>
      </c>
      <c r="H151" s="2" t="str">
        <f>"2"</f>
        <v>2</v>
      </c>
      <c r="I151" s="1">
        <v>-169603435.69</v>
      </c>
    </row>
    <row r="152" spans="1:9" x14ac:dyDescent="0.25">
      <c r="A152" s="2">
        <v>151</v>
      </c>
      <c r="B152" s="3">
        <v>44834</v>
      </c>
      <c r="C152" s="2">
        <v>14</v>
      </c>
      <c r="D152" s="4" t="str">
        <f>"1453"</f>
        <v>1453</v>
      </c>
      <c r="E15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52" s="2" t="str">
        <f>"2"</f>
        <v>2</v>
      </c>
      <c r="G152" s="2" t="str">
        <f>"3"</f>
        <v>3</v>
      </c>
      <c r="H152" s="2" t="str">
        <f>"2"</f>
        <v>2</v>
      </c>
      <c r="I152" s="1">
        <v>-15796215.58</v>
      </c>
    </row>
    <row r="153" spans="1:9" x14ac:dyDescent="0.25">
      <c r="A153" s="2">
        <v>152</v>
      </c>
      <c r="B153" s="3">
        <v>44834</v>
      </c>
      <c r="C153" s="2">
        <v>14</v>
      </c>
      <c r="D153" s="4" t="str">
        <f>"1453"</f>
        <v>1453</v>
      </c>
      <c r="E15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53" s="2" t="str">
        <f>"2"</f>
        <v>2</v>
      </c>
      <c r="G153" s="2" t="str">
        <f>"1"</f>
        <v>1</v>
      </c>
      <c r="H153" s="2" t="str">
        <f>"2"</f>
        <v>2</v>
      </c>
      <c r="I153" s="1">
        <v>-259622186.74000001</v>
      </c>
    </row>
    <row r="154" spans="1:9" x14ac:dyDescent="0.25">
      <c r="A154" s="2">
        <v>153</v>
      </c>
      <c r="B154" s="3">
        <v>44834</v>
      </c>
      <c r="C154" s="2">
        <v>14</v>
      </c>
      <c r="D154" s="4" t="str">
        <f>"1453"</f>
        <v>1453</v>
      </c>
      <c r="E15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54" s="2" t="str">
        <f>"1"</f>
        <v>1</v>
      </c>
      <c r="G154" s="2" t="str">
        <f>"4"</f>
        <v>4</v>
      </c>
      <c r="H154" s="2" t="str">
        <f>"1"</f>
        <v>1</v>
      </c>
      <c r="I154" s="1">
        <v>-164844330.16</v>
      </c>
    </row>
    <row r="155" spans="1:9" x14ac:dyDescent="0.25">
      <c r="A155" s="2">
        <v>154</v>
      </c>
      <c r="B155" s="3">
        <v>44834</v>
      </c>
      <c r="C155" s="2">
        <v>14</v>
      </c>
      <c r="D155" s="4" t="str">
        <f>"1454"</f>
        <v>1454</v>
      </c>
      <c r="E15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55" s="2" t="str">
        <f>"2"</f>
        <v>2</v>
      </c>
      <c r="G155" s="2" t="str">
        <f>"1"</f>
        <v>1</v>
      </c>
      <c r="H155" s="2" t="str">
        <f>"2"</f>
        <v>2</v>
      </c>
      <c r="I155" s="1">
        <v>5060543173.79</v>
      </c>
    </row>
    <row r="156" spans="1:9" x14ac:dyDescent="0.25">
      <c r="A156" s="2">
        <v>155</v>
      </c>
      <c r="B156" s="3">
        <v>44834</v>
      </c>
      <c r="C156" s="2">
        <v>14</v>
      </c>
      <c r="D156" s="4" t="str">
        <f>"1454"</f>
        <v>1454</v>
      </c>
      <c r="E15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56" s="2" t="str">
        <f>"2"</f>
        <v>2</v>
      </c>
      <c r="G156" s="2" t="str">
        <f>"7"</f>
        <v>7</v>
      </c>
      <c r="H156" s="2" t="str">
        <f>"2"</f>
        <v>2</v>
      </c>
      <c r="I156" s="1">
        <v>1364123346.1700001</v>
      </c>
    </row>
    <row r="157" spans="1:9" x14ac:dyDescent="0.25">
      <c r="A157" s="2">
        <v>156</v>
      </c>
      <c r="B157" s="3">
        <v>44834</v>
      </c>
      <c r="C157" s="2">
        <v>14</v>
      </c>
      <c r="D157" s="4" t="str">
        <f>"1454"</f>
        <v>1454</v>
      </c>
      <c r="E15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57" s="2" t="str">
        <f>"1"</f>
        <v>1</v>
      </c>
      <c r="G157" s="2" t="str">
        <f>"4"</f>
        <v>4</v>
      </c>
      <c r="H157" s="2" t="str">
        <f>"1"</f>
        <v>1</v>
      </c>
      <c r="I157" s="1">
        <v>258112736.84</v>
      </c>
    </row>
    <row r="158" spans="1:9" x14ac:dyDescent="0.25">
      <c r="A158" s="2">
        <v>157</v>
      </c>
      <c r="B158" s="3">
        <v>44834</v>
      </c>
      <c r="C158" s="2">
        <v>14</v>
      </c>
      <c r="D158" s="4" t="str">
        <f>"1454"</f>
        <v>1454</v>
      </c>
      <c r="E15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58" s="2" t="str">
        <f>"1"</f>
        <v>1</v>
      </c>
      <c r="G158" s="2" t="str">
        <f>"6"</f>
        <v>6</v>
      </c>
      <c r="H158" s="2" t="str">
        <f>"3"</f>
        <v>3</v>
      </c>
      <c r="I158" s="1">
        <v>232717051.06</v>
      </c>
    </row>
    <row r="159" spans="1:9" x14ac:dyDescent="0.25">
      <c r="A159" s="2">
        <v>158</v>
      </c>
      <c r="B159" s="3">
        <v>44834</v>
      </c>
      <c r="C159" s="2">
        <v>14</v>
      </c>
      <c r="D159" s="4" t="str">
        <f>"1454"</f>
        <v>1454</v>
      </c>
      <c r="E15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59" s="2" t="str">
        <f>"1"</f>
        <v>1</v>
      </c>
      <c r="G159" s="2" t="str">
        <f>"4"</f>
        <v>4</v>
      </c>
      <c r="H159" s="2" t="str">
        <f>"2"</f>
        <v>2</v>
      </c>
      <c r="I159" s="1">
        <v>1426751394.1500001</v>
      </c>
    </row>
    <row r="160" spans="1:9" x14ac:dyDescent="0.25">
      <c r="A160" s="2">
        <v>159</v>
      </c>
      <c r="B160" s="3">
        <v>44834</v>
      </c>
      <c r="C160" s="2">
        <v>14</v>
      </c>
      <c r="D160" s="4" t="str">
        <f>"1454"</f>
        <v>1454</v>
      </c>
      <c r="E16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60" s="2" t="str">
        <f>"1"</f>
        <v>1</v>
      </c>
      <c r="G160" s="2" t="str">
        <f>"1"</f>
        <v>1</v>
      </c>
      <c r="H160" s="2" t="str">
        <f>"2"</f>
        <v>2</v>
      </c>
      <c r="I160" s="1">
        <v>34789313614.389999</v>
      </c>
    </row>
    <row r="161" spans="1:9" x14ac:dyDescent="0.25">
      <c r="A161" s="2">
        <v>160</v>
      </c>
      <c r="B161" s="3">
        <v>44834</v>
      </c>
      <c r="C161" s="2">
        <v>14</v>
      </c>
      <c r="D161" s="4" t="str">
        <f>"1454"</f>
        <v>1454</v>
      </c>
      <c r="E16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61" s="2" t="str">
        <f>"2"</f>
        <v>2</v>
      </c>
      <c r="G161" s="2" t="str">
        <f>"3"</f>
        <v>3</v>
      </c>
      <c r="H161" s="2" t="str">
        <f>"2"</f>
        <v>2</v>
      </c>
      <c r="I161" s="1">
        <v>109123.69</v>
      </c>
    </row>
    <row r="162" spans="1:9" x14ac:dyDescent="0.25">
      <c r="A162" s="2">
        <v>161</v>
      </c>
      <c r="B162" s="3">
        <v>44834</v>
      </c>
      <c r="C162" s="2">
        <v>14</v>
      </c>
      <c r="D162" s="4" t="str">
        <f>"1454"</f>
        <v>1454</v>
      </c>
      <c r="E16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62" s="2" t="str">
        <f>"2"</f>
        <v>2</v>
      </c>
      <c r="G162" s="2" t="str">
        <f>"4"</f>
        <v>4</v>
      </c>
      <c r="H162" s="2" t="str">
        <f>"2"</f>
        <v>2</v>
      </c>
      <c r="I162" s="1">
        <v>1039514369.45</v>
      </c>
    </row>
    <row r="163" spans="1:9" x14ac:dyDescent="0.25">
      <c r="A163" s="2">
        <v>162</v>
      </c>
      <c r="B163" s="3">
        <v>44834</v>
      </c>
      <c r="C163" s="2">
        <v>14</v>
      </c>
      <c r="D163" s="4" t="str">
        <f>"1454"</f>
        <v>1454</v>
      </c>
      <c r="E16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63" s="2" t="str">
        <f>"1"</f>
        <v>1</v>
      </c>
      <c r="G163" s="2" t="str">
        <f>"1"</f>
        <v>1</v>
      </c>
      <c r="H163" s="2" t="str">
        <f>"1"</f>
        <v>1</v>
      </c>
      <c r="I163" s="1">
        <v>106502766.18000001</v>
      </c>
    </row>
    <row r="164" spans="1:9" x14ac:dyDescent="0.25">
      <c r="A164" s="2">
        <v>163</v>
      </c>
      <c r="B164" s="3">
        <v>44834</v>
      </c>
      <c r="C164" s="2">
        <v>14</v>
      </c>
      <c r="D164" s="4" t="str">
        <f>"1454"</f>
        <v>1454</v>
      </c>
      <c r="E16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64" s="2" t="str">
        <f>"1"</f>
        <v>1</v>
      </c>
      <c r="G164" s="2" t="str">
        <f>"7"</f>
        <v>7</v>
      </c>
      <c r="H164" s="2" t="str">
        <f>"1"</f>
        <v>1</v>
      </c>
      <c r="I164" s="1">
        <v>3455.13</v>
      </c>
    </row>
    <row r="165" spans="1:9" x14ac:dyDescent="0.25">
      <c r="A165" s="2">
        <v>164</v>
      </c>
      <c r="B165" s="3">
        <v>44834</v>
      </c>
      <c r="C165" s="2">
        <v>14</v>
      </c>
      <c r="D165" s="4" t="str">
        <f>"1456"</f>
        <v>1456</v>
      </c>
      <c r="E16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65" s="2" t="str">
        <f>"1"</f>
        <v>1</v>
      </c>
      <c r="G165" s="2" t="str">
        <f>"6"</f>
        <v>6</v>
      </c>
      <c r="H165" s="2" t="str">
        <f>"1"</f>
        <v>1</v>
      </c>
      <c r="I165" s="1">
        <v>45325458.859999999</v>
      </c>
    </row>
    <row r="166" spans="1:9" x14ac:dyDescent="0.25">
      <c r="A166" s="2">
        <v>165</v>
      </c>
      <c r="B166" s="3">
        <v>44834</v>
      </c>
      <c r="C166" s="2">
        <v>14</v>
      </c>
      <c r="D166" s="4" t="str">
        <f>"1456"</f>
        <v>1456</v>
      </c>
      <c r="E166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66" s="2" t="str">
        <f>"1"</f>
        <v>1</v>
      </c>
      <c r="G166" s="2" t="str">
        <f>"4"</f>
        <v>4</v>
      </c>
      <c r="H166" s="2" t="str">
        <f>"2"</f>
        <v>2</v>
      </c>
      <c r="I166" s="1">
        <v>146356205.37</v>
      </c>
    </row>
    <row r="167" spans="1:9" x14ac:dyDescent="0.25">
      <c r="A167" s="2">
        <v>166</v>
      </c>
      <c r="B167" s="3">
        <v>44834</v>
      </c>
      <c r="C167" s="2">
        <v>14</v>
      </c>
      <c r="D167" s="4" t="str">
        <f>"1456"</f>
        <v>1456</v>
      </c>
      <c r="E16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67" s="2" t="str">
        <f>"1"</f>
        <v>1</v>
      </c>
      <c r="G167" s="2" t="str">
        <f>"1"</f>
        <v>1</v>
      </c>
      <c r="H167" s="2" t="str">
        <f>"2"</f>
        <v>2</v>
      </c>
      <c r="I167" s="1">
        <v>30835410.219999999</v>
      </c>
    </row>
    <row r="168" spans="1:9" x14ac:dyDescent="0.25">
      <c r="A168" s="2">
        <v>167</v>
      </c>
      <c r="B168" s="3">
        <v>44834</v>
      </c>
      <c r="C168" s="2">
        <v>14</v>
      </c>
      <c r="D168" s="4" t="str">
        <f>"1456"</f>
        <v>1456</v>
      </c>
      <c r="E16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68" s="2" t="str">
        <f>"1"</f>
        <v>1</v>
      </c>
      <c r="G168" s="2" t="str">
        <f>"5"</f>
        <v>5</v>
      </c>
      <c r="H168" s="2" t="str">
        <f>"1"</f>
        <v>1</v>
      </c>
      <c r="I168" s="1">
        <v>222400856.41</v>
      </c>
    </row>
    <row r="169" spans="1:9" x14ac:dyDescent="0.25">
      <c r="A169" s="2">
        <v>168</v>
      </c>
      <c r="B169" s="3">
        <v>44834</v>
      </c>
      <c r="C169" s="2">
        <v>14</v>
      </c>
      <c r="D169" s="4" t="str">
        <f>"1456"</f>
        <v>1456</v>
      </c>
      <c r="E16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69" s="2" t="str">
        <f>"1"</f>
        <v>1</v>
      </c>
      <c r="G169" s="2" t="str">
        <f>"4"</f>
        <v>4</v>
      </c>
      <c r="H169" s="2" t="str">
        <f>"1"</f>
        <v>1</v>
      </c>
      <c r="I169" s="1">
        <v>164844330.16</v>
      </c>
    </row>
    <row r="170" spans="1:9" x14ac:dyDescent="0.25">
      <c r="A170" s="2">
        <v>169</v>
      </c>
      <c r="B170" s="3">
        <v>44834</v>
      </c>
      <c r="C170" s="2">
        <v>14</v>
      </c>
      <c r="D170" s="4" t="str">
        <f>"1456"</f>
        <v>1456</v>
      </c>
      <c r="E17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70" s="2" t="str">
        <f>"1"</f>
        <v>1</v>
      </c>
      <c r="G170" s="2" t="str">
        <f>"1"</f>
        <v>1</v>
      </c>
      <c r="H170" s="2" t="str">
        <f>"1"</f>
        <v>1</v>
      </c>
      <c r="I170" s="1">
        <v>63565814.210000001</v>
      </c>
    </row>
    <row r="171" spans="1:9" x14ac:dyDescent="0.25">
      <c r="A171" s="2">
        <v>170</v>
      </c>
      <c r="B171" s="3">
        <v>44834</v>
      </c>
      <c r="C171" s="2">
        <v>14</v>
      </c>
      <c r="D171" s="4" t="str">
        <f>"1457"</f>
        <v>1457</v>
      </c>
      <c r="E17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71" s="2" t="str">
        <f>"2"</f>
        <v>2</v>
      </c>
      <c r="G171" s="2" t="str">
        <f>"1"</f>
        <v>1</v>
      </c>
      <c r="H171" s="2" t="str">
        <f>"2"</f>
        <v>2</v>
      </c>
      <c r="I171" s="1">
        <v>-7050549089.8800001</v>
      </c>
    </row>
    <row r="172" spans="1:9" x14ac:dyDescent="0.25">
      <c r="A172" s="2">
        <v>171</v>
      </c>
      <c r="B172" s="3">
        <v>44834</v>
      </c>
      <c r="C172" s="2">
        <v>14</v>
      </c>
      <c r="D172" s="4" t="str">
        <f>"1457"</f>
        <v>1457</v>
      </c>
      <c r="E17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72" s="2" t="str">
        <f>"1"</f>
        <v>1</v>
      </c>
      <c r="G172" s="2" t="str">
        <f>"7"</f>
        <v>7</v>
      </c>
      <c r="H172" s="2" t="str">
        <f>"1"</f>
        <v>1</v>
      </c>
      <c r="I172" s="1">
        <v>-1544127954.27</v>
      </c>
    </row>
    <row r="173" spans="1:9" x14ac:dyDescent="0.25">
      <c r="A173" s="2">
        <v>172</v>
      </c>
      <c r="B173" s="3">
        <v>44834</v>
      </c>
      <c r="C173" s="2">
        <v>14</v>
      </c>
      <c r="D173" s="4" t="str">
        <f>"1457"</f>
        <v>1457</v>
      </c>
      <c r="E17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73" s="2" t="str">
        <f>"2"</f>
        <v>2</v>
      </c>
      <c r="G173" s="2" t="str">
        <f>"3"</f>
        <v>3</v>
      </c>
      <c r="H173" s="2" t="str">
        <f>"1"</f>
        <v>1</v>
      </c>
      <c r="I173" s="1">
        <v>-1557595082.97</v>
      </c>
    </row>
    <row r="174" spans="1:9" x14ac:dyDescent="0.25">
      <c r="A174" s="2">
        <v>173</v>
      </c>
      <c r="B174" s="3">
        <v>44834</v>
      </c>
      <c r="C174" s="2">
        <v>14</v>
      </c>
      <c r="D174" s="4" t="str">
        <f>"1457"</f>
        <v>1457</v>
      </c>
      <c r="E17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74" s="2" t="str">
        <f>"1"</f>
        <v>1</v>
      </c>
      <c r="G174" s="2" t="str">
        <f>"4"</f>
        <v>4</v>
      </c>
      <c r="H174" s="2" t="str">
        <f>"2"</f>
        <v>2</v>
      </c>
      <c r="I174" s="1">
        <v>-14735856117.379999</v>
      </c>
    </row>
    <row r="175" spans="1:9" x14ac:dyDescent="0.25">
      <c r="A175" s="2">
        <v>174</v>
      </c>
      <c r="B175" s="3">
        <v>44834</v>
      </c>
      <c r="C175" s="2">
        <v>14</v>
      </c>
      <c r="D175" s="4" t="str">
        <f>"1457"</f>
        <v>1457</v>
      </c>
      <c r="E17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75" s="2" t="str">
        <f>"1"</f>
        <v>1</v>
      </c>
      <c r="G175" s="2" t="str">
        <f>"6"</f>
        <v>6</v>
      </c>
      <c r="H175" s="2" t="str">
        <f>"2"</f>
        <v>2</v>
      </c>
      <c r="I175" s="1">
        <v>-1989466685.5699999</v>
      </c>
    </row>
    <row r="176" spans="1:9" x14ac:dyDescent="0.25">
      <c r="A176" s="2">
        <v>175</v>
      </c>
      <c r="B176" s="3">
        <v>44834</v>
      </c>
      <c r="C176" s="2">
        <v>14</v>
      </c>
      <c r="D176" s="4" t="str">
        <f>"1457"</f>
        <v>1457</v>
      </c>
      <c r="E17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76" s="2" t="str">
        <f>"1"</f>
        <v>1</v>
      </c>
      <c r="G176" s="2" t="str">
        <f>"5"</f>
        <v>5</v>
      </c>
      <c r="H176" s="2" t="str">
        <f>"1"</f>
        <v>1</v>
      </c>
      <c r="I176" s="1">
        <v>-1879482659.53</v>
      </c>
    </row>
    <row r="177" spans="1:9" x14ac:dyDescent="0.25">
      <c r="A177" s="2">
        <v>176</v>
      </c>
      <c r="B177" s="3">
        <v>44834</v>
      </c>
      <c r="C177" s="2">
        <v>14</v>
      </c>
      <c r="D177" s="4" t="str">
        <f>"1457"</f>
        <v>1457</v>
      </c>
      <c r="E17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77" s="2" t="str">
        <f>"2"</f>
        <v>2</v>
      </c>
      <c r="G177" s="2" t="str">
        <f>"7"</f>
        <v>7</v>
      </c>
      <c r="H177" s="2" t="str">
        <f>"2"</f>
        <v>2</v>
      </c>
      <c r="I177" s="1">
        <v>-1832501952.24</v>
      </c>
    </row>
    <row r="178" spans="1:9" x14ac:dyDescent="0.25">
      <c r="A178" s="2">
        <v>177</v>
      </c>
      <c r="B178" s="3">
        <v>44834</v>
      </c>
      <c r="C178" s="2">
        <v>14</v>
      </c>
      <c r="D178" s="4" t="str">
        <f>"1457"</f>
        <v>1457</v>
      </c>
      <c r="E178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78" s="2" t="str">
        <f>"2"</f>
        <v>2</v>
      </c>
      <c r="G178" s="2" t="str">
        <f>"4"</f>
        <v>4</v>
      </c>
      <c r="H178" s="2" t="str">
        <f>"1"</f>
        <v>1</v>
      </c>
      <c r="I178" s="1">
        <v>-275073889.38</v>
      </c>
    </row>
    <row r="179" spans="1:9" x14ac:dyDescent="0.25">
      <c r="A179" s="2">
        <v>178</v>
      </c>
      <c r="B179" s="3">
        <v>44834</v>
      </c>
      <c r="C179" s="2">
        <v>14</v>
      </c>
      <c r="D179" s="4" t="str">
        <f>"1457"</f>
        <v>1457</v>
      </c>
      <c r="E17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79" s="2" t="str">
        <f>"1"</f>
        <v>1</v>
      </c>
      <c r="G179" s="2" t="str">
        <f>"6"</f>
        <v>6</v>
      </c>
      <c r="H179" s="2" t="str">
        <f>"1"</f>
        <v>1</v>
      </c>
      <c r="I179" s="1">
        <v>-1187323470.4200001</v>
      </c>
    </row>
    <row r="180" spans="1:9" x14ac:dyDescent="0.25">
      <c r="A180" s="2">
        <v>179</v>
      </c>
      <c r="B180" s="3">
        <v>44834</v>
      </c>
      <c r="C180" s="2">
        <v>14</v>
      </c>
      <c r="D180" s="4" t="str">
        <f>"1457"</f>
        <v>1457</v>
      </c>
      <c r="E18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80" s="2" t="str">
        <f>"2"</f>
        <v>2</v>
      </c>
      <c r="G180" s="2" t="str">
        <f>"4"</f>
        <v>4</v>
      </c>
      <c r="H180" s="2" t="str">
        <f>"2"</f>
        <v>2</v>
      </c>
      <c r="I180" s="1">
        <v>-1708978825.8599999</v>
      </c>
    </row>
    <row r="181" spans="1:9" x14ac:dyDescent="0.25">
      <c r="A181" s="2">
        <v>180</v>
      </c>
      <c r="B181" s="3">
        <v>44834</v>
      </c>
      <c r="C181" s="2">
        <v>14</v>
      </c>
      <c r="D181" s="4" t="str">
        <f>"1457"</f>
        <v>1457</v>
      </c>
      <c r="E18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81" s="2" t="str">
        <f>"1"</f>
        <v>1</v>
      </c>
      <c r="G181" s="2" t="str">
        <f>"2"</f>
        <v>2</v>
      </c>
      <c r="H181" s="2" t="str">
        <f>"1"</f>
        <v>1</v>
      </c>
      <c r="I181" s="1">
        <v>-711706104.96000004</v>
      </c>
    </row>
    <row r="182" spans="1:9" x14ac:dyDescent="0.25">
      <c r="A182" s="2">
        <v>181</v>
      </c>
      <c r="B182" s="3">
        <v>44834</v>
      </c>
      <c r="C182" s="2">
        <v>14</v>
      </c>
      <c r="D182" s="4" t="str">
        <f>"1457"</f>
        <v>1457</v>
      </c>
      <c r="E18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82" s="2" t="str">
        <f>"1"</f>
        <v>1</v>
      </c>
      <c r="G182" s="2" t="str">
        <f>"6"</f>
        <v>6</v>
      </c>
      <c r="H182" s="2" t="str">
        <f>"3"</f>
        <v>3</v>
      </c>
      <c r="I182" s="1">
        <v>-2123241055.6600001</v>
      </c>
    </row>
    <row r="183" spans="1:9" x14ac:dyDescent="0.25">
      <c r="A183" s="2">
        <v>182</v>
      </c>
      <c r="B183" s="3">
        <v>44834</v>
      </c>
      <c r="C183" s="2">
        <v>14</v>
      </c>
      <c r="D183" s="4" t="str">
        <f>"1457"</f>
        <v>1457</v>
      </c>
      <c r="E18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83" s="2" t="str">
        <f>"1"</f>
        <v>1</v>
      </c>
      <c r="G183" s="2" t="str">
        <f>"1"</f>
        <v>1</v>
      </c>
      <c r="H183" s="2" t="str">
        <f>"2"</f>
        <v>2</v>
      </c>
      <c r="I183" s="1">
        <v>-31793980193.740002</v>
      </c>
    </row>
    <row r="184" spans="1:9" x14ac:dyDescent="0.25">
      <c r="A184" s="2">
        <v>183</v>
      </c>
      <c r="B184" s="3">
        <v>44834</v>
      </c>
      <c r="C184" s="2">
        <v>14</v>
      </c>
      <c r="D184" s="4" t="str">
        <f>"1457"</f>
        <v>1457</v>
      </c>
      <c r="E18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84" s="2" t="str">
        <f>"1"</f>
        <v>1</v>
      </c>
      <c r="G184" s="2" t="str">
        <f>"4"</f>
        <v>4</v>
      </c>
      <c r="H184" s="2" t="str">
        <f>"1"</f>
        <v>1</v>
      </c>
      <c r="I184" s="1">
        <v>-3070171398.2600002</v>
      </c>
    </row>
    <row r="185" spans="1:9" x14ac:dyDescent="0.25">
      <c r="A185" s="2">
        <v>184</v>
      </c>
      <c r="B185" s="3">
        <v>44834</v>
      </c>
      <c r="C185" s="2">
        <v>14</v>
      </c>
      <c r="D185" s="4" t="str">
        <f>"1457"</f>
        <v>1457</v>
      </c>
      <c r="E18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85" s="2" t="str">
        <f>"2"</f>
        <v>2</v>
      </c>
      <c r="G185" s="2" t="str">
        <f>"3"</f>
        <v>3</v>
      </c>
      <c r="H185" s="2" t="str">
        <f>"2"</f>
        <v>2</v>
      </c>
      <c r="I185" s="1">
        <v>-111355422.70999999</v>
      </c>
    </row>
    <row r="186" spans="1:9" x14ac:dyDescent="0.25">
      <c r="A186" s="2">
        <v>185</v>
      </c>
      <c r="B186" s="3">
        <v>44834</v>
      </c>
      <c r="C186" s="2">
        <v>14</v>
      </c>
      <c r="D186" s="4" t="str">
        <f>"1457"</f>
        <v>1457</v>
      </c>
      <c r="E18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86" s="2" t="str">
        <f>"1"</f>
        <v>1</v>
      </c>
      <c r="G186" s="2" t="str">
        <f>"1"</f>
        <v>1</v>
      </c>
      <c r="H186" s="2" t="str">
        <f>"1"</f>
        <v>1</v>
      </c>
      <c r="I186" s="1">
        <v>-13125251128.030001</v>
      </c>
    </row>
    <row r="187" spans="1:9" x14ac:dyDescent="0.25">
      <c r="A187" s="2">
        <v>186</v>
      </c>
      <c r="B187" s="3">
        <v>44834</v>
      </c>
      <c r="C187" s="2">
        <v>14</v>
      </c>
      <c r="D187" s="4" t="str">
        <f>"1471"</f>
        <v>1471</v>
      </c>
      <c r="E187" t="str">
        <f>"Инвестиции в дочерние организации"</f>
        <v>Инвестиции в дочерние организации</v>
      </c>
      <c r="F187" s="2" t="str">
        <f>"1"</f>
        <v>1</v>
      </c>
      <c r="G187" s="2" t="str">
        <f>"7"</f>
        <v>7</v>
      </c>
      <c r="H187" s="2" t="str">
        <f>"1"</f>
        <v>1</v>
      </c>
      <c r="I187" s="1">
        <v>95556233247.380005</v>
      </c>
    </row>
    <row r="188" spans="1:9" x14ac:dyDescent="0.25">
      <c r="A188" s="2">
        <v>187</v>
      </c>
      <c r="B188" s="3">
        <v>44834</v>
      </c>
      <c r="C188" s="2">
        <v>14</v>
      </c>
      <c r="D188" s="4" t="str">
        <f>"1471"</f>
        <v>1471</v>
      </c>
      <c r="E188" t="str">
        <f>"Инвестиции в дочерние организации"</f>
        <v>Инвестиции в дочерние организации</v>
      </c>
      <c r="F188" s="2" t="str">
        <f>"2"</f>
        <v>2</v>
      </c>
      <c r="G188" s="2" t="str">
        <f>"4"</f>
        <v>4</v>
      </c>
      <c r="H188" s="2" t="str">
        <f>"1"</f>
        <v>1</v>
      </c>
      <c r="I188" s="1">
        <v>111462658857.55</v>
      </c>
    </row>
    <row r="189" spans="1:9" x14ac:dyDescent="0.25">
      <c r="A189" s="2">
        <v>188</v>
      </c>
      <c r="B189" s="3">
        <v>44834</v>
      </c>
      <c r="C189" s="2">
        <v>14</v>
      </c>
      <c r="D189" s="4" t="str">
        <f>"1471"</f>
        <v>1471</v>
      </c>
      <c r="E189" t="str">
        <f>"Инвестиции в дочерние организации"</f>
        <v>Инвестиции в дочерние организации</v>
      </c>
      <c r="F189" s="2" t="str">
        <f>"1"</f>
        <v>1</v>
      </c>
      <c r="G189" s="2" t="str">
        <f>"5"</f>
        <v>5</v>
      </c>
      <c r="H189" s="2" t="str">
        <f>"1"</f>
        <v>1</v>
      </c>
      <c r="I189" s="1">
        <v>159104321787.70999</v>
      </c>
    </row>
    <row r="190" spans="1:9" x14ac:dyDescent="0.25">
      <c r="A190" s="2">
        <v>189</v>
      </c>
      <c r="B190" s="3">
        <v>44834</v>
      </c>
      <c r="C190" s="2">
        <v>14</v>
      </c>
      <c r="D190" s="4" t="str">
        <f>"1472"</f>
        <v>1472</v>
      </c>
      <c r="E190" t="str">
        <f>"Инвестиции в ассоциированные организации"</f>
        <v>Инвестиции в ассоциированные организации</v>
      </c>
      <c r="F190" s="2" t="str">
        <f>"1"</f>
        <v>1</v>
      </c>
      <c r="G190" s="2" t="str">
        <f>"4"</f>
        <v>4</v>
      </c>
      <c r="H190" s="2" t="str">
        <f>"1"</f>
        <v>1</v>
      </c>
      <c r="I190" s="1">
        <v>39320619366</v>
      </c>
    </row>
    <row r="191" spans="1:9" x14ac:dyDescent="0.25">
      <c r="A191" s="2">
        <v>190</v>
      </c>
      <c r="B191" s="3">
        <v>44834</v>
      </c>
      <c r="C191" s="2">
        <v>14</v>
      </c>
      <c r="D191" s="4" t="str">
        <f>"1475"</f>
        <v>1475</v>
      </c>
      <c r="E191" t="str">
        <f>"Инвестиции в субординированный долг"</f>
        <v>Инвестиции в субординированный долг</v>
      </c>
      <c r="F191" s="2" t="str">
        <f>"2"</f>
        <v>2</v>
      </c>
      <c r="G191" s="2" t="str">
        <f>"4"</f>
        <v>4</v>
      </c>
      <c r="H191" s="2" t="str">
        <f>"3"</f>
        <v>3</v>
      </c>
      <c r="I191" s="1">
        <v>48906000000</v>
      </c>
    </row>
    <row r="192" spans="1:9" x14ac:dyDescent="0.25">
      <c r="A192" s="2">
        <v>191</v>
      </c>
      <c r="B192" s="3">
        <v>44834</v>
      </c>
      <c r="C192" s="2">
        <v>14</v>
      </c>
      <c r="D192" s="4" t="str">
        <f>"1475"</f>
        <v>1475</v>
      </c>
      <c r="E192" t="str">
        <f>"Инвестиции в субординированный долг"</f>
        <v>Инвестиции в субординированный долг</v>
      </c>
      <c r="F192" s="2" t="str">
        <f>"2"</f>
        <v>2</v>
      </c>
      <c r="G192" s="2" t="str">
        <f>"4"</f>
        <v>4</v>
      </c>
      <c r="H192" s="2" t="str">
        <f>"2"</f>
        <v>2</v>
      </c>
      <c r="I192" s="1">
        <v>4767100000</v>
      </c>
    </row>
    <row r="193" spans="1:9" x14ac:dyDescent="0.25">
      <c r="A193" s="2">
        <v>192</v>
      </c>
      <c r="B193" s="3">
        <v>44834</v>
      </c>
      <c r="C193" s="2">
        <v>14</v>
      </c>
      <c r="D193" s="4" t="str">
        <f>"1476"</f>
        <v>1476</v>
      </c>
      <c r="E193" t="str">
        <f>"Прочие инвестиции"</f>
        <v>Прочие инвестиции</v>
      </c>
      <c r="F193" s="2" t="str">
        <f>"2"</f>
        <v>2</v>
      </c>
      <c r="G193" s="2" t="str">
        <f>"7"</f>
        <v>7</v>
      </c>
      <c r="H193" s="2" t="str">
        <f>"1"</f>
        <v>1</v>
      </c>
      <c r="I193" s="1">
        <v>174462.15</v>
      </c>
    </row>
    <row r="194" spans="1:9" x14ac:dyDescent="0.25">
      <c r="A194" s="2">
        <v>193</v>
      </c>
      <c r="B194" s="3">
        <v>44834</v>
      </c>
      <c r="C194" s="2">
        <v>14</v>
      </c>
      <c r="D194" s="4" t="str">
        <f>"1476"</f>
        <v>1476</v>
      </c>
      <c r="E194" t="str">
        <f>"Прочие инвестиции"</f>
        <v>Прочие инвестиции</v>
      </c>
      <c r="F194" s="2" t="str">
        <f>"2"</f>
        <v>2</v>
      </c>
      <c r="G194" s="2" t="str">
        <f>"5"</f>
        <v>5</v>
      </c>
      <c r="H194" s="2" t="str">
        <f>"1"</f>
        <v>1</v>
      </c>
      <c r="I194" s="1">
        <v>17205329.530000001</v>
      </c>
    </row>
    <row r="195" spans="1:9" x14ac:dyDescent="0.25">
      <c r="A195" s="2">
        <v>194</v>
      </c>
      <c r="B195" s="3">
        <v>44834</v>
      </c>
      <c r="C195" s="2">
        <v>14</v>
      </c>
      <c r="D195" s="4" t="str">
        <f>"1476"</f>
        <v>1476</v>
      </c>
      <c r="E195" t="str">
        <f>"Прочие инвестиции"</f>
        <v>Прочие инвестиции</v>
      </c>
      <c r="F195" s="2" t="str">
        <f>"1"</f>
        <v>1</v>
      </c>
      <c r="G195" s="2" t="str">
        <f>"5"</f>
        <v>5</v>
      </c>
      <c r="H195" s="2" t="str">
        <f>"1"</f>
        <v>1</v>
      </c>
      <c r="I195" s="1">
        <v>661257220.04999995</v>
      </c>
    </row>
    <row r="196" spans="1:9" x14ac:dyDescent="0.25">
      <c r="A196" s="2">
        <v>195</v>
      </c>
      <c r="B196" s="3">
        <v>44834</v>
      </c>
      <c r="C196" s="2">
        <v>14</v>
      </c>
      <c r="D196" s="4" t="str">
        <f>"1476"</f>
        <v>1476</v>
      </c>
      <c r="E196" t="str">
        <f>"Прочие инвестиции"</f>
        <v>Прочие инвестиции</v>
      </c>
      <c r="F196" s="2" t="str">
        <f>"1"</f>
        <v>1</v>
      </c>
      <c r="G196" s="2" t="str">
        <f>"7"</f>
        <v>7</v>
      </c>
      <c r="H196" s="2" t="str">
        <f>"1"</f>
        <v>1</v>
      </c>
      <c r="I196" s="1">
        <v>596869227</v>
      </c>
    </row>
    <row r="197" spans="1:9" x14ac:dyDescent="0.25">
      <c r="A197" s="2">
        <v>196</v>
      </c>
      <c r="B197" s="3">
        <v>44834</v>
      </c>
      <c r="C197" s="2">
        <v>14</v>
      </c>
      <c r="D197" s="4" t="str">
        <f>"1476"</f>
        <v>1476</v>
      </c>
      <c r="E197" t="str">
        <f>"Прочие инвестиции"</f>
        <v>Прочие инвестиции</v>
      </c>
      <c r="F197" s="2" t="str">
        <f>"1"</f>
        <v>1</v>
      </c>
      <c r="G197" s="2" t="str">
        <f>"8"</f>
        <v>8</v>
      </c>
      <c r="H197" s="2" t="str">
        <f>"1"</f>
        <v>1</v>
      </c>
      <c r="I197" s="1">
        <v>1350000</v>
      </c>
    </row>
    <row r="198" spans="1:9" x14ac:dyDescent="0.25">
      <c r="A198" s="2">
        <v>197</v>
      </c>
      <c r="B198" s="3">
        <v>44834</v>
      </c>
      <c r="C198" s="2">
        <v>14</v>
      </c>
      <c r="D198" s="4" t="str">
        <f>"1477"</f>
        <v>1477</v>
      </c>
      <c r="E198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198" s="2" t="str">
        <f>"2"</f>
        <v>2</v>
      </c>
      <c r="G198" s="2" t="str">
        <f>"4"</f>
        <v>4</v>
      </c>
      <c r="H198" s="2" t="str">
        <f>"2"</f>
        <v>2</v>
      </c>
      <c r="I198" s="1">
        <v>-9647881.0299999993</v>
      </c>
    </row>
    <row r="199" spans="1:9" x14ac:dyDescent="0.25">
      <c r="A199" s="2">
        <v>198</v>
      </c>
      <c r="B199" s="3">
        <v>44834</v>
      </c>
      <c r="C199" s="2">
        <v>14</v>
      </c>
      <c r="D199" s="4" t="str">
        <f>"1477"</f>
        <v>1477</v>
      </c>
      <c r="E199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199" s="2" t="str">
        <f>"2"</f>
        <v>2</v>
      </c>
      <c r="G199" s="2" t="str">
        <f>"4"</f>
        <v>4</v>
      </c>
      <c r="H199" s="2" t="str">
        <f>"3"</f>
        <v>3</v>
      </c>
      <c r="I199" s="1">
        <v>-100370961.39</v>
      </c>
    </row>
    <row r="200" spans="1:9" x14ac:dyDescent="0.25">
      <c r="A200" s="2">
        <v>199</v>
      </c>
      <c r="B200" s="3">
        <v>44834</v>
      </c>
      <c r="C200" s="2">
        <v>14</v>
      </c>
      <c r="D200" s="4" t="str">
        <f>"1481"</f>
        <v>1481</v>
      </c>
      <c r="E20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00" s="2" t="str">
        <f>"2"</f>
        <v>2</v>
      </c>
      <c r="G200" s="2" t="str">
        <f>"7"</f>
        <v>7</v>
      </c>
      <c r="H200" s="2" t="str">
        <f>"2"</f>
        <v>2</v>
      </c>
      <c r="I200" s="1">
        <v>9113573520.4400005</v>
      </c>
    </row>
    <row r="201" spans="1:9" x14ac:dyDescent="0.25">
      <c r="A201" s="2">
        <v>200</v>
      </c>
      <c r="B201" s="3">
        <v>44834</v>
      </c>
      <c r="C201" s="2">
        <v>14</v>
      </c>
      <c r="D201" s="4" t="str">
        <f>"1481"</f>
        <v>1481</v>
      </c>
      <c r="E20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01" s="2" t="str">
        <f>"1"</f>
        <v>1</v>
      </c>
      <c r="G201" s="2" t="str">
        <f>"1"</f>
        <v>1</v>
      </c>
      <c r="H201" s="2" t="str">
        <f>"1"</f>
        <v>1</v>
      </c>
      <c r="I201" s="1">
        <v>750000012000</v>
      </c>
    </row>
    <row r="202" spans="1:9" x14ac:dyDescent="0.25">
      <c r="A202" s="2">
        <v>201</v>
      </c>
      <c r="B202" s="3">
        <v>44834</v>
      </c>
      <c r="C202" s="2">
        <v>14</v>
      </c>
      <c r="D202" s="4" t="str">
        <f>"1481"</f>
        <v>1481</v>
      </c>
      <c r="E20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02" s="2" t="str">
        <f>"1"</f>
        <v>1</v>
      </c>
      <c r="G202" s="2" t="str">
        <f>"7"</f>
        <v>7</v>
      </c>
      <c r="H202" s="2" t="str">
        <f>"2"</f>
        <v>2</v>
      </c>
      <c r="I202" s="1">
        <v>195451100000</v>
      </c>
    </row>
    <row r="203" spans="1:9" x14ac:dyDescent="0.25">
      <c r="A203" s="2">
        <v>202</v>
      </c>
      <c r="B203" s="3">
        <v>44834</v>
      </c>
      <c r="C203" s="2">
        <v>14</v>
      </c>
      <c r="D203" s="4" t="str">
        <f>"1482"</f>
        <v>1482</v>
      </c>
      <c r="E203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03" s="2" t="str">
        <f>"2"</f>
        <v>2</v>
      </c>
      <c r="G203" s="2" t="str">
        <f>"7"</f>
        <v>7</v>
      </c>
      <c r="H203" s="2" t="str">
        <f>"2"</f>
        <v>2</v>
      </c>
      <c r="I203" s="1">
        <v>-56708325.170000002</v>
      </c>
    </row>
    <row r="204" spans="1:9" x14ac:dyDescent="0.25">
      <c r="A204" s="2">
        <v>203</v>
      </c>
      <c r="B204" s="3">
        <v>44834</v>
      </c>
      <c r="C204" s="2">
        <v>14</v>
      </c>
      <c r="D204" s="4" t="str">
        <f>"1482"</f>
        <v>1482</v>
      </c>
      <c r="E20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04" s="2" t="str">
        <f>"1"</f>
        <v>1</v>
      </c>
      <c r="G204" s="2" t="str">
        <f>"1"</f>
        <v>1</v>
      </c>
      <c r="H204" s="2" t="str">
        <f>"1"</f>
        <v>1</v>
      </c>
      <c r="I204" s="1">
        <v>-52150088.689999998</v>
      </c>
    </row>
    <row r="205" spans="1:9" x14ac:dyDescent="0.25">
      <c r="A205" s="2">
        <v>204</v>
      </c>
      <c r="B205" s="3">
        <v>44834</v>
      </c>
      <c r="C205" s="2">
        <v>14</v>
      </c>
      <c r="D205" s="4" t="str">
        <f>"1482"</f>
        <v>1482</v>
      </c>
      <c r="E205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05" s="2" t="str">
        <f>"1"</f>
        <v>1</v>
      </c>
      <c r="G205" s="2" t="str">
        <f>"7"</f>
        <v>7</v>
      </c>
      <c r="H205" s="2" t="str">
        <f>"2"</f>
        <v>2</v>
      </c>
      <c r="I205" s="1">
        <v>-31763.19</v>
      </c>
    </row>
    <row r="206" spans="1:9" x14ac:dyDescent="0.25">
      <c r="A206" s="2">
        <v>205</v>
      </c>
      <c r="B206" s="3">
        <v>44834</v>
      </c>
      <c r="C206" s="2">
        <v>14</v>
      </c>
      <c r="D206" s="4" t="str">
        <f>"1486"</f>
        <v>1486</v>
      </c>
      <c r="E206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06" s="2" t="str">
        <f>"1"</f>
        <v>1</v>
      </c>
      <c r="G206" s="2" t="str">
        <f>"7"</f>
        <v>7</v>
      </c>
      <c r="H206" s="2" t="str">
        <f>"2"</f>
        <v>2</v>
      </c>
      <c r="I206" s="1">
        <v>-101518941.23</v>
      </c>
    </row>
    <row r="207" spans="1:9" x14ac:dyDescent="0.25">
      <c r="A207" s="2">
        <v>206</v>
      </c>
      <c r="B207" s="3">
        <v>44834</v>
      </c>
      <c r="C207" s="2">
        <v>14</v>
      </c>
      <c r="D207" s="4" t="str">
        <f>"1486"</f>
        <v>1486</v>
      </c>
      <c r="E20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07" s="2" t="str">
        <f>"1"</f>
        <v>1</v>
      </c>
      <c r="G207" s="2" t="str">
        <f>"1"</f>
        <v>1</v>
      </c>
      <c r="H207" s="2" t="str">
        <f>"1"</f>
        <v>1</v>
      </c>
      <c r="I207" s="1">
        <v>-300954511.20999998</v>
      </c>
    </row>
    <row r="208" spans="1:9" x14ac:dyDescent="0.25">
      <c r="A208" s="2">
        <v>207</v>
      </c>
      <c r="B208" s="3">
        <v>44834</v>
      </c>
      <c r="C208" s="2">
        <v>14</v>
      </c>
      <c r="D208" s="4" t="str">
        <f>"1486"</f>
        <v>1486</v>
      </c>
      <c r="E20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08" s="2" t="str">
        <f>"2"</f>
        <v>2</v>
      </c>
      <c r="G208" s="2" t="str">
        <f>"7"</f>
        <v>7</v>
      </c>
      <c r="H208" s="2" t="str">
        <f>"2"</f>
        <v>2</v>
      </c>
      <c r="I208" s="1">
        <v>-21955555.98</v>
      </c>
    </row>
    <row r="209" spans="1:9" x14ac:dyDescent="0.25">
      <c r="A209" s="2">
        <v>208</v>
      </c>
      <c r="B209" s="3">
        <v>44834</v>
      </c>
      <c r="C209" s="2">
        <v>14</v>
      </c>
      <c r="D209" s="4" t="str">
        <f>"1491"</f>
        <v>1491</v>
      </c>
      <c r="E20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09" s="2" t="str">
        <f>"1"</f>
        <v>1</v>
      </c>
      <c r="G209" s="2" t="str">
        <f>"9"</f>
        <v>9</v>
      </c>
      <c r="H209" s="2" t="str">
        <f>"1"</f>
        <v>1</v>
      </c>
      <c r="I209" s="1">
        <v>3532820774.52</v>
      </c>
    </row>
    <row r="210" spans="1:9" x14ac:dyDescent="0.25">
      <c r="A210" s="2">
        <v>209</v>
      </c>
      <c r="B210" s="3">
        <v>44834</v>
      </c>
      <c r="C210" s="2">
        <v>14</v>
      </c>
      <c r="D210" s="4" t="str">
        <f>"1491"</f>
        <v>1491</v>
      </c>
      <c r="E210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10" s="2" t="str">
        <f>"1"</f>
        <v>1</v>
      </c>
      <c r="G210" s="2" t="str">
        <f>"7"</f>
        <v>7</v>
      </c>
      <c r="H210" s="2" t="str">
        <f>"1"</f>
        <v>1</v>
      </c>
      <c r="I210" s="1">
        <v>34069474075.740002</v>
      </c>
    </row>
    <row r="211" spans="1:9" x14ac:dyDescent="0.25">
      <c r="A211" s="2">
        <v>210</v>
      </c>
      <c r="B211" s="3">
        <v>44834</v>
      </c>
      <c r="C211" s="2">
        <v>14</v>
      </c>
      <c r="D211" s="4" t="str">
        <f>"1491"</f>
        <v>1491</v>
      </c>
      <c r="E21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11" s="2" t="str">
        <f>"1"</f>
        <v>1</v>
      </c>
      <c r="G211" s="2" t="str">
        <f>"6"</f>
        <v>6</v>
      </c>
      <c r="H211" s="2" t="str">
        <f>"1"</f>
        <v>1</v>
      </c>
      <c r="I211" s="1">
        <v>197145.02</v>
      </c>
    </row>
    <row r="212" spans="1:9" x14ac:dyDescent="0.25">
      <c r="A212" s="2">
        <v>211</v>
      </c>
      <c r="B212" s="3">
        <v>44834</v>
      </c>
      <c r="C212" s="2">
        <v>14</v>
      </c>
      <c r="D212" s="4" t="str">
        <f>"1492"</f>
        <v>1492</v>
      </c>
      <c r="E21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12" s="2" t="str">
        <f>"1"</f>
        <v>1</v>
      </c>
      <c r="G212" s="2" t="str">
        <f>"7"</f>
        <v>7</v>
      </c>
      <c r="H212" s="2" t="str">
        <f>"1"</f>
        <v>1</v>
      </c>
      <c r="I212" s="1">
        <v>-4560241708.6000004</v>
      </c>
    </row>
    <row r="213" spans="1:9" x14ac:dyDescent="0.25">
      <c r="A213" s="2">
        <v>212</v>
      </c>
      <c r="B213" s="3">
        <v>44834</v>
      </c>
      <c r="C213" s="2">
        <v>14</v>
      </c>
      <c r="D213" s="4" t="str">
        <f>"1492"</f>
        <v>1492</v>
      </c>
      <c r="E213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13" s="2" t="str">
        <f>"1"</f>
        <v>1</v>
      </c>
      <c r="G213" s="2" t="str">
        <f>"6"</f>
        <v>6</v>
      </c>
      <c r="H213" s="2" t="str">
        <f>"1"</f>
        <v>1</v>
      </c>
      <c r="I213" s="1">
        <v>-102435.32</v>
      </c>
    </row>
    <row r="214" spans="1:9" x14ac:dyDescent="0.25">
      <c r="A214" s="2">
        <v>213</v>
      </c>
      <c r="B214" s="3">
        <v>44834</v>
      </c>
      <c r="C214" s="2">
        <v>14</v>
      </c>
      <c r="D214" s="4" t="str">
        <f>"1492"</f>
        <v>1492</v>
      </c>
      <c r="E21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14" s="2" t="str">
        <f>"1"</f>
        <v>1</v>
      </c>
      <c r="G214" s="2" t="str">
        <f>"9"</f>
        <v>9</v>
      </c>
      <c r="H214" s="2" t="str">
        <f>"1"</f>
        <v>1</v>
      </c>
      <c r="I214" s="1">
        <v>-225491005.09999999</v>
      </c>
    </row>
    <row r="215" spans="1:9" x14ac:dyDescent="0.25">
      <c r="A215" s="2">
        <v>214</v>
      </c>
      <c r="B215" s="3">
        <v>44834</v>
      </c>
      <c r="C215" s="2">
        <v>14</v>
      </c>
      <c r="D215" s="4" t="str">
        <f>"1494"</f>
        <v>1494</v>
      </c>
      <c r="E215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15" s="2" t="str">
        <f>"1"</f>
        <v>1</v>
      </c>
      <c r="G215" s="2" t="str">
        <f>"7"</f>
        <v>7</v>
      </c>
      <c r="H215" s="2" t="str">
        <f>"1"</f>
        <v>1</v>
      </c>
      <c r="I215" s="1">
        <v>606364563.19000006</v>
      </c>
    </row>
    <row r="216" spans="1:9" x14ac:dyDescent="0.25">
      <c r="A216" s="2">
        <v>215</v>
      </c>
      <c r="B216" s="3">
        <v>44834</v>
      </c>
      <c r="C216" s="2">
        <v>14</v>
      </c>
      <c r="D216" s="4" t="str">
        <f>"1494"</f>
        <v>1494</v>
      </c>
      <c r="E216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16" s="2" t="str">
        <f>"1"</f>
        <v>1</v>
      </c>
      <c r="G216" s="2" t="str">
        <f>"9"</f>
        <v>9</v>
      </c>
      <c r="H216" s="2" t="str">
        <f>"1"</f>
        <v>1</v>
      </c>
      <c r="I216" s="1">
        <v>13998148.34</v>
      </c>
    </row>
    <row r="217" spans="1:9" x14ac:dyDescent="0.25">
      <c r="A217" s="2">
        <v>216</v>
      </c>
      <c r="B217" s="3">
        <v>44834</v>
      </c>
      <c r="C217" s="2">
        <v>14</v>
      </c>
      <c r="D217" s="4" t="str">
        <f>"1494"</f>
        <v>1494</v>
      </c>
      <c r="E217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17" s="2" t="str">
        <f>"1"</f>
        <v>1</v>
      </c>
      <c r="G217" s="2" t="str">
        <f>"6"</f>
        <v>6</v>
      </c>
      <c r="H217" s="2" t="str">
        <f>"1"</f>
        <v>1</v>
      </c>
      <c r="I217" s="1">
        <v>1516.49</v>
      </c>
    </row>
    <row r="218" spans="1:9" x14ac:dyDescent="0.25">
      <c r="A218" s="2">
        <v>217</v>
      </c>
      <c r="B218" s="3">
        <v>44834</v>
      </c>
      <c r="C218" s="2">
        <v>14</v>
      </c>
      <c r="D218" s="4" t="str">
        <f>"1495"</f>
        <v>1495</v>
      </c>
      <c r="E218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18" s="2" t="str">
        <f>"1"</f>
        <v>1</v>
      </c>
      <c r="G218" s="2" t="str">
        <f>"9"</f>
        <v>9</v>
      </c>
      <c r="H218" s="2" t="str">
        <f>"1"</f>
        <v>1</v>
      </c>
      <c r="I218" s="1">
        <v>-761449980.60000002</v>
      </c>
    </row>
    <row r="219" spans="1:9" x14ac:dyDescent="0.25">
      <c r="A219" s="2">
        <v>218</v>
      </c>
      <c r="B219" s="3">
        <v>44834</v>
      </c>
      <c r="C219" s="2">
        <v>14</v>
      </c>
      <c r="D219" s="4" t="str">
        <f>"1495"</f>
        <v>1495</v>
      </c>
      <c r="E219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19" s="2" t="str">
        <f>"1"</f>
        <v>1</v>
      </c>
      <c r="G219" s="2" t="str">
        <f>"7"</f>
        <v>7</v>
      </c>
      <c r="H219" s="2" t="str">
        <f>"1"</f>
        <v>1</v>
      </c>
      <c r="I219" s="1">
        <v>-25106352907.16</v>
      </c>
    </row>
    <row r="220" spans="1:9" x14ac:dyDescent="0.25">
      <c r="A220" s="2">
        <v>219</v>
      </c>
      <c r="B220" s="3">
        <v>44834</v>
      </c>
      <c r="C220" s="2">
        <v>14</v>
      </c>
      <c r="D220" s="4" t="str">
        <f>"1495"</f>
        <v>1495</v>
      </c>
      <c r="E220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20" s="2" t="str">
        <f>"1"</f>
        <v>1</v>
      </c>
      <c r="G220" s="2" t="str">
        <f>"6"</f>
        <v>6</v>
      </c>
      <c r="H220" s="2" t="str">
        <f>"1"</f>
        <v>1</v>
      </c>
      <c r="I220" s="1">
        <v>-65260.6</v>
      </c>
    </row>
    <row r="221" spans="1:9" x14ac:dyDescent="0.25">
      <c r="A221" s="2">
        <v>220</v>
      </c>
      <c r="B221" s="3">
        <v>44834</v>
      </c>
      <c r="C221" s="2">
        <v>14</v>
      </c>
      <c r="D221" s="4" t="str">
        <f>"1551"</f>
        <v>1551</v>
      </c>
      <c r="E221" t="str">
        <f>"Расчеты с другими банками"</f>
        <v>Расчеты с другими банками</v>
      </c>
      <c r="F221" s="2" t="str">
        <f>"1"</f>
        <v>1</v>
      </c>
      <c r="G221" s="2" t="str">
        <f>"4"</f>
        <v>4</v>
      </c>
      <c r="H221" s="2" t="str">
        <f>"1"</f>
        <v>1</v>
      </c>
      <c r="I221" s="1">
        <v>401939607.02999997</v>
      </c>
    </row>
    <row r="222" spans="1:9" x14ac:dyDescent="0.25">
      <c r="A222" s="2">
        <v>221</v>
      </c>
      <c r="B222" s="3">
        <v>44834</v>
      </c>
      <c r="C222" s="2">
        <v>14</v>
      </c>
      <c r="D222" s="4" t="str">
        <f>"1551"</f>
        <v>1551</v>
      </c>
      <c r="E222" t="str">
        <f>"Расчеты с другими банками"</f>
        <v>Расчеты с другими банками</v>
      </c>
      <c r="F222" s="2" t="str">
        <f>"1"</f>
        <v>1</v>
      </c>
      <c r="G222" s="2" t="str">
        <f>"4"</f>
        <v>4</v>
      </c>
      <c r="H222" s="2" t="str">
        <f>"2"</f>
        <v>2</v>
      </c>
      <c r="I222" s="1">
        <v>60740748.310000002</v>
      </c>
    </row>
    <row r="223" spans="1:9" x14ac:dyDescent="0.25">
      <c r="A223" s="2">
        <v>222</v>
      </c>
      <c r="B223" s="3">
        <v>44834</v>
      </c>
      <c r="C223" s="2">
        <v>14</v>
      </c>
      <c r="D223" s="4" t="str">
        <f>"1551"</f>
        <v>1551</v>
      </c>
      <c r="E223" t="str">
        <f>"Расчеты с другими банками"</f>
        <v>Расчеты с другими банками</v>
      </c>
      <c r="F223" s="2" t="str">
        <f>"2"</f>
        <v>2</v>
      </c>
      <c r="G223" s="2" t="str">
        <f>"4"</f>
        <v>4</v>
      </c>
      <c r="H223" s="2" t="str">
        <f>"2"</f>
        <v>2</v>
      </c>
      <c r="I223" s="1">
        <v>60748781.409999996</v>
      </c>
    </row>
    <row r="224" spans="1:9" x14ac:dyDescent="0.25">
      <c r="A224" s="2">
        <v>223</v>
      </c>
      <c r="B224" s="3">
        <v>44834</v>
      </c>
      <c r="C224" s="2">
        <v>14</v>
      </c>
      <c r="D224" s="4" t="str">
        <f>"1551"</f>
        <v>1551</v>
      </c>
      <c r="E224" t="str">
        <f>"Расчеты с другими банками"</f>
        <v>Расчеты с другими банками</v>
      </c>
      <c r="F224" s="2" t="str">
        <f>"2"</f>
        <v>2</v>
      </c>
      <c r="G224" s="2" t="str">
        <f>"4"</f>
        <v>4</v>
      </c>
      <c r="H224" s="2" t="str">
        <f>"1"</f>
        <v>1</v>
      </c>
      <c r="I224" s="1">
        <v>2563737.38</v>
      </c>
    </row>
    <row r="225" spans="1:9" x14ac:dyDescent="0.25">
      <c r="A225" s="2">
        <v>224</v>
      </c>
      <c r="B225" s="3">
        <v>44834</v>
      </c>
      <c r="C225" s="2">
        <v>14</v>
      </c>
      <c r="D225" s="4" t="str">
        <f>"1552"</f>
        <v>1552</v>
      </c>
      <c r="E225" t="str">
        <f>"Расчеты с клиентами"</f>
        <v>Расчеты с клиентами</v>
      </c>
      <c r="F225" s="2" t="str">
        <f>"2"</f>
        <v>2</v>
      </c>
      <c r="G225" s="2" t="str">
        <f>"7"</f>
        <v>7</v>
      </c>
      <c r="H225" s="2" t="str">
        <f>"1"</f>
        <v>1</v>
      </c>
      <c r="I225" s="1">
        <v>18094030456.09</v>
      </c>
    </row>
    <row r="226" spans="1:9" x14ac:dyDescent="0.25">
      <c r="A226" s="2">
        <v>225</v>
      </c>
      <c r="B226" s="3">
        <v>44834</v>
      </c>
      <c r="C226" s="2">
        <v>14</v>
      </c>
      <c r="D226" s="4" t="str">
        <f>"1552"</f>
        <v>1552</v>
      </c>
      <c r="E226" t="str">
        <f>"Расчеты с клиентами"</f>
        <v>Расчеты с клиентами</v>
      </c>
      <c r="F226" s="2" t="str">
        <f>"1"</f>
        <v>1</v>
      </c>
      <c r="G226" s="2" t="str">
        <f>"7"</f>
        <v>7</v>
      </c>
      <c r="H226" s="2" t="str">
        <f>"1"</f>
        <v>1</v>
      </c>
      <c r="I226" s="1">
        <v>64547.39</v>
      </c>
    </row>
    <row r="227" spans="1:9" x14ac:dyDescent="0.25">
      <c r="A227" s="2">
        <v>226</v>
      </c>
      <c r="B227" s="3">
        <v>44834</v>
      </c>
      <c r="C227" s="2">
        <v>14</v>
      </c>
      <c r="D227" s="4" t="str">
        <f>"1552"</f>
        <v>1552</v>
      </c>
      <c r="E227" t="str">
        <f>"Расчеты с клиентами"</f>
        <v>Расчеты с клиентами</v>
      </c>
      <c r="F227" s="2" t="str">
        <f>"2"</f>
        <v>2</v>
      </c>
      <c r="G227" s="2" t="str">
        <f>"7"</f>
        <v>7</v>
      </c>
      <c r="H227" s="2" t="str">
        <f>"2"</f>
        <v>2</v>
      </c>
      <c r="I227" s="1">
        <v>1952409690.6600001</v>
      </c>
    </row>
    <row r="228" spans="1:9" x14ac:dyDescent="0.25">
      <c r="A228" s="2">
        <v>227</v>
      </c>
      <c r="B228" s="3">
        <v>44834</v>
      </c>
      <c r="C228" s="2">
        <v>14</v>
      </c>
      <c r="D228" s="4" t="str">
        <f>"1602"</f>
        <v>1602</v>
      </c>
      <c r="E228" t="str">
        <f>"Прочие запасы"</f>
        <v>Прочие запасы</v>
      </c>
      <c r="F228" s="2" t="str">
        <f>""</f>
        <v/>
      </c>
      <c r="G228" s="2" t="str">
        <f>""</f>
        <v/>
      </c>
      <c r="H228" s="2" t="str">
        <f>""</f>
        <v/>
      </c>
      <c r="I228" s="1">
        <v>2714112264.1300001</v>
      </c>
    </row>
    <row r="229" spans="1:9" x14ac:dyDescent="0.25">
      <c r="A229" s="2">
        <v>228</v>
      </c>
      <c r="B229" s="3">
        <v>44834</v>
      </c>
      <c r="C229" s="2">
        <v>14</v>
      </c>
      <c r="D229" s="4" t="str">
        <f>"1610"</f>
        <v>1610</v>
      </c>
      <c r="E229" t="str">
        <f>"Долгосрочные активы, предназначенные для продажи"</f>
        <v>Долгосрочные активы, предназначенные для продажи</v>
      </c>
      <c r="F229" s="2" t="str">
        <f>""</f>
        <v/>
      </c>
      <c r="G229" s="2" t="str">
        <f>""</f>
        <v/>
      </c>
      <c r="H229" s="2" t="str">
        <f>""</f>
        <v/>
      </c>
      <c r="I229" s="1">
        <v>24866211713.040001</v>
      </c>
    </row>
    <row r="230" spans="1:9" x14ac:dyDescent="0.25">
      <c r="A230" s="2">
        <v>229</v>
      </c>
      <c r="B230" s="3">
        <v>44834</v>
      </c>
      <c r="C230" s="2">
        <v>14</v>
      </c>
      <c r="D230" s="4" t="str">
        <f>"1651"</f>
        <v>1651</v>
      </c>
      <c r="E230" t="str">
        <f>"Строящиеся (устанавливаемые) основные средства"</f>
        <v>Строящиеся (устанавливаемые) основные средства</v>
      </c>
      <c r="F230" s="2" t="str">
        <f>""</f>
        <v/>
      </c>
      <c r="G230" s="2" t="str">
        <f>""</f>
        <v/>
      </c>
      <c r="H230" s="2" t="str">
        <f>""</f>
        <v/>
      </c>
      <c r="I230" s="1">
        <v>571605750.89999998</v>
      </c>
    </row>
    <row r="231" spans="1:9" x14ac:dyDescent="0.25">
      <c r="A231" s="2">
        <v>230</v>
      </c>
      <c r="B231" s="3">
        <v>44834</v>
      </c>
      <c r="C231" s="2">
        <v>14</v>
      </c>
      <c r="D231" s="4" t="str">
        <f>"1652"</f>
        <v>1652</v>
      </c>
      <c r="E231" t="str">
        <f>"Земля, здания и сооружения"</f>
        <v>Земля, здания и сооружения</v>
      </c>
      <c r="F231" s="2" t="str">
        <f>""</f>
        <v/>
      </c>
      <c r="G231" s="2" t="str">
        <f>""</f>
        <v/>
      </c>
      <c r="H231" s="2" t="str">
        <f>""</f>
        <v/>
      </c>
      <c r="I231" s="1">
        <v>105740060891.07001</v>
      </c>
    </row>
    <row r="232" spans="1:9" x14ac:dyDescent="0.25">
      <c r="A232" s="2">
        <v>231</v>
      </c>
      <c r="B232" s="3">
        <v>44834</v>
      </c>
      <c r="C232" s="2">
        <v>14</v>
      </c>
      <c r="D232" s="4" t="str">
        <f>"1653"</f>
        <v>1653</v>
      </c>
      <c r="E232" t="str">
        <f>"Компьютерное оборудование"</f>
        <v>Компьютерное оборудование</v>
      </c>
      <c r="F232" s="2" t="str">
        <f>""</f>
        <v/>
      </c>
      <c r="G232" s="2" t="str">
        <f>""</f>
        <v/>
      </c>
      <c r="H232" s="2" t="str">
        <f>""</f>
        <v/>
      </c>
      <c r="I232" s="1">
        <v>19115240851.48</v>
      </c>
    </row>
    <row r="233" spans="1:9" x14ac:dyDescent="0.25">
      <c r="A233" s="2">
        <v>232</v>
      </c>
      <c r="B233" s="3">
        <v>44834</v>
      </c>
      <c r="C233" s="2">
        <v>14</v>
      </c>
      <c r="D233" s="4" t="str">
        <f>"1654"</f>
        <v>1654</v>
      </c>
      <c r="E233" t="str">
        <f>"Прочие основные средства"</f>
        <v>Прочие основные средства</v>
      </c>
      <c r="F233" s="2" t="str">
        <f>""</f>
        <v/>
      </c>
      <c r="G233" s="2" t="str">
        <f>""</f>
        <v/>
      </c>
      <c r="H233" s="2" t="str">
        <f>""</f>
        <v/>
      </c>
      <c r="I233" s="1">
        <v>54735118864.800003</v>
      </c>
    </row>
    <row r="234" spans="1:9" x14ac:dyDescent="0.25">
      <c r="A234" s="2">
        <v>233</v>
      </c>
      <c r="B234" s="3">
        <v>44834</v>
      </c>
      <c r="C234" s="2">
        <v>14</v>
      </c>
      <c r="D234" s="4" t="str">
        <f>"1655"</f>
        <v>1655</v>
      </c>
      <c r="E234" t="str">
        <f>"Активы в форме права пользования"</f>
        <v>Активы в форме права пользования</v>
      </c>
      <c r="F234" s="2" t="str">
        <f>""</f>
        <v/>
      </c>
      <c r="G234" s="2" t="str">
        <f>""</f>
        <v/>
      </c>
      <c r="H234" s="2" t="str">
        <f>""</f>
        <v/>
      </c>
      <c r="I234" s="1">
        <v>6309916864.0600004</v>
      </c>
    </row>
    <row r="235" spans="1:9" x14ac:dyDescent="0.25">
      <c r="A235" s="2">
        <v>234</v>
      </c>
      <c r="B235" s="3">
        <v>44834</v>
      </c>
      <c r="C235" s="2">
        <v>14</v>
      </c>
      <c r="D235" s="4" t="str">
        <f>"1657"</f>
        <v>1657</v>
      </c>
      <c r="E235" t="str">
        <f>"Капитальные затраты по активам в форме права пользования"</f>
        <v>Капитальные затраты по активам в форме права пользования</v>
      </c>
      <c r="F235" s="2" t="str">
        <f>""</f>
        <v/>
      </c>
      <c r="G235" s="2" t="str">
        <f>""</f>
        <v/>
      </c>
      <c r="H235" s="2" t="str">
        <f>""</f>
        <v/>
      </c>
      <c r="I235" s="1">
        <v>8944603.3000000007</v>
      </c>
    </row>
    <row r="236" spans="1:9" x14ac:dyDescent="0.25">
      <c r="A236" s="2">
        <v>235</v>
      </c>
      <c r="B236" s="3">
        <v>44834</v>
      </c>
      <c r="C236" s="2">
        <v>14</v>
      </c>
      <c r="D236" s="4" t="str">
        <f>"1658"</f>
        <v>1658</v>
      </c>
      <c r="E236" t="str">
        <f>"Транспортные средства"</f>
        <v>Транспортные средства</v>
      </c>
      <c r="F236" s="2" t="str">
        <f>""</f>
        <v/>
      </c>
      <c r="G236" s="2" t="str">
        <f>""</f>
        <v/>
      </c>
      <c r="H236" s="2" t="str">
        <f>""</f>
        <v/>
      </c>
      <c r="I236" s="1">
        <v>1645782146.0999999</v>
      </c>
    </row>
    <row r="237" spans="1:9" x14ac:dyDescent="0.25">
      <c r="A237" s="2">
        <v>236</v>
      </c>
      <c r="B237" s="3">
        <v>44834</v>
      </c>
      <c r="C237" s="2">
        <v>14</v>
      </c>
      <c r="D237" s="4" t="str">
        <f>"1659"</f>
        <v>1659</v>
      </c>
      <c r="E237" t="str">
        <f>"Нематериальные активы"</f>
        <v>Нематериальные активы</v>
      </c>
      <c r="F237" s="2" t="str">
        <f>""</f>
        <v/>
      </c>
      <c r="G237" s="2" t="str">
        <f>""</f>
        <v/>
      </c>
      <c r="H237" s="2" t="str">
        <f>""</f>
        <v/>
      </c>
      <c r="I237" s="1">
        <v>21829130788.139999</v>
      </c>
    </row>
    <row r="238" spans="1:9" x14ac:dyDescent="0.25">
      <c r="A238" s="2">
        <v>237</v>
      </c>
      <c r="B238" s="3">
        <v>44834</v>
      </c>
      <c r="C238" s="2">
        <v>14</v>
      </c>
      <c r="D238" s="4" t="str">
        <f>"1660"</f>
        <v>1660</v>
      </c>
      <c r="E238" t="str">
        <f>"Создаваемые (разрабатываемые) нематериальные активы"</f>
        <v>Создаваемые (разрабатываемые) нематериальные активы</v>
      </c>
      <c r="F238" s="2" t="str">
        <f>""</f>
        <v/>
      </c>
      <c r="G238" s="2" t="str">
        <f>""</f>
        <v/>
      </c>
      <c r="H238" s="2" t="str">
        <f>""</f>
        <v/>
      </c>
      <c r="I238" s="1">
        <v>535135557.58999997</v>
      </c>
    </row>
    <row r="239" spans="1:9" x14ac:dyDescent="0.25">
      <c r="A239" s="2">
        <v>238</v>
      </c>
      <c r="B239" s="3">
        <v>44834</v>
      </c>
      <c r="C239" s="2">
        <v>14</v>
      </c>
      <c r="D239" s="4" t="str">
        <f>"1661"</f>
        <v>1661</v>
      </c>
      <c r="E239" t="str">
        <f>"Гудвилл"</f>
        <v>Гудвилл</v>
      </c>
      <c r="F239" s="2" t="str">
        <f>""</f>
        <v/>
      </c>
      <c r="G239" s="2" t="str">
        <f>""</f>
        <v/>
      </c>
      <c r="H239" s="2" t="str">
        <f>""</f>
        <v/>
      </c>
      <c r="I239" s="1">
        <v>3131799913.5</v>
      </c>
    </row>
    <row r="240" spans="1:9" x14ac:dyDescent="0.25">
      <c r="A240" s="2">
        <v>239</v>
      </c>
      <c r="B240" s="3">
        <v>44834</v>
      </c>
      <c r="C240" s="2">
        <v>14</v>
      </c>
      <c r="D240" s="4" t="str">
        <f>"1692"</f>
        <v>1692</v>
      </c>
      <c r="E240" t="str">
        <f>"Начисленная амортизация по зданиям и сооружениям"</f>
        <v>Начисленная амортизация по зданиям и сооружениям</v>
      </c>
      <c r="F240" s="2" t="str">
        <f>""</f>
        <v/>
      </c>
      <c r="G240" s="2" t="str">
        <f>""</f>
        <v/>
      </c>
      <c r="H240" s="2" t="str">
        <f>""</f>
        <v/>
      </c>
      <c r="I240" s="1">
        <v>-3831266142.1900001</v>
      </c>
    </row>
    <row r="241" spans="1:9" x14ac:dyDescent="0.25">
      <c r="A241" s="2">
        <v>240</v>
      </c>
      <c r="B241" s="3">
        <v>44834</v>
      </c>
      <c r="C241" s="2">
        <v>14</v>
      </c>
      <c r="D241" s="4" t="str">
        <f>"1693"</f>
        <v>1693</v>
      </c>
      <c r="E241" t="str">
        <f>"Начисленная амортизация по компьютерному оборудованию"</f>
        <v>Начисленная амортизация по компьютерному оборудованию</v>
      </c>
      <c r="F241" s="2" t="str">
        <f>""</f>
        <v/>
      </c>
      <c r="G241" s="2" t="str">
        <f>""</f>
        <v/>
      </c>
      <c r="H241" s="2" t="str">
        <f>""</f>
        <v/>
      </c>
      <c r="I241" s="1">
        <v>-10430463979.5</v>
      </c>
    </row>
    <row r="242" spans="1:9" x14ac:dyDescent="0.25">
      <c r="A242" s="2">
        <v>241</v>
      </c>
      <c r="B242" s="3">
        <v>44834</v>
      </c>
      <c r="C242" s="2">
        <v>14</v>
      </c>
      <c r="D242" s="4" t="str">
        <f>"1694"</f>
        <v>1694</v>
      </c>
      <c r="E242" t="str">
        <f>"Начисленная амортизация по прочим основным средствам"</f>
        <v>Начисленная амортизация по прочим основным средствам</v>
      </c>
      <c r="F242" s="2" t="str">
        <f>""</f>
        <v/>
      </c>
      <c r="G242" s="2" t="str">
        <f>""</f>
        <v/>
      </c>
      <c r="H242" s="2" t="str">
        <f>""</f>
        <v/>
      </c>
      <c r="I242" s="1">
        <v>-27856750614.07</v>
      </c>
    </row>
    <row r="243" spans="1:9" x14ac:dyDescent="0.25">
      <c r="A243" s="2">
        <v>242</v>
      </c>
      <c r="B243" s="3">
        <v>44834</v>
      </c>
      <c r="C243" s="2">
        <v>14</v>
      </c>
      <c r="D243" s="4" t="str">
        <f>"1695"</f>
        <v>1695</v>
      </c>
      <c r="E243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243" s="2" t="str">
        <f>""</f>
        <v/>
      </c>
      <c r="G243" s="2" t="str">
        <f>""</f>
        <v/>
      </c>
      <c r="H243" s="2" t="str">
        <f>""</f>
        <v/>
      </c>
      <c r="I243" s="1">
        <v>-2739730456.0999999</v>
      </c>
    </row>
    <row r="244" spans="1:9" x14ac:dyDescent="0.25">
      <c r="A244" s="2">
        <v>243</v>
      </c>
      <c r="B244" s="3">
        <v>44834</v>
      </c>
      <c r="C244" s="2">
        <v>14</v>
      </c>
      <c r="D244" s="4" t="str">
        <f>"1697"</f>
        <v>1697</v>
      </c>
      <c r="E244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244" s="2" t="str">
        <f>""</f>
        <v/>
      </c>
      <c r="G244" s="2" t="str">
        <f>""</f>
        <v/>
      </c>
      <c r="H244" s="2" t="str">
        <f>""</f>
        <v/>
      </c>
      <c r="I244" s="1">
        <v>-8438305</v>
      </c>
    </row>
    <row r="245" spans="1:9" x14ac:dyDescent="0.25">
      <c r="A245" s="2">
        <v>244</v>
      </c>
      <c r="B245" s="3">
        <v>44834</v>
      </c>
      <c r="C245" s="2">
        <v>14</v>
      </c>
      <c r="D245" s="4" t="str">
        <f>"1698"</f>
        <v>1698</v>
      </c>
      <c r="E245" t="str">
        <f>"Начисленная амортизация по транспортным средствам"</f>
        <v>Начисленная амортизация по транспортным средствам</v>
      </c>
      <c r="F245" s="2" t="str">
        <f>""</f>
        <v/>
      </c>
      <c r="G245" s="2" t="str">
        <f>""</f>
        <v/>
      </c>
      <c r="H245" s="2" t="str">
        <f>""</f>
        <v/>
      </c>
      <c r="I245" s="1">
        <v>-895169601.48000002</v>
      </c>
    </row>
    <row r="246" spans="1:9" x14ac:dyDescent="0.25">
      <c r="A246" s="2">
        <v>245</v>
      </c>
      <c r="B246" s="3">
        <v>44834</v>
      </c>
      <c r="C246" s="2">
        <v>14</v>
      </c>
      <c r="D246" s="4" t="str">
        <f>"1699"</f>
        <v>1699</v>
      </c>
      <c r="E246" t="str">
        <f>"Начисленная амортизация по нематериальным активам"</f>
        <v>Начисленная амортизация по нематериальным активам</v>
      </c>
      <c r="F246" s="2" t="str">
        <f>""</f>
        <v/>
      </c>
      <c r="G246" s="2" t="str">
        <f>""</f>
        <v/>
      </c>
      <c r="H246" s="2" t="str">
        <f>""</f>
        <v/>
      </c>
      <c r="I246" s="1">
        <v>-14077185809.709999</v>
      </c>
    </row>
    <row r="247" spans="1:9" x14ac:dyDescent="0.25">
      <c r="A247" s="2">
        <v>246</v>
      </c>
      <c r="B247" s="3">
        <v>44834</v>
      </c>
      <c r="C247" s="2">
        <v>14</v>
      </c>
      <c r="D247" s="4" t="str">
        <f>"1710"</f>
        <v>1710</v>
      </c>
      <c r="E247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247" s="2" t="str">
        <f>"1"</f>
        <v>1</v>
      </c>
      <c r="G247" s="2" t="str">
        <f>"3"</f>
        <v>3</v>
      </c>
      <c r="H247" s="2" t="str">
        <f>"2"</f>
        <v>2</v>
      </c>
      <c r="I247" s="1">
        <v>559061657.26999998</v>
      </c>
    </row>
    <row r="248" spans="1:9" x14ac:dyDescent="0.25">
      <c r="A248" s="2">
        <v>247</v>
      </c>
      <c r="B248" s="3">
        <v>44834</v>
      </c>
      <c r="C248" s="2">
        <v>14</v>
      </c>
      <c r="D248" s="4" t="str">
        <f>"1725"</f>
        <v>1725</v>
      </c>
      <c r="E248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48" s="2" t="str">
        <f>"2"</f>
        <v>2</v>
      </c>
      <c r="G248" s="2" t="str">
        <f>"4"</f>
        <v>4</v>
      </c>
      <c r="H248" s="2" t="str">
        <f>"2"</f>
        <v>2</v>
      </c>
      <c r="I248" s="1">
        <v>964186391.97000003</v>
      </c>
    </row>
    <row r="249" spans="1:9" x14ac:dyDescent="0.25">
      <c r="A249" s="2">
        <v>248</v>
      </c>
      <c r="B249" s="3">
        <v>44834</v>
      </c>
      <c r="C249" s="2">
        <v>14</v>
      </c>
      <c r="D249" s="4" t="str">
        <f>"1725"</f>
        <v>1725</v>
      </c>
      <c r="E249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49" s="2" t="str">
        <f>"2"</f>
        <v>2</v>
      </c>
      <c r="G249" s="2" t="str">
        <f>"4"</f>
        <v>4</v>
      </c>
      <c r="H249" s="2" t="str">
        <f>"1"</f>
        <v>1</v>
      </c>
      <c r="I249" s="1">
        <v>417895486.12</v>
      </c>
    </row>
    <row r="250" spans="1:9" x14ac:dyDescent="0.25">
      <c r="A250" s="2">
        <v>249</v>
      </c>
      <c r="B250" s="3">
        <v>44834</v>
      </c>
      <c r="C250" s="2">
        <v>14</v>
      </c>
      <c r="D250" s="4" t="str">
        <f>"1728"</f>
        <v>1728</v>
      </c>
      <c r="E250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250" s="2" t="str">
        <f>"2"</f>
        <v>2</v>
      </c>
      <c r="G250" s="2" t="str">
        <f>"5"</f>
        <v>5</v>
      </c>
      <c r="H250" s="2" t="str">
        <f>"2"</f>
        <v>2</v>
      </c>
      <c r="I250" s="1">
        <v>94147574.489999995</v>
      </c>
    </row>
    <row r="251" spans="1:9" x14ac:dyDescent="0.25">
      <c r="A251" s="2">
        <v>250</v>
      </c>
      <c r="B251" s="3">
        <v>44834</v>
      </c>
      <c r="C251" s="2">
        <v>14</v>
      </c>
      <c r="D251" s="4" t="str">
        <f>"1730"</f>
        <v>1730</v>
      </c>
      <c r="E251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251" s="2" t="str">
        <f>"2"</f>
        <v>2</v>
      </c>
      <c r="G251" s="2" t="str">
        <f>"4"</f>
        <v>4</v>
      </c>
      <c r="H251" s="2" t="str">
        <f>"2"</f>
        <v>2</v>
      </c>
      <c r="I251" s="1">
        <v>972945308.55999994</v>
      </c>
    </row>
    <row r="252" spans="1:9" x14ac:dyDescent="0.25">
      <c r="A252" s="2">
        <v>251</v>
      </c>
      <c r="B252" s="3">
        <v>44834</v>
      </c>
      <c r="C252" s="2">
        <v>14</v>
      </c>
      <c r="D252" s="4" t="str">
        <f>"1740"</f>
        <v>1740</v>
      </c>
      <c r="E25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52" s="2" t="str">
        <f>"2"</f>
        <v>2</v>
      </c>
      <c r="G252" s="2" t="str">
        <f>"9"</f>
        <v>9</v>
      </c>
      <c r="H252" s="2" t="str">
        <f>"2"</f>
        <v>2</v>
      </c>
      <c r="I252" s="1">
        <v>3188246.01</v>
      </c>
    </row>
    <row r="253" spans="1:9" x14ac:dyDescent="0.25">
      <c r="A253" s="2">
        <v>252</v>
      </c>
      <c r="B253" s="3">
        <v>44834</v>
      </c>
      <c r="C253" s="2">
        <v>14</v>
      </c>
      <c r="D253" s="4" t="str">
        <f>"1740"</f>
        <v>1740</v>
      </c>
      <c r="E25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53" s="2" t="str">
        <f>"1"</f>
        <v>1</v>
      </c>
      <c r="G253" s="2" t="str">
        <f>"7"</f>
        <v>7</v>
      </c>
      <c r="H253" s="2" t="str">
        <f>"3"</f>
        <v>3</v>
      </c>
      <c r="I253" s="1">
        <v>1755573708.3900001</v>
      </c>
    </row>
    <row r="254" spans="1:9" x14ac:dyDescent="0.25">
      <c r="A254" s="2">
        <v>253</v>
      </c>
      <c r="B254" s="3">
        <v>44834</v>
      </c>
      <c r="C254" s="2">
        <v>14</v>
      </c>
      <c r="D254" s="4" t="str">
        <f>"1740"</f>
        <v>1740</v>
      </c>
      <c r="E25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54" s="2" t="str">
        <f>"1"</f>
        <v>1</v>
      </c>
      <c r="G254" s="2" t="str">
        <f>"9"</f>
        <v>9</v>
      </c>
      <c r="H254" s="2" t="str">
        <f>"1"</f>
        <v>1</v>
      </c>
      <c r="I254" s="1">
        <v>24032639704.880001</v>
      </c>
    </row>
    <row r="255" spans="1:9" x14ac:dyDescent="0.25">
      <c r="A255" s="2">
        <v>254</v>
      </c>
      <c r="B255" s="3">
        <v>44834</v>
      </c>
      <c r="C255" s="2">
        <v>14</v>
      </c>
      <c r="D255" s="4" t="str">
        <f>"1740"</f>
        <v>1740</v>
      </c>
      <c r="E25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55" s="2" t="str">
        <f>"2"</f>
        <v>2</v>
      </c>
      <c r="G255" s="2" t="str">
        <f>"7"</f>
        <v>7</v>
      </c>
      <c r="H255" s="2" t="str">
        <f>"1"</f>
        <v>1</v>
      </c>
      <c r="I255" s="1">
        <v>2965850825.54</v>
      </c>
    </row>
    <row r="256" spans="1:9" x14ac:dyDescent="0.25">
      <c r="A256" s="2">
        <v>255</v>
      </c>
      <c r="B256" s="3">
        <v>44834</v>
      </c>
      <c r="C256" s="2">
        <v>14</v>
      </c>
      <c r="D256" s="4" t="str">
        <f>"1740"</f>
        <v>1740</v>
      </c>
      <c r="E25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56" s="2" t="str">
        <f>"1"</f>
        <v>1</v>
      </c>
      <c r="G256" s="2" t="str">
        <f>"6"</f>
        <v>6</v>
      </c>
      <c r="H256" s="2" t="str">
        <f>"1"</f>
        <v>1</v>
      </c>
      <c r="I256" s="1">
        <v>4614806225.3900003</v>
      </c>
    </row>
    <row r="257" spans="1:9" x14ac:dyDescent="0.25">
      <c r="A257" s="2">
        <v>256</v>
      </c>
      <c r="B257" s="3">
        <v>44834</v>
      </c>
      <c r="C257" s="2">
        <v>14</v>
      </c>
      <c r="D257" s="4" t="str">
        <f>"1740"</f>
        <v>1740</v>
      </c>
      <c r="E25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57" s="2" t="str">
        <f>"1"</f>
        <v>1</v>
      </c>
      <c r="G257" s="2" t="str">
        <f>"7"</f>
        <v>7</v>
      </c>
      <c r="H257" s="2" t="str">
        <f>"1"</f>
        <v>1</v>
      </c>
      <c r="I257" s="1">
        <v>88384030678.080002</v>
      </c>
    </row>
    <row r="258" spans="1:9" x14ac:dyDescent="0.25">
      <c r="A258" s="2">
        <v>257</v>
      </c>
      <c r="B258" s="3">
        <v>44834</v>
      </c>
      <c r="C258" s="2">
        <v>14</v>
      </c>
      <c r="D258" s="4" t="str">
        <f>"1740"</f>
        <v>1740</v>
      </c>
      <c r="E25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58" s="2" t="str">
        <f>"1"</f>
        <v>1</v>
      </c>
      <c r="G258" s="2" t="str">
        <f>"5"</f>
        <v>5</v>
      </c>
      <c r="H258" s="2" t="str">
        <f>"2"</f>
        <v>2</v>
      </c>
      <c r="I258" s="1">
        <v>190224232.27000001</v>
      </c>
    </row>
    <row r="259" spans="1:9" x14ac:dyDescent="0.25">
      <c r="A259" s="2">
        <v>258</v>
      </c>
      <c r="B259" s="3">
        <v>44834</v>
      </c>
      <c r="C259" s="2">
        <v>14</v>
      </c>
      <c r="D259" s="4" t="str">
        <f>"1740"</f>
        <v>1740</v>
      </c>
      <c r="E25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59" s="2" t="str">
        <f>"2"</f>
        <v>2</v>
      </c>
      <c r="G259" s="2" t="str">
        <f>"7"</f>
        <v>7</v>
      </c>
      <c r="H259" s="2" t="str">
        <f>"2"</f>
        <v>2</v>
      </c>
      <c r="I259" s="1">
        <v>2971261794.79</v>
      </c>
    </row>
    <row r="260" spans="1:9" x14ac:dyDescent="0.25">
      <c r="A260" s="2">
        <v>259</v>
      </c>
      <c r="B260" s="3">
        <v>44834</v>
      </c>
      <c r="C260" s="2">
        <v>14</v>
      </c>
      <c r="D260" s="4" t="str">
        <f>"1740"</f>
        <v>1740</v>
      </c>
      <c r="E26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60" s="2" t="str">
        <f>"1"</f>
        <v>1</v>
      </c>
      <c r="G260" s="2" t="str">
        <f>"8"</f>
        <v>8</v>
      </c>
      <c r="H260" s="2" t="str">
        <f>"1"</f>
        <v>1</v>
      </c>
      <c r="I260" s="1">
        <v>27513094.539999999</v>
      </c>
    </row>
    <row r="261" spans="1:9" x14ac:dyDescent="0.25">
      <c r="A261" s="2">
        <v>260</v>
      </c>
      <c r="B261" s="3">
        <v>44834</v>
      </c>
      <c r="C261" s="2">
        <v>14</v>
      </c>
      <c r="D261" s="4" t="str">
        <f>"1740"</f>
        <v>1740</v>
      </c>
      <c r="E26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61" s="2" t="str">
        <f>"2"</f>
        <v>2</v>
      </c>
      <c r="G261" s="2" t="str">
        <f>"7"</f>
        <v>7</v>
      </c>
      <c r="H261" s="2" t="str">
        <f>"3"</f>
        <v>3</v>
      </c>
      <c r="I261" s="1">
        <v>1184061095.8099999</v>
      </c>
    </row>
    <row r="262" spans="1:9" x14ac:dyDescent="0.25">
      <c r="A262" s="2">
        <v>261</v>
      </c>
      <c r="B262" s="3">
        <v>44834</v>
      </c>
      <c r="C262" s="2">
        <v>14</v>
      </c>
      <c r="D262" s="4" t="str">
        <f>"1740"</f>
        <v>1740</v>
      </c>
      <c r="E26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62" s="2" t="str">
        <f>"1"</f>
        <v>1</v>
      </c>
      <c r="G262" s="2" t="str">
        <f>"9"</f>
        <v>9</v>
      </c>
      <c r="H262" s="2" t="str">
        <f>"2"</f>
        <v>2</v>
      </c>
      <c r="I262" s="1">
        <v>80471080.700000003</v>
      </c>
    </row>
    <row r="263" spans="1:9" x14ac:dyDescent="0.25">
      <c r="A263" s="2">
        <v>262</v>
      </c>
      <c r="B263" s="3">
        <v>44834</v>
      </c>
      <c r="C263" s="2">
        <v>14</v>
      </c>
      <c r="D263" s="4" t="str">
        <f>"1740"</f>
        <v>1740</v>
      </c>
      <c r="E26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63" s="2" t="str">
        <f>"1"</f>
        <v>1</v>
      </c>
      <c r="G263" s="2" t="str">
        <f>"5"</f>
        <v>5</v>
      </c>
      <c r="H263" s="2" t="str">
        <f>"1"</f>
        <v>1</v>
      </c>
      <c r="I263" s="1">
        <v>1516323536.1099999</v>
      </c>
    </row>
    <row r="264" spans="1:9" x14ac:dyDescent="0.25">
      <c r="A264" s="2">
        <v>263</v>
      </c>
      <c r="B264" s="3">
        <v>44834</v>
      </c>
      <c r="C264" s="2">
        <v>14</v>
      </c>
      <c r="D264" s="4" t="str">
        <f>"1740"</f>
        <v>1740</v>
      </c>
      <c r="E26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64" s="2" t="str">
        <f>"1"</f>
        <v>1</v>
      </c>
      <c r="G264" s="2" t="str">
        <f>"7"</f>
        <v>7</v>
      </c>
      <c r="H264" s="2" t="str">
        <f>"2"</f>
        <v>2</v>
      </c>
      <c r="I264" s="1">
        <v>15125861450.059999</v>
      </c>
    </row>
    <row r="265" spans="1:9" x14ac:dyDescent="0.25">
      <c r="A265" s="2">
        <v>264</v>
      </c>
      <c r="B265" s="3">
        <v>44834</v>
      </c>
      <c r="C265" s="2">
        <v>14</v>
      </c>
      <c r="D265" s="4" t="str">
        <f>"1740"</f>
        <v>1740</v>
      </c>
      <c r="E26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65" s="2" t="str">
        <f>"2"</f>
        <v>2</v>
      </c>
      <c r="G265" s="2" t="str">
        <f>"9"</f>
        <v>9</v>
      </c>
      <c r="H265" s="2" t="str">
        <f>"1"</f>
        <v>1</v>
      </c>
      <c r="I265" s="1">
        <v>5437317.4500000002</v>
      </c>
    </row>
    <row r="266" spans="1:9" x14ac:dyDescent="0.25">
      <c r="A266" s="2">
        <v>265</v>
      </c>
      <c r="B266" s="3">
        <v>44834</v>
      </c>
      <c r="C266" s="2">
        <v>14</v>
      </c>
      <c r="D266" s="4" t="str">
        <f>"1741"</f>
        <v>1741</v>
      </c>
      <c r="E26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66" s="2" t="str">
        <f>"1"</f>
        <v>1</v>
      </c>
      <c r="G266" s="2" t="str">
        <f>"7"</f>
        <v>7</v>
      </c>
      <c r="H266" s="2" t="str">
        <f>"1"</f>
        <v>1</v>
      </c>
      <c r="I266" s="1">
        <v>10218946794.93</v>
      </c>
    </row>
    <row r="267" spans="1:9" x14ac:dyDescent="0.25">
      <c r="A267" s="2">
        <v>266</v>
      </c>
      <c r="B267" s="3">
        <v>44834</v>
      </c>
      <c r="C267" s="2">
        <v>14</v>
      </c>
      <c r="D267" s="4" t="str">
        <f>"1741"</f>
        <v>1741</v>
      </c>
      <c r="E26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67" s="2" t="str">
        <f>"1"</f>
        <v>1</v>
      </c>
      <c r="G267" s="2" t="str">
        <f>"9"</f>
        <v>9</v>
      </c>
      <c r="H267" s="2" t="str">
        <f>"1"</f>
        <v>1</v>
      </c>
      <c r="I267" s="1">
        <v>13870625168.690001</v>
      </c>
    </row>
    <row r="268" spans="1:9" x14ac:dyDescent="0.25">
      <c r="A268" s="2">
        <v>267</v>
      </c>
      <c r="B268" s="3">
        <v>44834</v>
      </c>
      <c r="C268" s="2">
        <v>14</v>
      </c>
      <c r="D268" s="4" t="str">
        <f>"1741"</f>
        <v>1741</v>
      </c>
      <c r="E26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68" s="2" t="str">
        <f>"2"</f>
        <v>2</v>
      </c>
      <c r="G268" s="2" t="str">
        <f>"7"</f>
        <v>7</v>
      </c>
      <c r="H268" s="2" t="str">
        <f>"3"</f>
        <v>3</v>
      </c>
      <c r="I268" s="1">
        <v>1972938476.8499999</v>
      </c>
    </row>
    <row r="269" spans="1:9" x14ac:dyDescent="0.25">
      <c r="A269" s="2">
        <v>268</v>
      </c>
      <c r="B269" s="3">
        <v>44834</v>
      </c>
      <c r="C269" s="2">
        <v>14</v>
      </c>
      <c r="D269" s="4" t="str">
        <f>"1741"</f>
        <v>1741</v>
      </c>
      <c r="E26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69" s="2" t="str">
        <f>"1"</f>
        <v>1</v>
      </c>
      <c r="G269" s="2" t="str">
        <f>"9"</f>
        <v>9</v>
      </c>
      <c r="H269" s="2" t="str">
        <f>"2"</f>
        <v>2</v>
      </c>
      <c r="I269" s="1">
        <v>413537317.88</v>
      </c>
    </row>
    <row r="270" spans="1:9" x14ac:dyDescent="0.25">
      <c r="A270" s="2">
        <v>269</v>
      </c>
      <c r="B270" s="3">
        <v>44834</v>
      </c>
      <c r="C270" s="2">
        <v>14</v>
      </c>
      <c r="D270" s="4" t="str">
        <f>"1741"</f>
        <v>1741</v>
      </c>
      <c r="E27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70" s="2" t="str">
        <f>"2"</f>
        <v>2</v>
      </c>
      <c r="G270" s="2" t="str">
        <f>"7"</f>
        <v>7</v>
      </c>
      <c r="H270" s="2" t="str">
        <f>"1"</f>
        <v>1</v>
      </c>
      <c r="I270" s="1">
        <v>4282847955.4899998</v>
      </c>
    </row>
    <row r="271" spans="1:9" x14ac:dyDescent="0.25">
      <c r="A271" s="2">
        <v>270</v>
      </c>
      <c r="B271" s="3">
        <v>44834</v>
      </c>
      <c r="C271" s="2">
        <v>14</v>
      </c>
      <c r="D271" s="4" t="str">
        <f>"1741"</f>
        <v>1741</v>
      </c>
      <c r="E27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71" s="2" t="str">
        <f>"1"</f>
        <v>1</v>
      </c>
      <c r="G271" s="2" t="str">
        <f>"7"</f>
        <v>7</v>
      </c>
      <c r="H271" s="2" t="str">
        <f>"2"</f>
        <v>2</v>
      </c>
      <c r="I271" s="1">
        <v>3300492.15</v>
      </c>
    </row>
    <row r="272" spans="1:9" x14ac:dyDescent="0.25">
      <c r="A272" s="2">
        <v>271</v>
      </c>
      <c r="B272" s="3">
        <v>44834</v>
      </c>
      <c r="C272" s="2">
        <v>14</v>
      </c>
      <c r="D272" s="4" t="str">
        <f>"1741"</f>
        <v>1741</v>
      </c>
      <c r="E27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72" s="2" t="str">
        <f>"2"</f>
        <v>2</v>
      </c>
      <c r="G272" s="2" t="str">
        <f>"9"</f>
        <v>9</v>
      </c>
      <c r="H272" s="2" t="str">
        <f>"1"</f>
        <v>1</v>
      </c>
      <c r="I272" s="1">
        <v>15903177.310000001</v>
      </c>
    </row>
    <row r="273" spans="1:9" x14ac:dyDescent="0.25">
      <c r="A273" s="2">
        <v>272</v>
      </c>
      <c r="B273" s="3">
        <v>44834</v>
      </c>
      <c r="C273" s="2">
        <v>14</v>
      </c>
      <c r="D273" s="4" t="str">
        <f>"1741"</f>
        <v>1741</v>
      </c>
      <c r="E27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73" s="2" t="str">
        <f>"2"</f>
        <v>2</v>
      </c>
      <c r="G273" s="2" t="str">
        <f>"9"</f>
        <v>9</v>
      </c>
      <c r="H273" s="2" t="str">
        <f>"2"</f>
        <v>2</v>
      </c>
      <c r="I273" s="1">
        <v>881565.5</v>
      </c>
    </row>
    <row r="274" spans="1:9" x14ac:dyDescent="0.25">
      <c r="A274" s="2">
        <v>273</v>
      </c>
      <c r="B274" s="3">
        <v>44834</v>
      </c>
      <c r="C274" s="2">
        <v>14</v>
      </c>
      <c r="D274" s="4" t="str">
        <f>"1741"</f>
        <v>1741</v>
      </c>
      <c r="E27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74" s="2" t="str">
        <f>"1"</f>
        <v>1</v>
      </c>
      <c r="G274" s="2" t="str">
        <f>"6"</f>
        <v>6</v>
      </c>
      <c r="H274" s="2" t="str">
        <f>"1"</f>
        <v>1</v>
      </c>
      <c r="I274" s="1">
        <v>264898.95</v>
      </c>
    </row>
    <row r="275" spans="1:9" x14ac:dyDescent="0.25">
      <c r="A275" s="2">
        <v>274</v>
      </c>
      <c r="B275" s="3">
        <v>44834</v>
      </c>
      <c r="C275" s="2">
        <v>14</v>
      </c>
      <c r="D275" s="4" t="str">
        <f>"1745"</f>
        <v>1745</v>
      </c>
      <c r="E275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75" s="2" t="str">
        <f>"2"</f>
        <v>2</v>
      </c>
      <c r="G275" s="2" t="str">
        <f>"7"</f>
        <v>7</v>
      </c>
      <c r="H275" s="2" t="str">
        <f>"2"</f>
        <v>2</v>
      </c>
      <c r="I275" s="1">
        <v>24844246.960000001</v>
      </c>
    </row>
    <row r="276" spans="1:9" x14ac:dyDescent="0.25">
      <c r="A276" s="2">
        <v>275</v>
      </c>
      <c r="B276" s="3">
        <v>44834</v>
      </c>
      <c r="C276" s="2">
        <v>14</v>
      </c>
      <c r="D276" s="4" t="str">
        <f>"1745"</f>
        <v>1745</v>
      </c>
      <c r="E276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76" s="2" t="str">
        <f>"1"</f>
        <v>1</v>
      </c>
      <c r="G276" s="2" t="str">
        <f>"7"</f>
        <v>7</v>
      </c>
      <c r="H276" s="2" t="str">
        <f>"2"</f>
        <v>2</v>
      </c>
      <c r="I276" s="1">
        <v>176448910.25</v>
      </c>
    </row>
    <row r="277" spans="1:9" x14ac:dyDescent="0.25">
      <c r="A277" s="2">
        <v>276</v>
      </c>
      <c r="B277" s="3">
        <v>44834</v>
      </c>
      <c r="C277" s="2">
        <v>14</v>
      </c>
      <c r="D277" s="4" t="str">
        <f>"1745"</f>
        <v>1745</v>
      </c>
      <c r="E27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77" s="2" t="str">
        <f>"1"</f>
        <v>1</v>
      </c>
      <c r="G277" s="2" t="str">
        <f>"1"</f>
        <v>1</v>
      </c>
      <c r="H277" s="2" t="str">
        <f>"1"</f>
        <v>1</v>
      </c>
      <c r="I277" s="1">
        <v>16614583594.34</v>
      </c>
    </row>
    <row r="278" spans="1:9" x14ac:dyDescent="0.25">
      <c r="A278" s="2">
        <v>277</v>
      </c>
      <c r="B278" s="3">
        <v>44834</v>
      </c>
      <c r="C278" s="2">
        <v>14</v>
      </c>
      <c r="D278" s="4" t="str">
        <f>"1746"</f>
        <v>1746</v>
      </c>
      <c r="E27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78" s="2" t="str">
        <f>"1"</f>
        <v>1</v>
      </c>
      <c r="G278" s="2" t="str">
        <f>"4"</f>
        <v>4</v>
      </c>
      <c r="H278" s="2" t="str">
        <f>"1"</f>
        <v>1</v>
      </c>
      <c r="I278" s="1">
        <v>888552500</v>
      </c>
    </row>
    <row r="279" spans="1:9" x14ac:dyDescent="0.25">
      <c r="A279" s="2">
        <v>278</v>
      </c>
      <c r="B279" s="3">
        <v>44834</v>
      </c>
      <c r="C279" s="2">
        <v>14</v>
      </c>
      <c r="D279" s="4" t="str">
        <f>"1746"</f>
        <v>1746</v>
      </c>
      <c r="E27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79" s="2" t="str">
        <f>"1"</f>
        <v>1</v>
      </c>
      <c r="G279" s="2" t="str">
        <f>"6"</f>
        <v>6</v>
      </c>
      <c r="H279" s="2" t="str">
        <f>"2"</f>
        <v>2</v>
      </c>
      <c r="I279" s="1">
        <v>123181864</v>
      </c>
    </row>
    <row r="280" spans="1:9" x14ac:dyDescent="0.25">
      <c r="A280" s="2">
        <v>279</v>
      </c>
      <c r="B280" s="3">
        <v>44834</v>
      </c>
      <c r="C280" s="2">
        <v>14</v>
      </c>
      <c r="D280" s="4" t="str">
        <f>"1746"</f>
        <v>1746</v>
      </c>
      <c r="E28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80" s="2" t="str">
        <f>"2"</f>
        <v>2</v>
      </c>
      <c r="G280" s="2" t="str">
        <f>"7"</f>
        <v>7</v>
      </c>
      <c r="H280" s="2" t="str">
        <f>"2"</f>
        <v>2</v>
      </c>
      <c r="I280" s="1">
        <v>305860339.49000001</v>
      </c>
    </row>
    <row r="281" spans="1:9" x14ac:dyDescent="0.25">
      <c r="A281" s="2">
        <v>280</v>
      </c>
      <c r="B281" s="3">
        <v>44834</v>
      </c>
      <c r="C281" s="2">
        <v>14</v>
      </c>
      <c r="D281" s="4" t="str">
        <f>"1746"</f>
        <v>1746</v>
      </c>
      <c r="E28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81" s="2" t="str">
        <f>"1"</f>
        <v>1</v>
      </c>
      <c r="G281" s="2" t="str">
        <f>"6"</f>
        <v>6</v>
      </c>
      <c r="H281" s="2" t="str">
        <f>"1"</f>
        <v>1</v>
      </c>
      <c r="I281" s="1">
        <v>1360931640.02</v>
      </c>
    </row>
    <row r="282" spans="1:9" x14ac:dyDescent="0.25">
      <c r="A282" s="2">
        <v>281</v>
      </c>
      <c r="B282" s="3">
        <v>44834</v>
      </c>
      <c r="C282" s="2">
        <v>14</v>
      </c>
      <c r="D282" s="4" t="str">
        <f>"1746"</f>
        <v>1746</v>
      </c>
      <c r="E28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82" s="2" t="str">
        <f>"2"</f>
        <v>2</v>
      </c>
      <c r="G282" s="2" t="str">
        <f>"4"</f>
        <v>4</v>
      </c>
      <c r="H282" s="2" t="str">
        <f>"2"</f>
        <v>2</v>
      </c>
      <c r="I282" s="1">
        <v>234314220.12</v>
      </c>
    </row>
    <row r="283" spans="1:9" x14ac:dyDescent="0.25">
      <c r="A283" s="2">
        <v>282</v>
      </c>
      <c r="B283" s="3">
        <v>44834</v>
      </c>
      <c r="C283" s="2">
        <v>14</v>
      </c>
      <c r="D283" s="4" t="str">
        <f>"1746"</f>
        <v>1746</v>
      </c>
      <c r="E28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83" s="2" t="str">
        <f>"1"</f>
        <v>1</v>
      </c>
      <c r="G283" s="2" t="str">
        <f>"1"</f>
        <v>1</v>
      </c>
      <c r="H283" s="2" t="str">
        <f>"2"</f>
        <v>2</v>
      </c>
      <c r="I283" s="1">
        <v>9270138828.0100002</v>
      </c>
    </row>
    <row r="284" spans="1:9" x14ac:dyDescent="0.25">
      <c r="A284" s="2">
        <v>283</v>
      </c>
      <c r="B284" s="3">
        <v>44834</v>
      </c>
      <c r="C284" s="2">
        <v>14</v>
      </c>
      <c r="D284" s="4" t="str">
        <f>"1746"</f>
        <v>1746</v>
      </c>
      <c r="E28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84" s="2" t="str">
        <f>"1"</f>
        <v>1</v>
      </c>
      <c r="G284" s="2" t="str">
        <f>"7"</f>
        <v>7</v>
      </c>
      <c r="H284" s="2" t="str">
        <f>"1"</f>
        <v>1</v>
      </c>
      <c r="I284" s="1">
        <v>1201833333.3399999</v>
      </c>
    </row>
    <row r="285" spans="1:9" x14ac:dyDescent="0.25">
      <c r="A285" s="2">
        <v>284</v>
      </c>
      <c r="B285" s="3">
        <v>44834</v>
      </c>
      <c r="C285" s="2">
        <v>14</v>
      </c>
      <c r="D285" s="4" t="str">
        <f>"1746"</f>
        <v>1746</v>
      </c>
      <c r="E28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85" s="2" t="str">
        <f>"2"</f>
        <v>2</v>
      </c>
      <c r="G285" s="2" t="str">
        <f>"4"</f>
        <v>4</v>
      </c>
      <c r="H285" s="2" t="str">
        <f>"1"</f>
        <v>1</v>
      </c>
      <c r="I285" s="1">
        <v>53186040.740000002</v>
      </c>
    </row>
    <row r="286" spans="1:9" x14ac:dyDescent="0.25">
      <c r="A286" s="2">
        <v>285</v>
      </c>
      <c r="B286" s="3">
        <v>44834</v>
      </c>
      <c r="C286" s="2">
        <v>14</v>
      </c>
      <c r="D286" s="4" t="str">
        <f>"1746"</f>
        <v>1746</v>
      </c>
      <c r="E286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86" s="2" t="str">
        <f>"1"</f>
        <v>1</v>
      </c>
      <c r="G286" s="2" t="str">
        <f>"1"</f>
        <v>1</v>
      </c>
      <c r="H286" s="2" t="str">
        <f>"1"</f>
        <v>1</v>
      </c>
      <c r="I286" s="1">
        <v>8670097760.0200005</v>
      </c>
    </row>
    <row r="287" spans="1:9" x14ac:dyDescent="0.25">
      <c r="A287" s="2">
        <v>286</v>
      </c>
      <c r="B287" s="3">
        <v>44834</v>
      </c>
      <c r="C287" s="2">
        <v>14</v>
      </c>
      <c r="D287" s="4" t="str">
        <f>"1746"</f>
        <v>1746</v>
      </c>
      <c r="E28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87" s="2" t="str">
        <f>"2"</f>
        <v>2</v>
      </c>
      <c r="G287" s="2" t="str">
        <f>"3"</f>
        <v>3</v>
      </c>
      <c r="H287" s="2" t="str">
        <f>"1"</f>
        <v>1</v>
      </c>
      <c r="I287" s="1">
        <v>2636128012.52</v>
      </c>
    </row>
    <row r="288" spans="1:9" x14ac:dyDescent="0.25">
      <c r="A288" s="2">
        <v>287</v>
      </c>
      <c r="B288" s="3">
        <v>44834</v>
      </c>
      <c r="C288" s="2">
        <v>14</v>
      </c>
      <c r="D288" s="4" t="str">
        <f>"1746"</f>
        <v>1746</v>
      </c>
      <c r="E28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88" s="2" t="str">
        <f>"1"</f>
        <v>1</v>
      </c>
      <c r="G288" s="2" t="str">
        <f>"2"</f>
        <v>2</v>
      </c>
      <c r="H288" s="2" t="str">
        <f>"1"</f>
        <v>1</v>
      </c>
      <c r="I288" s="1">
        <v>36960000</v>
      </c>
    </row>
    <row r="289" spans="1:9" x14ac:dyDescent="0.25">
      <c r="A289" s="2">
        <v>288</v>
      </c>
      <c r="B289" s="3">
        <v>44834</v>
      </c>
      <c r="C289" s="2">
        <v>14</v>
      </c>
      <c r="D289" s="4" t="str">
        <f>"1746"</f>
        <v>1746</v>
      </c>
      <c r="E28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89" s="2" t="str">
        <f>"1"</f>
        <v>1</v>
      </c>
      <c r="G289" s="2" t="str">
        <f>"5"</f>
        <v>5</v>
      </c>
      <c r="H289" s="2" t="str">
        <f>"1"</f>
        <v>1</v>
      </c>
      <c r="I289" s="1">
        <v>3818900592.1700001</v>
      </c>
    </row>
    <row r="290" spans="1:9" x14ac:dyDescent="0.25">
      <c r="A290" s="2">
        <v>289</v>
      </c>
      <c r="B290" s="3">
        <v>44834</v>
      </c>
      <c r="C290" s="2">
        <v>14</v>
      </c>
      <c r="D290" s="4" t="str">
        <f>"1746"</f>
        <v>1746</v>
      </c>
      <c r="E29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90" s="2" t="str">
        <f>"1"</f>
        <v>1</v>
      </c>
      <c r="G290" s="2" t="str">
        <f>"6"</f>
        <v>6</v>
      </c>
      <c r="H290" s="2" t="str">
        <f>"3"</f>
        <v>3</v>
      </c>
      <c r="I290" s="1">
        <v>14404908</v>
      </c>
    </row>
    <row r="291" spans="1:9" x14ac:dyDescent="0.25">
      <c r="A291" s="2">
        <v>290</v>
      </c>
      <c r="B291" s="3">
        <v>44834</v>
      </c>
      <c r="C291" s="2">
        <v>14</v>
      </c>
      <c r="D291" s="4" t="str">
        <f>"1746"</f>
        <v>1746</v>
      </c>
      <c r="E29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91" s="2" t="str">
        <f>"1"</f>
        <v>1</v>
      </c>
      <c r="G291" s="2" t="str">
        <f>"4"</f>
        <v>4</v>
      </c>
      <c r="H291" s="2" t="str">
        <f>"2"</f>
        <v>2</v>
      </c>
      <c r="I291" s="1">
        <v>1983766654.5599999</v>
      </c>
    </row>
    <row r="292" spans="1:9" x14ac:dyDescent="0.25">
      <c r="A292" s="2">
        <v>291</v>
      </c>
      <c r="B292" s="3">
        <v>44834</v>
      </c>
      <c r="C292" s="2">
        <v>14</v>
      </c>
      <c r="D292" s="4" t="str">
        <f>"1746"</f>
        <v>1746</v>
      </c>
      <c r="E29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92" s="2" t="str">
        <f>"2"</f>
        <v>2</v>
      </c>
      <c r="G292" s="2" t="str">
        <f>"3"</f>
        <v>3</v>
      </c>
      <c r="H292" s="2" t="str">
        <f>"2"</f>
        <v>2</v>
      </c>
      <c r="I292" s="1">
        <v>34858584.670000002</v>
      </c>
    </row>
    <row r="293" spans="1:9" x14ac:dyDescent="0.25">
      <c r="A293" s="2">
        <v>292</v>
      </c>
      <c r="B293" s="3">
        <v>44834</v>
      </c>
      <c r="C293" s="2">
        <v>14</v>
      </c>
      <c r="D293" s="4" t="str">
        <f>"1746"</f>
        <v>1746</v>
      </c>
      <c r="E29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93" s="2" t="str">
        <f>"2"</f>
        <v>2</v>
      </c>
      <c r="G293" s="2" t="str">
        <f>"1"</f>
        <v>1</v>
      </c>
      <c r="H293" s="2" t="str">
        <f>"2"</f>
        <v>2</v>
      </c>
      <c r="I293" s="1">
        <v>1345213895.5899999</v>
      </c>
    </row>
    <row r="294" spans="1:9" x14ac:dyDescent="0.25">
      <c r="A294" s="2">
        <v>293</v>
      </c>
      <c r="B294" s="3">
        <v>44834</v>
      </c>
      <c r="C294" s="2">
        <v>14</v>
      </c>
      <c r="D294" s="4" t="str">
        <f>"1747"</f>
        <v>1747</v>
      </c>
      <c r="E294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294" s="2" t="str">
        <f>"2"</f>
        <v>2</v>
      </c>
      <c r="G294" s="2" t="str">
        <f>"4"</f>
        <v>4</v>
      </c>
      <c r="H294" s="2" t="str">
        <f>"3"</f>
        <v>3</v>
      </c>
      <c r="I294" s="1">
        <v>812130253.12</v>
      </c>
    </row>
    <row r="295" spans="1:9" x14ac:dyDescent="0.25">
      <c r="A295" s="2">
        <v>294</v>
      </c>
      <c r="B295" s="3">
        <v>44834</v>
      </c>
      <c r="C295" s="2">
        <v>14</v>
      </c>
      <c r="D295" s="4" t="str">
        <f>"1747"</f>
        <v>1747</v>
      </c>
      <c r="E295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295" s="2" t="str">
        <f>"2"</f>
        <v>2</v>
      </c>
      <c r="G295" s="2" t="str">
        <f>"4"</f>
        <v>4</v>
      </c>
      <c r="H295" s="2" t="str">
        <f>"2"</f>
        <v>2</v>
      </c>
      <c r="I295" s="1">
        <v>11917750</v>
      </c>
    </row>
    <row r="296" spans="1:9" x14ac:dyDescent="0.25">
      <c r="A296" s="2">
        <v>295</v>
      </c>
      <c r="B296" s="3">
        <v>44834</v>
      </c>
      <c r="C296" s="2">
        <v>14</v>
      </c>
      <c r="D296" s="4" t="str">
        <f>"1753"</f>
        <v>1753</v>
      </c>
      <c r="E296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296" s="2" t="str">
        <f>"2"</f>
        <v>2</v>
      </c>
      <c r="G296" s="2" t="str">
        <f>"4"</f>
        <v>4</v>
      </c>
      <c r="H296" s="2" t="str">
        <f>"2"</f>
        <v>2</v>
      </c>
      <c r="I296" s="1">
        <v>275238810.67000002</v>
      </c>
    </row>
    <row r="297" spans="1:9" x14ac:dyDescent="0.25">
      <c r="A297" s="2">
        <v>296</v>
      </c>
      <c r="B297" s="3">
        <v>44834</v>
      </c>
      <c r="C297" s="2">
        <v>14</v>
      </c>
      <c r="D297" s="4" t="str">
        <f>"1756"</f>
        <v>1756</v>
      </c>
      <c r="E297" t="str">
        <f>"Начисленные доходы по прочим операциям"</f>
        <v>Начисленные доходы по прочим операциям</v>
      </c>
      <c r="F297" s="2" t="str">
        <f>"2"</f>
        <v>2</v>
      </c>
      <c r="G297" s="2" t="str">
        <f>"7"</f>
        <v>7</v>
      </c>
      <c r="H297" s="2" t="str">
        <f>"1"</f>
        <v>1</v>
      </c>
      <c r="I297" s="1">
        <v>188974327.25999999</v>
      </c>
    </row>
    <row r="298" spans="1:9" x14ac:dyDescent="0.25">
      <c r="A298" s="2">
        <v>297</v>
      </c>
      <c r="B298" s="3">
        <v>44834</v>
      </c>
      <c r="C298" s="2">
        <v>14</v>
      </c>
      <c r="D298" s="4" t="str">
        <f>"1793"</f>
        <v>1793</v>
      </c>
      <c r="E298" t="str">
        <f>"Расходы будущих периодов"</f>
        <v>Расходы будущих периодов</v>
      </c>
      <c r="F298" s="2" t="str">
        <f>"1"</f>
        <v>1</v>
      </c>
      <c r="G298" s="2" t="str">
        <f>"7"</f>
        <v>7</v>
      </c>
      <c r="H298" s="2" t="str">
        <f>"1"</f>
        <v>1</v>
      </c>
      <c r="I298" s="1">
        <v>994528147.21000004</v>
      </c>
    </row>
    <row r="299" spans="1:9" x14ac:dyDescent="0.25">
      <c r="A299" s="2">
        <v>298</v>
      </c>
      <c r="B299" s="3">
        <v>44834</v>
      </c>
      <c r="C299" s="2">
        <v>14</v>
      </c>
      <c r="D299" s="4" t="str">
        <f>"1793"</f>
        <v>1793</v>
      </c>
      <c r="E299" t="str">
        <f>"Расходы будущих периодов"</f>
        <v>Расходы будущих периодов</v>
      </c>
      <c r="F299" s="2" t="str">
        <f>"1"</f>
        <v>1</v>
      </c>
      <c r="G299" s="2" t="str">
        <f>"5"</f>
        <v>5</v>
      </c>
      <c r="H299" s="2" t="str">
        <f>"1"</f>
        <v>1</v>
      </c>
      <c r="I299" s="1">
        <v>201894791.56</v>
      </c>
    </row>
    <row r="300" spans="1:9" x14ac:dyDescent="0.25">
      <c r="A300" s="2">
        <v>299</v>
      </c>
      <c r="B300" s="3">
        <v>44834</v>
      </c>
      <c r="C300" s="2">
        <v>14</v>
      </c>
      <c r="D300" s="4" t="str">
        <f>"1793"</f>
        <v>1793</v>
      </c>
      <c r="E300" t="str">
        <f>"Расходы будущих периодов"</f>
        <v>Расходы будущих периодов</v>
      </c>
      <c r="F300" s="2" t="str">
        <f>"2"</f>
        <v>2</v>
      </c>
      <c r="G300" s="2" t="str">
        <f>"5"</f>
        <v>5</v>
      </c>
      <c r="H300" s="2" t="str">
        <f>"1"</f>
        <v>1</v>
      </c>
      <c r="I300" s="1">
        <v>8140201.2699999996</v>
      </c>
    </row>
    <row r="301" spans="1:9" x14ac:dyDescent="0.25">
      <c r="A301" s="2">
        <v>300</v>
      </c>
      <c r="B301" s="3">
        <v>44834</v>
      </c>
      <c r="C301" s="2">
        <v>14</v>
      </c>
      <c r="D301" s="4" t="str">
        <f>"1793"</f>
        <v>1793</v>
      </c>
      <c r="E301" t="str">
        <f>"Расходы будущих периодов"</f>
        <v>Расходы будущих периодов</v>
      </c>
      <c r="F301" s="2" t="str">
        <f>"1"</f>
        <v>1</v>
      </c>
      <c r="G301" s="2" t="str">
        <f>"8"</f>
        <v>8</v>
      </c>
      <c r="H301" s="2" t="str">
        <f>"1"</f>
        <v>1</v>
      </c>
      <c r="I301" s="1">
        <v>195000</v>
      </c>
    </row>
    <row r="302" spans="1:9" x14ac:dyDescent="0.25">
      <c r="A302" s="2">
        <v>301</v>
      </c>
      <c r="B302" s="3">
        <v>44834</v>
      </c>
      <c r="C302" s="2">
        <v>14</v>
      </c>
      <c r="D302" s="4" t="str">
        <f>"1793"</f>
        <v>1793</v>
      </c>
      <c r="E302" t="str">
        <f>"Расходы будущих периодов"</f>
        <v>Расходы будущих периодов</v>
      </c>
      <c r="F302" s="2" t="str">
        <f>"2"</f>
        <v>2</v>
      </c>
      <c r="G302" s="2" t="str">
        <f>"7"</f>
        <v>7</v>
      </c>
      <c r="H302" s="2" t="str">
        <f>"1"</f>
        <v>1</v>
      </c>
      <c r="I302" s="1">
        <v>231722767.13</v>
      </c>
    </row>
    <row r="303" spans="1:9" x14ac:dyDescent="0.25">
      <c r="A303" s="2">
        <v>302</v>
      </c>
      <c r="B303" s="3">
        <v>44834</v>
      </c>
      <c r="C303" s="2">
        <v>14</v>
      </c>
      <c r="D303" s="4" t="str">
        <f>"1793"</f>
        <v>1793</v>
      </c>
      <c r="E303" t="str">
        <f>"Расходы будущих периодов"</f>
        <v>Расходы будущих периодов</v>
      </c>
      <c r="F303" s="2" t="str">
        <f>"1"</f>
        <v>1</v>
      </c>
      <c r="G303" s="2" t="str">
        <f>"6"</f>
        <v>6</v>
      </c>
      <c r="H303" s="2" t="str">
        <f>"1"</f>
        <v>1</v>
      </c>
      <c r="I303" s="1">
        <v>1528164.72</v>
      </c>
    </row>
    <row r="304" spans="1:9" x14ac:dyDescent="0.25">
      <c r="A304" s="2">
        <v>303</v>
      </c>
      <c r="B304" s="3">
        <v>44834</v>
      </c>
      <c r="C304" s="2">
        <v>14</v>
      </c>
      <c r="D304" s="4" t="str">
        <f>"1793"</f>
        <v>1793</v>
      </c>
      <c r="E304" t="str">
        <f>"Расходы будущих периодов"</f>
        <v>Расходы будущих периодов</v>
      </c>
      <c r="F304" s="2" t="str">
        <f>"1"</f>
        <v>1</v>
      </c>
      <c r="G304" s="2" t="str">
        <f>"9"</f>
        <v>9</v>
      </c>
      <c r="H304" s="2" t="str">
        <f>"1"</f>
        <v>1</v>
      </c>
      <c r="I304" s="1">
        <v>8679418.9399999995</v>
      </c>
    </row>
    <row r="305" spans="1:9" x14ac:dyDescent="0.25">
      <c r="A305" s="2">
        <v>304</v>
      </c>
      <c r="B305" s="3">
        <v>44834</v>
      </c>
      <c r="C305" s="2">
        <v>14</v>
      </c>
      <c r="D305" s="4" t="str">
        <f>"1811"</f>
        <v>1811</v>
      </c>
      <c r="E305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05" s="2" t="str">
        <f>"2"</f>
        <v>2</v>
      </c>
      <c r="G305" s="2" t="str">
        <f>""</f>
        <v/>
      </c>
      <c r="H305" s="2" t="str">
        <f>"2"</f>
        <v>2</v>
      </c>
      <c r="I305" s="1">
        <v>16146191.289999999</v>
      </c>
    </row>
    <row r="306" spans="1:9" x14ac:dyDescent="0.25">
      <c r="A306" s="2">
        <v>305</v>
      </c>
      <c r="B306" s="3">
        <v>44834</v>
      </c>
      <c r="C306" s="2">
        <v>14</v>
      </c>
      <c r="D306" s="4" t="str">
        <f>"1811"</f>
        <v>1811</v>
      </c>
      <c r="E306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06" s="2" t="str">
        <f>"1"</f>
        <v>1</v>
      </c>
      <c r="G306" s="2" t="str">
        <f>""</f>
        <v/>
      </c>
      <c r="H306" s="2" t="str">
        <f>"1"</f>
        <v>1</v>
      </c>
      <c r="I306" s="1">
        <v>1526713847.21</v>
      </c>
    </row>
    <row r="307" spans="1:9" x14ac:dyDescent="0.25">
      <c r="A307" s="2">
        <v>306</v>
      </c>
      <c r="B307" s="3">
        <v>44834</v>
      </c>
      <c r="C307" s="2">
        <v>14</v>
      </c>
      <c r="D307" s="4" t="str">
        <f>"1811"</f>
        <v>1811</v>
      </c>
      <c r="E30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07" s="2" t="str">
        <f>"1"</f>
        <v>1</v>
      </c>
      <c r="G307" s="2" t="str">
        <f>""</f>
        <v/>
      </c>
      <c r="H307" s="2" t="str">
        <f>"2"</f>
        <v>2</v>
      </c>
      <c r="I307" s="1">
        <v>329692.64</v>
      </c>
    </row>
    <row r="308" spans="1:9" x14ac:dyDescent="0.25">
      <c r="A308" s="2">
        <v>307</v>
      </c>
      <c r="B308" s="3">
        <v>44834</v>
      </c>
      <c r="C308" s="2">
        <v>14</v>
      </c>
      <c r="D308" s="4" t="str">
        <f>"1812"</f>
        <v>1812</v>
      </c>
      <c r="E308" t="str">
        <f>"Начисленные комиссионные доходы за агентские услуги"</f>
        <v>Начисленные комиссионные доходы за агентские услуги</v>
      </c>
      <c r="F308" s="2" t="str">
        <f>"1"</f>
        <v>1</v>
      </c>
      <c r="G308" s="2" t="str">
        <f>""</f>
        <v/>
      </c>
      <c r="H308" s="2" t="str">
        <f>"1"</f>
        <v>1</v>
      </c>
      <c r="I308" s="1">
        <v>523187812.45999998</v>
      </c>
    </row>
    <row r="309" spans="1:9" x14ac:dyDescent="0.25">
      <c r="A309" s="2">
        <v>308</v>
      </c>
      <c r="B309" s="3">
        <v>44834</v>
      </c>
      <c r="C309" s="2">
        <v>14</v>
      </c>
      <c r="D309" s="4" t="str">
        <f>"1816"</f>
        <v>1816</v>
      </c>
      <c r="E30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09" s="2" t="str">
        <f>"1"</f>
        <v>1</v>
      </c>
      <c r="G309" s="2" t="str">
        <f>""</f>
        <v/>
      </c>
      <c r="H309" s="2" t="str">
        <f>"1"</f>
        <v>1</v>
      </c>
      <c r="I309" s="1">
        <v>762248068.04999995</v>
      </c>
    </row>
    <row r="310" spans="1:9" x14ac:dyDescent="0.25">
      <c r="A310" s="2">
        <v>309</v>
      </c>
      <c r="B310" s="3">
        <v>44834</v>
      </c>
      <c r="C310" s="2">
        <v>14</v>
      </c>
      <c r="D310" s="4" t="str">
        <f>"1816"</f>
        <v>1816</v>
      </c>
      <c r="E31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10" s="2" t="str">
        <f>"2"</f>
        <v>2</v>
      </c>
      <c r="G310" s="2" t="str">
        <f>""</f>
        <v/>
      </c>
      <c r="H310" s="2" t="str">
        <f>"3"</f>
        <v>3</v>
      </c>
      <c r="I310" s="1">
        <v>1784947.03</v>
      </c>
    </row>
    <row r="311" spans="1:9" x14ac:dyDescent="0.25">
      <c r="A311" s="2">
        <v>310</v>
      </c>
      <c r="B311" s="3">
        <v>44834</v>
      </c>
      <c r="C311" s="2">
        <v>14</v>
      </c>
      <c r="D311" s="4" t="str">
        <f>"1816"</f>
        <v>1816</v>
      </c>
      <c r="E3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11" s="2" t="str">
        <f>"1"</f>
        <v>1</v>
      </c>
      <c r="G311" s="2" t="str">
        <f>""</f>
        <v/>
      </c>
      <c r="H311" s="2" t="str">
        <f>"3"</f>
        <v>3</v>
      </c>
      <c r="I311" s="1">
        <v>13129965.619999999</v>
      </c>
    </row>
    <row r="312" spans="1:9" x14ac:dyDescent="0.25">
      <c r="A312" s="2">
        <v>311</v>
      </c>
      <c r="B312" s="3">
        <v>44834</v>
      </c>
      <c r="C312" s="2">
        <v>14</v>
      </c>
      <c r="D312" s="4" t="str">
        <f>"1816"</f>
        <v>1816</v>
      </c>
      <c r="E31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12" s="2" t="str">
        <f>"1"</f>
        <v>1</v>
      </c>
      <c r="G312" s="2" t="str">
        <f>""</f>
        <v/>
      </c>
      <c r="H312" s="2" t="str">
        <f>"2"</f>
        <v>2</v>
      </c>
      <c r="I312" s="1">
        <v>231681010.03999999</v>
      </c>
    </row>
    <row r="313" spans="1:9" x14ac:dyDescent="0.25">
      <c r="A313" s="2">
        <v>312</v>
      </c>
      <c r="B313" s="3">
        <v>44834</v>
      </c>
      <c r="C313" s="2">
        <v>14</v>
      </c>
      <c r="D313" s="4" t="str">
        <f>"1816"</f>
        <v>1816</v>
      </c>
      <c r="E31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13" s="2" t="str">
        <f>"2"</f>
        <v>2</v>
      </c>
      <c r="G313" s="2" t="str">
        <f>""</f>
        <v/>
      </c>
      <c r="H313" s="2" t="str">
        <f>"1"</f>
        <v>1</v>
      </c>
      <c r="I313" s="1">
        <v>11947971.289999999</v>
      </c>
    </row>
    <row r="314" spans="1:9" x14ac:dyDescent="0.25">
      <c r="A314" s="2">
        <v>313</v>
      </c>
      <c r="B314" s="3">
        <v>44834</v>
      </c>
      <c r="C314" s="2">
        <v>14</v>
      </c>
      <c r="D314" s="4" t="str">
        <f>"1816"</f>
        <v>1816</v>
      </c>
      <c r="E31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14" s="2" t="str">
        <f>"2"</f>
        <v>2</v>
      </c>
      <c r="G314" s="2" t="str">
        <f>""</f>
        <v/>
      </c>
      <c r="H314" s="2" t="str">
        <f>"2"</f>
        <v>2</v>
      </c>
      <c r="I314" s="1">
        <v>2374587.33</v>
      </c>
    </row>
    <row r="315" spans="1:9" x14ac:dyDescent="0.25">
      <c r="A315" s="2">
        <v>314</v>
      </c>
      <c r="B315" s="3">
        <v>44834</v>
      </c>
      <c r="C315" s="2">
        <v>14</v>
      </c>
      <c r="D315" s="4" t="str">
        <f>"1817"</f>
        <v>1817</v>
      </c>
      <c r="E315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15" s="2" t="str">
        <f>"1"</f>
        <v>1</v>
      </c>
      <c r="G315" s="2" t="str">
        <f>""</f>
        <v/>
      </c>
      <c r="H315" s="2" t="str">
        <f>"1"</f>
        <v>1</v>
      </c>
      <c r="I315" s="1">
        <v>162301402.49000001</v>
      </c>
    </row>
    <row r="316" spans="1:9" x14ac:dyDescent="0.25">
      <c r="A316" s="2">
        <v>315</v>
      </c>
      <c r="B316" s="3">
        <v>44834</v>
      </c>
      <c r="C316" s="2">
        <v>14</v>
      </c>
      <c r="D316" s="4" t="str">
        <f>"1817"</f>
        <v>1817</v>
      </c>
      <c r="E316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16" s="2" t="str">
        <f>"2"</f>
        <v>2</v>
      </c>
      <c r="G316" s="2" t="str">
        <f>""</f>
        <v/>
      </c>
      <c r="H316" s="2" t="str">
        <f>"1"</f>
        <v>1</v>
      </c>
      <c r="I316" s="1">
        <v>922062.37</v>
      </c>
    </row>
    <row r="317" spans="1:9" x14ac:dyDescent="0.25">
      <c r="A317" s="2">
        <v>316</v>
      </c>
      <c r="B317" s="3">
        <v>44834</v>
      </c>
      <c r="C317" s="2">
        <v>14</v>
      </c>
      <c r="D317" s="4" t="str">
        <f>"1817"</f>
        <v>1817</v>
      </c>
      <c r="E31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17" s="2" t="str">
        <f>"1"</f>
        <v>1</v>
      </c>
      <c r="G317" s="2" t="str">
        <f>""</f>
        <v/>
      </c>
      <c r="H317" s="2" t="str">
        <f>"2"</f>
        <v>2</v>
      </c>
      <c r="I317" s="1">
        <v>223789.21</v>
      </c>
    </row>
    <row r="318" spans="1:9" x14ac:dyDescent="0.25">
      <c r="A318" s="2">
        <v>317</v>
      </c>
      <c r="B318" s="3">
        <v>44834</v>
      </c>
      <c r="C318" s="2">
        <v>14</v>
      </c>
      <c r="D318" s="4" t="str">
        <f>"1817"</f>
        <v>1817</v>
      </c>
      <c r="E31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18" s="2" t="str">
        <f>"1"</f>
        <v>1</v>
      </c>
      <c r="G318" s="2" t="str">
        <f>""</f>
        <v/>
      </c>
      <c r="H318" s="2" t="str">
        <f>"3"</f>
        <v>3</v>
      </c>
      <c r="I318" s="1">
        <v>2479.54</v>
      </c>
    </row>
    <row r="319" spans="1:9" x14ac:dyDescent="0.25">
      <c r="A319" s="2">
        <v>318</v>
      </c>
      <c r="B319" s="3">
        <v>44834</v>
      </c>
      <c r="C319" s="2">
        <v>14</v>
      </c>
      <c r="D319" s="4" t="str">
        <f>"1817"</f>
        <v>1817</v>
      </c>
      <c r="E31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19" s="2" t="str">
        <f>"2"</f>
        <v>2</v>
      </c>
      <c r="G319" s="2" t="str">
        <f>""</f>
        <v/>
      </c>
      <c r="H319" s="2" t="str">
        <f>"2"</f>
        <v>2</v>
      </c>
      <c r="I319" s="1">
        <v>11157.47</v>
      </c>
    </row>
    <row r="320" spans="1:9" x14ac:dyDescent="0.25">
      <c r="A320" s="2">
        <v>319</v>
      </c>
      <c r="B320" s="3">
        <v>44834</v>
      </c>
      <c r="C320" s="2">
        <v>14</v>
      </c>
      <c r="D320" s="4" t="str">
        <f>"1818"</f>
        <v>1818</v>
      </c>
      <c r="E320" t="str">
        <f>"Начисленные прочие комиссионные доходы"</f>
        <v>Начисленные прочие комиссионные доходы</v>
      </c>
      <c r="F320" s="2" t="str">
        <f>"2"</f>
        <v>2</v>
      </c>
      <c r="G320" s="2" t="str">
        <f>""</f>
        <v/>
      </c>
      <c r="H320" s="2" t="str">
        <f>"2"</f>
        <v>2</v>
      </c>
      <c r="I320" s="1">
        <v>4442.9399999999996</v>
      </c>
    </row>
    <row r="321" spans="1:9" x14ac:dyDescent="0.25">
      <c r="A321" s="2">
        <v>320</v>
      </c>
      <c r="B321" s="3">
        <v>44834</v>
      </c>
      <c r="C321" s="2">
        <v>14</v>
      </c>
      <c r="D321" s="4" t="str">
        <f>"1818"</f>
        <v>1818</v>
      </c>
      <c r="E321" t="str">
        <f>"Начисленные прочие комиссионные доходы"</f>
        <v>Начисленные прочие комиссионные доходы</v>
      </c>
      <c r="F321" s="2" t="str">
        <f>"1"</f>
        <v>1</v>
      </c>
      <c r="G321" s="2" t="str">
        <f>""</f>
        <v/>
      </c>
      <c r="H321" s="2" t="str">
        <f>"1"</f>
        <v>1</v>
      </c>
      <c r="I321" s="1">
        <v>83778350.989999995</v>
      </c>
    </row>
    <row r="322" spans="1:9" x14ac:dyDescent="0.25">
      <c r="A322" s="2">
        <v>321</v>
      </c>
      <c r="B322" s="3">
        <v>44834</v>
      </c>
      <c r="C322" s="2">
        <v>14</v>
      </c>
      <c r="D322" s="4" t="str">
        <f>"1818"</f>
        <v>1818</v>
      </c>
      <c r="E322" t="str">
        <f>"Начисленные прочие комиссионные доходы"</f>
        <v>Начисленные прочие комиссионные доходы</v>
      </c>
      <c r="F322" s="2" t="str">
        <f>"1"</f>
        <v>1</v>
      </c>
      <c r="G322" s="2" t="str">
        <f>""</f>
        <v/>
      </c>
      <c r="H322" s="2" t="str">
        <f>"2"</f>
        <v>2</v>
      </c>
      <c r="I322" s="1">
        <v>8599.85</v>
      </c>
    </row>
    <row r="323" spans="1:9" x14ac:dyDescent="0.25">
      <c r="A323" s="2">
        <v>322</v>
      </c>
      <c r="B323" s="3">
        <v>44834</v>
      </c>
      <c r="C323" s="2">
        <v>14</v>
      </c>
      <c r="D323" s="4" t="str">
        <f>"1818"</f>
        <v>1818</v>
      </c>
      <c r="E323" t="str">
        <f>"Начисленные прочие комиссионные доходы"</f>
        <v>Начисленные прочие комиссионные доходы</v>
      </c>
      <c r="F323" s="2" t="str">
        <f>"2"</f>
        <v>2</v>
      </c>
      <c r="G323" s="2" t="str">
        <f>""</f>
        <v/>
      </c>
      <c r="H323" s="2" t="str">
        <f>"1"</f>
        <v>1</v>
      </c>
      <c r="I323" s="1">
        <v>2810</v>
      </c>
    </row>
    <row r="324" spans="1:9" x14ac:dyDescent="0.25">
      <c r="A324" s="2">
        <v>323</v>
      </c>
      <c r="B324" s="3">
        <v>44834</v>
      </c>
      <c r="C324" s="2">
        <v>14</v>
      </c>
      <c r="D324" s="4" t="str">
        <f>"1819"</f>
        <v>1819</v>
      </c>
      <c r="E324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24" s="2" t="str">
        <f>"2"</f>
        <v>2</v>
      </c>
      <c r="G324" s="2" t="str">
        <f>""</f>
        <v/>
      </c>
      <c r="H324" s="2" t="str">
        <f>"1"</f>
        <v>1</v>
      </c>
      <c r="I324" s="1">
        <v>426210.73</v>
      </c>
    </row>
    <row r="325" spans="1:9" x14ac:dyDescent="0.25">
      <c r="A325" s="2">
        <v>324</v>
      </c>
      <c r="B325" s="3">
        <v>44834</v>
      </c>
      <c r="C325" s="2">
        <v>14</v>
      </c>
      <c r="D325" s="4" t="str">
        <f>"1819"</f>
        <v>1819</v>
      </c>
      <c r="E325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25" s="2" t="str">
        <f>"1"</f>
        <v>1</v>
      </c>
      <c r="G325" s="2" t="str">
        <f>""</f>
        <v/>
      </c>
      <c r="H325" s="2" t="str">
        <f>"1"</f>
        <v>1</v>
      </c>
      <c r="I325" s="1">
        <v>40405889.359999999</v>
      </c>
    </row>
    <row r="326" spans="1:9" x14ac:dyDescent="0.25">
      <c r="A326" s="2">
        <v>325</v>
      </c>
      <c r="B326" s="3">
        <v>44834</v>
      </c>
      <c r="C326" s="2">
        <v>14</v>
      </c>
      <c r="D326" s="4" t="str">
        <f>"1822"</f>
        <v>1822</v>
      </c>
      <c r="E326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26" s="2" t="str">
        <f>"1"</f>
        <v>1</v>
      </c>
      <c r="G326" s="2" t="str">
        <f>""</f>
        <v/>
      </c>
      <c r="H326" s="2" t="str">
        <f>"2"</f>
        <v>2</v>
      </c>
      <c r="I326" s="1">
        <v>66697823.490000002</v>
      </c>
    </row>
    <row r="327" spans="1:9" x14ac:dyDescent="0.25">
      <c r="A327" s="2">
        <v>326</v>
      </c>
      <c r="B327" s="3">
        <v>44834</v>
      </c>
      <c r="C327" s="2">
        <v>14</v>
      </c>
      <c r="D327" s="4" t="str">
        <f>"1822"</f>
        <v>1822</v>
      </c>
      <c r="E327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27" s="2" t="str">
        <f>"2"</f>
        <v>2</v>
      </c>
      <c r="G327" s="2" t="str">
        <f>""</f>
        <v/>
      </c>
      <c r="H327" s="2" t="str">
        <f>"2"</f>
        <v>2</v>
      </c>
      <c r="I327" s="1">
        <v>4110984.96</v>
      </c>
    </row>
    <row r="328" spans="1:9" x14ac:dyDescent="0.25">
      <c r="A328" s="2">
        <v>327</v>
      </c>
      <c r="B328" s="3">
        <v>44834</v>
      </c>
      <c r="C328" s="2">
        <v>14</v>
      </c>
      <c r="D328" s="4" t="str">
        <f>"1822"</f>
        <v>1822</v>
      </c>
      <c r="E328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28" s="2" t="str">
        <f>"1"</f>
        <v>1</v>
      </c>
      <c r="G328" s="2" t="str">
        <f>""</f>
        <v/>
      </c>
      <c r="H328" s="2" t="str">
        <f>"3"</f>
        <v>3</v>
      </c>
      <c r="I328" s="1">
        <v>3398069.3</v>
      </c>
    </row>
    <row r="329" spans="1:9" x14ac:dyDescent="0.25">
      <c r="A329" s="2">
        <v>328</v>
      </c>
      <c r="B329" s="3">
        <v>44834</v>
      </c>
      <c r="C329" s="2">
        <v>14</v>
      </c>
      <c r="D329" s="4" t="str">
        <f>"1822"</f>
        <v>1822</v>
      </c>
      <c r="E329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29" s="2" t="str">
        <f>"1"</f>
        <v>1</v>
      </c>
      <c r="G329" s="2" t="str">
        <f>""</f>
        <v/>
      </c>
      <c r="H329" s="2" t="str">
        <f>"1"</f>
        <v>1</v>
      </c>
      <c r="I329" s="1">
        <v>6438633.6600000001</v>
      </c>
    </row>
    <row r="330" spans="1:9" x14ac:dyDescent="0.25">
      <c r="A330" s="2">
        <v>329</v>
      </c>
      <c r="B330" s="3">
        <v>44834</v>
      </c>
      <c r="C330" s="2">
        <v>14</v>
      </c>
      <c r="D330" s="4" t="str">
        <f>"1827"</f>
        <v>1827</v>
      </c>
      <c r="E330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330" s="2" t="str">
        <f>"1"</f>
        <v>1</v>
      </c>
      <c r="G330" s="2" t="str">
        <f>""</f>
        <v/>
      </c>
      <c r="H330" s="2" t="str">
        <f>"1"</f>
        <v>1</v>
      </c>
      <c r="I330" s="1">
        <v>36000</v>
      </c>
    </row>
    <row r="331" spans="1:9" x14ac:dyDescent="0.25">
      <c r="A331" s="2">
        <v>330</v>
      </c>
      <c r="B331" s="3">
        <v>44834</v>
      </c>
      <c r="C331" s="2">
        <v>14</v>
      </c>
      <c r="D331" s="4" t="str">
        <f>"1836"</f>
        <v>1836</v>
      </c>
      <c r="E33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31" s="2" t="str">
        <f>"1"</f>
        <v>1</v>
      </c>
      <c r="G331" s="2" t="str">
        <f>""</f>
        <v/>
      </c>
      <c r="H331" s="2" t="str">
        <f>"2"</f>
        <v>2</v>
      </c>
      <c r="I331" s="1">
        <v>17941631.969999999</v>
      </c>
    </row>
    <row r="332" spans="1:9" x14ac:dyDescent="0.25">
      <c r="A332" s="2">
        <v>331</v>
      </c>
      <c r="B332" s="3">
        <v>44834</v>
      </c>
      <c r="C332" s="2">
        <v>14</v>
      </c>
      <c r="D332" s="4" t="str">
        <f>"1836"</f>
        <v>1836</v>
      </c>
      <c r="E332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32" s="2" t="str">
        <f>"1"</f>
        <v>1</v>
      </c>
      <c r="G332" s="2" t="str">
        <f>""</f>
        <v/>
      </c>
      <c r="H332" s="2" t="str">
        <f>"1"</f>
        <v>1</v>
      </c>
      <c r="I332" s="1">
        <v>257202123.91</v>
      </c>
    </row>
    <row r="333" spans="1:9" x14ac:dyDescent="0.25">
      <c r="A333" s="2">
        <v>332</v>
      </c>
      <c r="B333" s="3">
        <v>44834</v>
      </c>
      <c r="C333" s="2">
        <v>14</v>
      </c>
      <c r="D333" s="4" t="str">
        <f>"1837"</f>
        <v>1837</v>
      </c>
      <c r="E333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33" s="2" t="str">
        <f>"1"</f>
        <v>1</v>
      </c>
      <c r="G333" s="2" t="str">
        <f>""</f>
        <v/>
      </c>
      <c r="H333" s="2" t="str">
        <f>"3"</f>
        <v>3</v>
      </c>
      <c r="I333" s="1">
        <v>314153.84000000003</v>
      </c>
    </row>
    <row r="334" spans="1:9" x14ac:dyDescent="0.25">
      <c r="A334" s="2">
        <v>333</v>
      </c>
      <c r="B334" s="3">
        <v>44834</v>
      </c>
      <c r="C334" s="2">
        <v>14</v>
      </c>
      <c r="D334" s="4" t="str">
        <f>"1837"</f>
        <v>1837</v>
      </c>
      <c r="E33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34" s="2" t="str">
        <f>"1"</f>
        <v>1</v>
      </c>
      <c r="G334" s="2" t="str">
        <f>""</f>
        <v/>
      </c>
      <c r="H334" s="2" t="str">
        <f>"2"</f>
        <v>2</v>
      </c>
      <c r="I334" s="1">
        <v>22283283.16</v>
      </c>
    </row>
    <row r="335" spans="1:9" x14ac:dyDescent="0.25">
      <c r="A335" s="2">
        <v>334</v>
      </c>
      <c r="B335" s="3">
        <v>44834</v>
      </c>
      <c r="C335" s="2">
        <v>14</v>
      </c>
      <c r="D335" s="4" t="str">
        <f>"1837"</f>
        <v>1837</v>
      </c>
      <c r="E335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35" s="2" t="str">
        <f>"2"</f>
        <v>2</v>
      </c>
      <c r="G335" s="2" t="str">
        <f>""</f>
        <v/>
      </c>
      <c r="H335" s="2" t="str">
        <f>"2"</f>
        <v>2</v>
      </c>
      <c r="I335" s="1">
        <v>1808664.63</v>
      </c>
    </row>
    <row r="336" spans="1:9" x14ac:dyDescent="0.25">
      <c r="A336" s="2">
        <v>335</v>
      </c>
      <c r="B336" s="3">
        <v>44834</v>
      </c>
      <c r="C336" s="2">
        <v>14</v>
      </c>
      <c r="D336" s="4" t="str">
        <f>"1837"</f>
        <v>1837</v>
      </c>
      <c r="E336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36" s="2" t="str">
        <f>"1"</f>
        <v>1</v>
      </c>
      <c r="G336" s="2" t="str">
        <f>""</f>
        <v/>
      </c>
      <c r="H336" s="2" t="str">
        <f>"1"</f>
        <v>1</v>
      </c>
      <c r="I336" s="1">
        <v>1526948313.6300001</v>
      </c>
    </row>
    <row r="337" spans="1:9" x14ac:dyDescent="0.25">
      <c r="A337" s="2">
        <v>336</v>
      </c>
      <c r="B337" s="3">
        <v>44834</v>
      </c>
      <c r="C337" s="2">
        <v>14</v>
      </c>
      <c r="D337" s="4" t="str">
        <f>"1837"</f>
        <v>1837</v>
      </c>
      <c r="E33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37" s="2" t="str">
        <f>"2"</f>
        <v>2</v>
      </c>
      <c r="G337" s="2" t="str">
        <f>""</f>
        <v/>
      </c>
      <c r="H337" s="2" t="str">
        <f>"3"</f>
        <v>3</v>
      </c>
      <c r="I337" s="1">
        <v>8065.48</v>
      </c>
    </row>
    <row r="338" spans="1:9" x14ac:dyDescent="0.25">
      <c r="A338" s="2">
        <v>337</v>
      </c>
      <c r="B338" s="3">
        <v>44834</v>
      </c>
      <c r="C338" s="2">
        <v>14</v>
      </c>
      <c r="D338" s="4" t="str">
        <f>"1837"</f>
        <v>1837</v>
      </c>
      <c r="E33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38" s="2" t="str">
        <f>"2"</f>
        <v>2</v>
      </c>
      <c r="G338" s="2" t="str">
        <f>""</f>
        <v/>
      </c>
      <c r="H338" s="2" t="str">
        <f>"1"</f>
        <v>1</v>
      </c>
      <c r="I338" s="1">
        <v>18455982.260000002</v>
      </c>
    </row>
    <row r="339" spans="1:9" x14ac:dyDescent="0.25">
      <c r="A339" s="2">
        <v>338</v>
      </c>
      <c r="B339" s="3">
        <v>44834</v>
      </c>
      <c r="C339" s="2">
        <v>14</v>
      </c>
      <c r="D339" s="4" t="str">
        <f>"1842"</f>
        <v>1842</v>
      </c>
      <c r="E339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F339" s="2" t="str">
        <f>"1"</f>
        <v>1</v>
      </c>
      <c r="G339" s="2" t="str">
        <f>""</f>
        <v/>
      </c>
      <c r="H339" s="2" t="str">
        <f>"2"</f>
        <v>2</v>
      </c>
      <c r="I339" s="1">
        <v>92240997.170000002</v>
      </c>
    </row>
    <row r="340" spans="1:9" x14ac:dyDescent="0.25">
      <c r="A340" s="2">
        <v>339</v>
      </c>
      <c r="B340" s="3">
        <v>44834</v>
      </c>
      <c r="C340" s="2">
        <v>14</v>
      </c>
      <c r="D340" s="4" t="str">
        <f>"1845"</f>
        <v>1845</v>
      </c>
      <c r="E34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40" s="2" t="str">
        <f>"1"</f>
        <v>1</v>
      </c>
      <c r="G340" s="2" t="str">
        <f>""</f>
        <v/>
      </c>
      <c r="H340" s="2" t="str">
        <f>"3"</f>
        <v>3</v>
      </c>
      <c r="I340" s="1">
        <v>-981316.47</v>
      </c>
    </row>
    <row r="341" spans="1:9" x14ac:dyDescent="0.25">
      <c r="A341" s="2">
        <v>340</v>
      </c>
      <c r="B341" s="3">
        <v>44834</v>
      </c>
      <c r="C341" s="2">
        <v>14</v>
      </c>
      <c r="D341" s="4" t="str">
        <f>"1845"</f>
        <v>1845</v>
      </c>
      <c r="E34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41" s="2" t="str">
        <f>"2"</f>
        <v>2</v>
      </c>
      <c r="G341" s="2" t="str">
        <f>""</f>
        <v/>
      </c>
      <c r="H341" s="2" t="str">
        <f>"1"</f>
        <v>1</v>
      </c>
      <c r="I341" s="1">
        <v>-14104101.16</v>
      </c>
    </row>
    <row r="342" spans="1:9" x14ac:dyDescent="0.25">
      <c r="A342" s="2">
        <v>341</v>
      </c>
      <c r="B342" s="3">
        <v>44834</v>
      </c>
      <c r="C342" s="2">
        <v>14</v>
      </c>
      <c r="D342" s="4" t="str">
        <f>"1845"</f>
        <v>1845</v>
      </c>
      <c r="E34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42" s="2" t="str">
        <f>"2"</f>
        <v>2</v>
      </c>
      <c r="G342" s="2" t="str">
        <f>""</f>
        <v/>
      </c>
      <c r="H342" s="2" t="str">
        <f>"3"</f>
        <v>3</v>
      </c>
      <c r="I342" s="1">
        <v>-6008.75</v>
      </c>
    </row>
    <row r="343" spans="1:9" x14ac:dyDescent="0.25">
      <c r="A343" s="2">
        <v>342</v>
      </c>
      <c r="B343" s="3">
        <v>44834</v>
      </c>
      <c r="C343" s="2">
        <v>14</v>
      </c>
      <c r="D343" s="4" t="str">
        <f>"1845"</f>
        <v>1845</v>
      </c>
      <c r="E34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43" s="2" t="str">
        <f>"1"</f>
        <v>1</v>
      </c>
      <c r="G343" s="2" t="str">
        <f>""</f>
        <v/>
      </c>
      <c r="H343" s="2" t="str">
        <f>"2"</f>
        <v>2</v>
      </c>
      <c r="I343" s="1">
        <v>-111790984.72</v>
      </c>
    </row>
    <row r="344" spans="1:9" x14ac:dyDescent="0.25">
      <c r="A344" s="2">
        <v>343</v>
      </c>
      <c r="B344" s="3">
        <v>44834</v>
      </c>
      <c r="C344" s="2">
        <v>14</v>
      </c>
      <c r="D344" s="4" t="str">
        <f>"1845"</f>
        <v>1845</v>
      </c>
      <c r="E34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44" s="2" t="str">
        <f>"1"</f>
        <v>1</v>
      </c>
      <c r="G344" s="2" t="str">
        <f>""</f>
        <v/>
      </c>
      <c r="H344" s="2" t="str">
        <f>"1"</f>
        <v>1</v>
      </c>
      <c r="I344" s="1">
        <v>-1453121760.73</v>
      </c>
    </row>
    <row r="345" spans="1:9" x14ac:dyDescent="0.25">
      <c r="A345" s="2">
        <v>344</v>
      </c>
      <c r="B345" s="3">
        <v>44834</v>
      </c>
      <c r="C345" s="2">
        <v>14</v>
      </c>
      <c r="D345" s="4" t="str">
        <f>"1845"</f>
        <v>1845</v>
      </c>
      <c r="E345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45" s="2" t="str">
        <f>"2"</f>
        <v>2</v>
      </c>
      <c r="G345" s="2" t="str">
        <f>""</f>
        <v/>
      </c>
      <c r="H345" s="2" t="str">
        <f>"2"</f>
        <v>2</v>
      </c>
      <c r="I345" s="1">
        <v>-1381713.47</v>
      </c>
    </row>
    <row r="346" spans="1:9" x14ac:dyDescent="0.25">
      <c r="A346" s="2">
        <v>345</v>
      </c>
      <c r="B346" s="3">
        <v>44834</v>
      </c>
      <c r="C346" s="2">
        <v>14</v>
      </c>
      <c r="D346" s="4" t="str">
        <f>"1851"</f>
        <v>1851</v>
      </c>
      <c r="E346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46" s="2" t="str">
        <f>"1"</f>
        <v>1</v>
      </c>
      <c r="G346" s="2" t="str">
        <f>"1"</f>
        <v>1</v>
      </c>
      <c r="H346" s="2" t="str">
        <f>"1"</f>
        <v>1</v>
      </c>
      <c r="I346" s="1">
        <v>4254907995.6300001</v>
      </c>
    </row>
    <row r="347" spans="1:9" x14ac:dyDescent="0.25">
      <c r="A347" s="2">
        <v>346</v>
      </c>
      <c r="B347" s="3">
        <v>44834</v>
      </c>
      <c r="C347" s="2">
        <v>14</v>
      </c>
      <c r="D347" s="4" t="str">
        <f>"1854"</f>
        <v>1854</v>
      </c>
      <c r="E347" t="str">
        <f>"Расчеты с работниками"</f>
        <v>Расчеты с работниками</v>
      </c>
      <c r="F347" s="2" t="str">
        <f>""</f>
        <v/>
      </c>
      <c r="G347" s="2" t="str">
        <f>""</f>
        <v/>
      </c>
      <c r="H347" s="2" t="str">
        <f>""</f>
        <v/>
      </c>
      <c r="I347" s="1">
        <v>20089164.309999999</v>
      </c>
    </row>
    <row r="348" spans="1:9" x14ac:dyDescent="0.25">
      <c r="A348" s="2">
        <v>347</v>
      </c>
      <c r="B348" s="3">
        <v>44834</v>
      </c>
      <c r="C348" s="2">
        <v>14</v>
      </c>
      <c r="D348" s="4" t="str">
        <f>"1856"</f>
        <v>1856</v>
      </c>
      <c r="E348" t="str">
        <f>"Дебиторы по капитальным вложениям"</f>
        <v>Дебиторы по капитальным вложениям</v>
      </c>
      <c r="F348" s="2" t="str">
        <f>"1"</f>
        <v>1</v>
      </c>
      <c r="G348" s="2" t="str">
        <f>"1"</f>
        <v>1</v>
      </c>
      <c r="H348" s="2" t="str">
        <f>"1"</f>
        <v>1</v>
      </c>
      <c r="I348" s="1">
        <v>1202.5</v>
      </c>
    </row>
    <row r="349" spans="1:9" x14ac:dyDescent="0.25">
      <c r="A349" s="2">
        <v>348</v>
      </c>
      <c r="B349" s="3">
        <v>44834</v>
      </c>
      <c r="C349" s="2">
        <v>14</v>
      </c>
      <c r="D349" s="4" t="str">
        <f>"1856"</f>
        <v>1856</v>
      </c>
      <c r="E349" t="str">
        <f>"Дебиторы по капитальным вложениям"</f>
        <v>Дебиторы по капитальным вложениям</v>
      </c>
      <c r="F349" s="2" t="str">
        <f>"2"</f>
        <v>2</v>
      </c>
      <c r="G349" s="2" t="str">
        <f>"7"</f>
        <v>7</v>
      </c>
      <c r="H349" s="2" t="str">
        <f>"1"</f>
        <v>1</v>
      </c>
      <c r="I349" s="1">
        <v>107890327.38</v>
      </c>
    </row>
    <row r="350" spans="1:9" x14ac:dyDescent="0.25">
      <c r="A350" s="2">
        <v>349</v>
      </c>
      <c r="B350" s="3">
        <v>44834</v>
      </c>
      <c r="C350" s="2">
        <v>14</v>
      </c>
      <c r="D350" s="4" t="str">
        <f>"1856"</f>
        <v>1856</v>
      </c>
      <c r="E350" t="str">
        <f>"Дебиторы по капитальным вложениям"</f>
        <v>Дебиторы по капитальным вложениям</v>
      </c>
      <c r="F350" s="2" t="str">
        <f>"1"</f>
        <v>1</v>
      </c>
      <c r="G350" s="2" t="str">
        <f>"9"</f>
        <v>9</v>
      </c>
      <c r="H350" s="2" t="str">
        <f>"1"</f>
        <v>1</v>
      </c>
      <c r="I350" s="1">
        <v>98996893.200000003</v>
      </c>
    </row>
    <row r="351" spans="1:9" x14ac:dyDescent="0.25">
      <c r="A351" s="2">
        <v>350</v>
      </c>
      <c r="B351" s="3">
        <v>44834</v>
      </c>
      <c r="C351" s="2">
        <v>14</v>
      </c>
      <c r="D351" s="4" t="str">
        <f>"1856"</f>
        <v>1856</v>
      </c>
      <c r="E351" t="str">
        <f>"Дебиторы по капитальным вложениям"</f>
        <v>Дебиторы по капитальным вложениям</v>
      </c>
      <c r="F351" s="2" t="str">
        <f>"1"</f>
        <v>1</v>
      </c>
      <c r="G351" s="2" t="str">
        <f>"7"</f>
        <v>7</v>
      </c>
      <c r="H351" s="2" t="str">
        <f>"1"</f>
        <v>1</v>
      </c>
      <c r="I351" s="1">
        <v>1528042566.5699999</v>
      </c>
    </row>
    <row r="352" spans="1:9" x14ac:dyDescent="0.25">
      <c r="A352" s="2">
        <v>351</v>
      </c>
      <c r="B352" s="3">
        <v>44834</v>
      </c>
      <c r="C352" s="2">
        <v>14</v>
      </c>
      <c r="D352" s="4" t="str">
        <f>"1857"</f>
        <v>1857</v>
      </c>
      <c r="E352" t="str">
        <f>"Отложенные налоговые активы"</f>
        <v>Отложенные налоговые активы</v>
      </c>
      <c r="F352" s="2" t="str">
        <f>""</f>
        <v/>
      </c>
      <c r="G352" s="2" t="str">
        <f>""</f>
        <v/>
      </c>
      <c r="H352" s="2" t="str">
        <f>""</f>
        <v/>
      </c>
      <c r="I352" s="1">
        <v>13229627220.34</v>
      </c>
    </row>
    <row r="353" spans="1:9" x14ac:dyDescent="0.25">
      <c r="A353" s="2">
        <v>352</v>
      </c>
      <c r="B353" s="3">
        <v>44834</v>
      </c>
      <c r="C353" s="2">
        <v>14</v>
      </c>
      <c r="D353" s="4" t="str">
        <f>"1860"</f>
        <v>1860</v>
      </c>
      <c r="E353" t="str">
        <f>"Прочие дебиторы по банковской деятельности"</f>
        <v>Прочие дебиторы по банковской деятельности</v>
      </c>
      <c r="F353" s="2" t="str">
        <f>"1"</f>
        <v>1</v>
      </c>
      <c r="G353" s="2" t="str">
        <f>"3"</f>
        <v>3</v>
      </c>
      <c r="H353" s="2" t="str">
        <f>"1"</f>
        <v>1</v>
      </c>
      <c r="I353" s="1">
        <v>15000000</v>
      </c>
    </row>
    <row r="354" spans="1:9" x14ac:dyDescent="0.25">
      <c r="A354" s="2">
        <v>353</v>
      </c>
      <c r="B354" s="3">
        <v>44834</v>
      </c>
      <c r="C354" s="2">
        <v>14</v>
      </c>
      <c r="D354" s="4" t="str">
        <f>"1860"</f>
        <v>1860</v>
      </c>
      <c r="E354" t="str">
        <f>"Прочие дебиторы по банковской деятельности"</f>
        <v>Прочие дебиторы по банковской деятельности</v>
      </c>
      <c r="F354" s="2" t="str">
        <f>"2"</f>
        <v>2</v>
      </c>
      <c r="G354" s="2" t="str">
        <f>"4"</f>
        <v>4</v>
      </c>
      <c r="H354" s="2" t="str">
        <f>"1"</f>
        <v>1</v>
      </c>
      <c r="I354" s="1">
        <v>4066100000</v>
      </c>
    </row>
    <row r="355" spans="1:9" x14ac:dyDescent="0.25">
      <c r="A355" s="2">
        <v>354</v>
      </c>
      <c r="B355" s="3">
        <v>44834</v>
      </c>
      <c r="C355" s="2">
        <v>14</v>
      </c>
      <c r="D355" s="4" t="str">
        <f>"1860"</f>
        <v>1860</v>
      </c>
      <c r="E355" t="str">
        <f>"Прочие дебиторы по банковской деятельности"</f>
        <v>Прочие дебиторы по банковской деятельности</v>
      </c>
      <c r="F355" s="2" t="str">
        <f>"2"</f>
        <v>2</v>
      </c>
      <c r="G355" s="2" t="str">
        <f>"9"</f>
        <v>9</v>
      </c>
      <c r="H355" s="2" t="str">
        <f>"3"</f>
        <v>3</v>
      </c>
      <c r="I355" s="1">
        <v>3060.68</v>
      </c>
    </row>
    <row r="356" spans="1:9" x14ac:dyDescent="0.25">
      <c r="A356" s="2">
        <v>355</v>
      </c>
      <c r="B356" s="3">
        <v>44834</v>
      </c>
      <c r="C356" s="2">
        <v>14</v>
      </c>
      <c r="D356" s="4" t="str">
        <f>"1860"</f>
        <v>1860</v>
      </c>
      <c r="E356" t="str">
        <f>"Прочие дебиторы по банковской деятельности"</f>
        <v>Прочие дебиторы по банковской деятельности</v>
      </c>
      <c r="F356" s="2" t="str">
        <f>"1"</f>
        <v>1</v>
      </c>
      <c r="G356" s="2" t="str">
        <f>"9"</f>
        <v>9</v>
      </c>
      <c r="H356" s="2" t="str">
        <f>"3"</f>
        <v>3</v>
      </c>
      <c r="I356" s="1">
        <v>990288.23</v>
      </c>
    </row>
    <row r="357" spans="1:9" x14ac:dyDescent="0.25">
      <c r="A357" s="2">
        <v>356</v>
      </c>
      <c r="B357" s="3">
        <v>44834</v>
      </c>
      <c r="C357" s="2">
        <v>14</v>
      </c>
      <c r="D357" s="4" t="str">
        <f>"1860"</f>
        <v>1860</v>
      </c>
      <c r="E357" t="str">
        <f>"Прочие дебиторы по банковской деятельности"</f>
        <v>Прочие дебиторы по банковской деятельности</v>
      </c>
      <c r="F357" s="2" t="str">
        <f>"2"</f>
        <v>2</v>
      </c>
      <c r="G357" s="2" t="str">
        <f>"5"</f>
        <v>5</v>
      </c>
      <c r="H357" s="2" t="str">
        <f>"2"</f>
        <v>2</v>
      </c>
      <c r="I357" s="1">
        <v>201341080.87</v>
      </c>
    </row>
    <row r="358" spans="1:9" x14ac:dyDescent="0.25">
      <c r="A358" s="2">
        <v>357</v>
      </c>
      <c r="B358" s="3">
        <v>44834</v>
      </c>
      <c r="C358" s="2">
        <v>14</v>
      </c>
      <c r="D358" s="4" t="str">
        <f>"1860"</f>
        <v>1860</v>
      </c>
      <c r="E358" t="str">
        <f>"Прочие дебиторы по банковской деятельности"</f>
        <v>Прочие дебиторы по банковской деятельности</v>
      </c>
      <c r="F358" s="2" t="str">
        <f>"1"</f>
        <v>1</v>
      </c>
      <c r="G358" s="2" t="str">
        <f>"7"</f>
        <v>7</v>
      </c>
      <c r="H358" s="2" t="str">
        <f>"1"</f>
        <v>1</v>
      </c>
      <c r="I358" s="1">
        <v>1284510153.96</v>
      </c>
    </row>
    <row r="359" spans="1:9" x14ac:dyDescent="0.25">
      <c r="A359" s="2">
        <v>358</v>
      </c>
      <c r="B359" s="3">
        <v>44834</v>
      </c>
      <c r="C359" s="2">
        <v>14</v>
      </c>
      <c r="D359" s="4" t="str">
        <f>"1860"</f>
        <v>1860</v>
      </c>
      <c r="E359" t="str">
        <f>"Прочие дебиторы по банковской деятельности"</f>
        <v>Прочие дебиторы по банковской деятельности</v>
      </c>
      <c r="F359" s="2" t="str">
        <f>"1"</f>
        <v>1</v>
      </c>
      <c r="G359" s="2" t="str">
        <f>"9"</f>
        <v>9</v>
      </c>
      <c r="H359" s="2" t="str">
        <f>"2"</f>
        <v>2</v>
      </c>
      <c r="I359" s="1">
        <v>225457001.5</v>
      </c>
    </row>
    <row r="360" spans="1:9" x14ac:dyDescent="0.25">
      <c r="A360" s="2">
        <v>359</v>
      </c>
      <c r="B360" s="3">
        <v>44834</v>
      </c>
      <c r="C360" s="2">
        <v>14</v>
      </c>
      <c r="D360" s="4" t="str">
        <f>"1860"</f>
        <v>1860</v>
      </c>
      <c r="E360" t="str">
        <f>"Прочие дебиторы по банковской деятельности"</f>
        <v>Прочие дебиторы по банковской деятельности</v>
      </c>
      <c r="F360" s="2" t="str">
        <f>"1"</f>
        <v>1</v>
      </c>
      <c r="G360" s="2" t="str">
        <f>"9"</f>
        <v>9</v>
      </c>
      <c r="H360" s="2" t="str">
        <f>"1"</f>
        <v>1</v>
      </c>
      <c r="I360" s="1">
        <v>4501040548.1700001</v>
      </c>
    </row>
    <row r="361" spans="1:9" x14ac:dyDescent="0.25">
      <c r="A361" s="2">
        <v>360</v>
      </c>
      <c r="B361" s="3">
        <v>44834</v>
      </c>
      <c r="C361" s="2">
        <v>14</v>
      </c>
      <c r="D361" s="4" t="str">
        <f>"1860"</f>
        <v>1860</v>
      </c>
      <c r="E361" t="str">
        <f>"Прочие дебиторы по банковской деятельности"</f>
        <v>Прочие дебиторы по банковской деятельности</v>
      </c>
      <c r="F361" s="2" t="str">
        <f>"1"</f>
        <v>1</v>
      </c>
      <c r="G361" s="2" t="str">
        <f>"4"</f>
        <v>4</v>
      </c>
      <c r="H361" s="2" t="str">
        <f>"2"</f>
        <v>2</v>
      </c>
      <c r="I361" s="1">
        <v>1109976.33</v>
      </c>
    </row>
    <row r="362" spans="1:9" x14ac:dyDescent="0.25">
      <c r="A362" s="2">
        <v>361</v>
      </c>
      <c r="B362" s="3">
        <v>44834</v>
      </c>
      <c r="C362" s="2">
        <v>14</v>
      </c>
      <c r="D362" s="4" t="str">
        <f>"1860"</f>
        <v>1860</v>
      </c>
      <c r="E362" t="str">
        <f>"Прочие дебиторы по банковской деятельности"</f>
        <v>Прочие дебиторы по банковской деятельности</v>
      </c>
      <c r="F362" s="2" t="str">
        <f>"1"</f>
        <v>1</v>
      </c>
      <c r="G362" s="2" t="str">
        <f>"8"</f>
        <v>8</v>
      </c>
      <c r="H362" s="2" t="str">
        <f>"1"</f>
        <v>1</v>
      </c>
      <c r="I362" s="1">
        <v>10</v>
      </c>
    </row>
    <row r="363" spans="1:9" x14ac:dyDescent="0.25">
      <c r="A363" s="2">
        <v>362</v>
      </c>
      <c r="B363" s="3">
        <v>44834</v>
      </c>
      <c r="C363" s="2">
        <v>14</v>
      </c>
      <c r="D363" s="4" t="str">
        <f>"1860"</f>
        <v>1860</v>
      </c>
      <c r="E363" t="str">
        <f>"Прочие дебиторы по банковской деятельности"</f>
        <v>Прочие дебиторы по банковской деятельности</v>
      </c>
      <c r="F363" s="2" t="str">
        <f>"1"</f>
        <v>1</v>
      </c>
      <c r="G363" s="2" t="str">
        <f>"5"</f>
        <v>5</v>
      </c>
      <c r="H363" s="2" t="str">
        <f>"2"</f>
        <v>2</v>
      </c>
      <c r="I363" s="1">
        <v>432294.93</v>
      </c>
    </row>
    <row r="364" spans="1:9" x14ac:dyDescent="0.25">
      <c r="A364" s="2">
        <v>363</v>
      </c>
      <c r="B364" s="3">
        <v>44834</v>
      </c>
      <c r="C364" s="2">
        <v>14</v>
      </c>
      <c r="D364" s="4" t="str">
        <f>"1860"</f>
        <v>1860</v>
      </c>
      <c r="E364" t="str">
        <f>"Прочие дебиторы по банковской деятельности"</f>
        <v>Прочие дебиторы по банковской деятельности</v>
      </c>
      <c r="F364" s="2" t="str">
        <f>"1"</f>
        <v>1</v>
      </c>
      <c r="G364" s="2" t="str">
        <f>"4"</f>
        <v>4</v>
      </c>
      <c r="H364" s="2" t="str">
        <f>"1"</f>
        <v>1</v>
      </c>
      <c r="I364" s="1">
        <v>5411086183.7700005</v>
      </c>
    </row>
    <row r="365" spans="1:9" x14ac:dyDescent="0.25">
      <c r="A365" s="2">
        <v>364</v>
      </c>
      <c r="B365" s="3">
        <v>44834</v>
      </c>
      <c r="C365" s="2">
        <v>14</v>
      </c>
      <c r="D365" s="4" t="str">
        <f>"1860"</f>
        <v>1860</v>
      </c>
      <c r="E365" t="str">
        <f>"Прочие дебиторы по банковской деятельности"</f>
        <v>Прочие дебиторы по банковской деятельности</v>
      </c>
      <c r="F365" s="2" t="str">
        <f>"2"</f>
        <v>2</v>
      </c>
      <c r="G365" s="2" t="str">
        <f>"7"</f>
        <v>7</v>
      </c>
      <c r="H365" s="2" t="str">
        <f>"2"</f>
        <v>2</v>
      </c>
      <c r="I365" s="1">
        <v>788869.25</v>
      </c>
    </row>
    <row r="366" spans="1:9" x14ac:dyDescent="0.25">
      <c r="A366" s="2">
        <v>365</v>
      </c>
      <c r="B366" s="3">
        <v>44834</v>
      </c>
      <c r="C366" s="2">
        <v>14</v>
      </c>
      <c r="D366" s="4" t="str">
        <f>"1860"</f>
        <v>1860</v>
      </c>
      <c r="E366" t="str">
        <f>"Прочие дебиторы по банковской деятельности"</f>
        <v>Прочие дебиторы по банковской деятельности</v>
      </c>
      <c r="F366" s="2" t="str">
        <f>"2"</f>
        <v>2</v>
      </c>
      <c r="G366" s="2" t="str">
        <f>"4"</f>
        <v>4</v>
      </c>
      <c r="H366" s="2" t="str">
        <f>"2"</f>
        <v>2</v>
      </c>
      <c r="I366" s="1">
        <v>5389888.25</v>
      </c>
    </row>
    <row r="367" spans="1:9" x14ac:dyDescent="0.25">
      <c r="A367" s="2">
        <v>366</v>
      </c>
      <c r="B367" s="3">
        <v>44834</v>
      </c>
      <c r="C367" s="2">
        <v>14</v>
      </c>
      <c r="D367" s="4" t="str">
        <f>"1860"</f>
        <v>1860</v>
      </c>
      <c r="E367" t="str">
        <f>"Прочие дебиторы по банковской деятельности"</f>
        <v>Прочие дебиторы по банковской деятельности</v>
      </c>
      <c r="F367" s="2" t="str">
        <f>"1"</f>
        <v>1</v>
      </c>
      <c r="G367" s="2" t="str">
        <f>"5"</f>
        <v>5</v>
      </c>
      <c r="H367" s="2" t="str">
        <f>"1"</f>
        <v>1</v>
      </c>
      <c r="I367" s="1">
        <v>299960823.64999998</v>
      </c>
    </row>
    <row r="368" spans="1:9" x14ac:dyDescent="0.25">
      <c r="A368" s="2">
        <v>367</v>
      </c>
      <c r="B368" s="3">
        <v>44834</v>
      </c>
      <c r="C368" s="2">
        <v>14</v>
      </c>
      <c r="D368" s="4" t="str">
        <f>"1860"</f>
        <v>1860</v>
      </c>
      <c r="E368" t="str">
        <f>"Прочие дебиторы по банковской деятельности"</f>
        <v>Прочие дебиторы по банковской деятельности</v>
      </c>
      <c r="F368" s="2" t="str">
        <f>"2"</f>
        <v>2</v>
      </c>
      <c r="G368" s="2" t="str">
        <f>"9"</f>
        <v>9</v>
      </c>
      <c r="H368" s="2" t="str">
        <f>"2"</f>
        <v>2</v>
      </c>
      <c r="I368" s="1">
        <v>16582601.130000001</v>
      </c>
    </row>
    <row r="369" spans="1:9" x14ac:dyDescent="0.25">
      <c r="A369" s="2">
        <v>368</v>
      </c>
      <c r="B369" s="3">
        <v>44834</v>
      </c>
      <c r="C369" s="2">
        <v>14</v>
      </c>
      <c r="D369" s="4" t="str">
        <f>"1860"</f>
        <v>1860</v>
      </c>
      <c r="E369" t="str">
        <f>"Прочие дебиторы по банковской деятельности"</f>
        <v>Прочие дебиторы по банковской деятельности</v>
      </c>
      <c r="F369" s="2" t="str">
        <f>"2"</f>
        <v>2</v>
      </c>
      <c r="G369" s="2" t="str">
        <f>"7"</f>
        <v>7</v>
      </c>
      <c r="H369" s="2" t="str">
        <f>"1"</f>
        <v>1</v>
      </c>
      <c r="I369" s="1">
        <v>107059518.11</v>
      </c>
    </row>
    <row r="370" spans="1:9" x14ac:dyDescent="0.25">
      <c r="A370" s="2">
        <v>369</v>
      </c>
      <c r="B370" s="3">
        <v>44834</v>
      </c>
      <c r="C370" s="2">
        <v>14</v>
      </c>
      <c r="D370" s="4" t="str">
        <f>"1860"</f>
        <v>1860</v>
      </c>
      <c r="E370" t="str">
        <f>"Прочие дебиторы по банковской деятельности"</f>
        <v>Прочие дебиторы по банковской деятельности</v>
      </c>
      <c r="F370" s="2" t="str">
        <f>"1"</f>
        <v>1</v>
      </c>
      <c r="G370" s="2" t="str">
        <f>"7"</f>
        <v>7</v>
      </c>
      <c r="H370" s="2" t="str">
        <f>"2"</f>
        <v>2</v>
      </c>
      <c r="I370" s="1">
        <v>5471625331</v>
      </c>
    </row>
    <row r="371" spans="1:9" x14ac:dyDescent="0.25">
      <c r="A371" s="2">
        <v>370</v>
      </c>
      <c r="B371" s="3">
        <v>44834</v>
      </c>
      <c r="C371" s="2">
        <v>14</v>
      </c>
      <c r="D371" s="4" t="str">
        <f>"1860"</f>
        <v>1860</v>
      </c>
      <c r="E371" t="str">
        <f>"Прочие дебиторы по банковской деятельности"</f>
        <v>Прочие дебиторы по банковской деятельности</v>
      </c>
      <c r="F371" s="2" t="str">
        <f>"2"</f>
        <v>2</v>
      </c>
      <c r="G371" s="2" t="str">
        <f>"9"</f>
        <v>9</v>
      </c>
      <c r="H371" s="2" t="str">
        <f>"1"</f>
        <v>1</v>
      </c>
      <c r="I371" s="1">
        <v>11824862.720000001</v>
      </c>
    </row>
    <row r="372" spans="1:9" x14ac:dyDescent="0.25">
      <c r="A372" s="2">
        <v>371</v>
      </c>
      <c r="B372" s="3">
        <v>44834</v>
      </c>
      <c r="C372" s="2">
        <v>14</v>
      </c>
      <c r="D372" s="4" t="str">
        <f>"1861"</f>
        <v>1861</v>
      </c>
      <c r="E372" t="str">
        <f>"Дебиторы по гарантиям"</f>
        <v>Дебиторы по гарантиям</v>
      </c>
      <c r="F372" s="2" t="str">
        <f>"1"</f>
        <v>1</v>
      </c>
      <c r="G372" s="2" t="str">
        <f>"7"</f>
        <v>7</v>
      </c>
      <c r="H372" s="2" t="str">
        <f>"2"</f>
        <v>2</v>
      </c>
      <c r="I372" s="1">
        <v>735832794.88</v>
      </c>
    </row>
    <row r="373" spans="1:9" x14ac:dyDescent="0.25">
      <c r="A373" s="2">
        <v>372</v>
      </c>
      <c r="B373" s="3">
        <v>44834</v>
      </c>
      <c r="C373" s="2">
        <v>14</v>
      </c>
      <c r="D373" s="4" t="str">
        <f>"1861"</f>
        <v>1861</v>
      </c>
      <c r="E373" t="str">
        <f>"Дебиторы по гарантиям"</f>
        <v>Дебиторы по гарантиям</v>
      </c>
      <c r="F373" s="2" t="str">
        <f>"1"</f>
        <v>1</v>
      </c>
      <c r="G373" s="2" t="str">
        <f>"8"</f>
        <v>8</v>
      </c>
      <c r="H373" s="2" t="str">
        <f>"1"</f>
        <v>1</v>
      </c>
      <c r="I373" s="1">
        <v>10964444.449999999</v>
      </c>
    </row>
    <row r="374" spans="1:9" x14ac:dyDescent="0.25">
      <c r="A374" s="2">
        <v>373</v>
      </c>
      <c r="B374" s="3">
        <v>44834</v>
      </c>
      <c r="C374" s="2">
        <v>14</v>
      </c>
      <c r="D374" s="4" t="str">
        <f>"1861"</f>
        <v>1861</v>
      </c>
      <c r="E374" t="str">
        <f>"Дебиторы по гарантиям"</f>
        <v>Дебиторы по гарантиям</v>
      </c>
      <c r="F374" s="2" t="str">
        <f>"1"</f>
        <v>1</v>
      </c>
      <c r="G374" s="2" t="str">
        <f>"9"</f>
        <v>9</v>
      </c>
      <c r="H374" s="2" t="str">
        <f>"1"</f>
        <v>1</v>
      </c>
      <c r="I374" s="1">
        <v>2016311.64</v>
      </c>
    </row>
    <row r="375" spans="1:9" x14ac:dyDescent="0.25">
      <c r="A375" s="2">
        <v>374</v>
      </c>
      <c r="B375" s="3">
        <v>44834</v>
      </c>
      <c r="C375" s="2">
        <v>14</v>
      </c>
      <c r="D375" s="4" t="str">
        <f>"1861"</f>
        <v>1861</v>
      </c>
      <c r="E375" t="str">
        <f>"Дебиторы по гарантиям"</f>
        <v>Дебиторы по гарантиям</v>
      </c>
      <c r="F375" s="2" t="str">
        <f>"1"</f>
        <v>1</v>
      </c>
      <c r="G375" s="2" t="str">
        <f>"7"</f>
        <v>7</v>
      </c>
      <c r="H375" s="2" t="str">
        <f>"1"</f>
        <v>1</v>
      </c>
      <c r="I375" s="1">
        <v>305465771.95999998</v>
      </c>
    </row>
    <row r="376" spans="1:9" x14ac:dyDescent="0.25">
      <c r="A376" s="2">
        <v>375</v>
      </c>
      <c r="B376" s="3">
        <v>44834</v>
      </c>
      <c r="C376" s="2">
        <v>14</v>
      </c>
      <c r="D376" s="4" t="str">
        <f>"1867"</f>
        <v>1867</v>
      </c>
      <c r="E376" t="str">
        <f>"Прочие дебиторы по неосновной деятельности"</f>
        <v>Прочие дебиторы по неосновной деятельности</v>
      </c>
      <c r="F376" s="2" t="str">
        <f>"1"</f>
        <v>1</v>
      </c>
      <c r="G376" s="2" t="str">
        <f>"9"</f>
        <v>9</v>
      </c>
      <c r="H376" s="2" t="str">
        <f>"1"</f>
        <v>1</v>
      </c>
      <c r="I376" s="1">
        <v>311882901.52999997</v>
      </c>
    </row>
    <row r="377" spans="1:9" x14ac:dyDescent="0.25">
      <c r="A377" s="2">
        <v>376</v>
      </c>
      <c r="B377" s="3">
        <v>44834</v>
      </c>
      <c r="C377" s="2">
        <v>14</v>
      </c>
      <c r="D377" s="4" t="str">
        <f>"1867"</f>
        <v>1867</v>
      </c>
      <c r="E377" t="str">
        <f>"Прочие дебиторы по неосновной деятельности"</f>
        <v>Прочие дебиторы по неосновной деятельности</v>
      </c>
      <c r="F377" s="2" t="str">
        <f>"1"</f>
        <v>1</v>
      </c>
      <c r="G377" s="2" t="str">
        <f>"3"</f>
        <v>3</v>
      </c>
      <c r="H377" s="2" t="str">
        <f>"1"</f>
        <v>1</v>
      </c>
      <c r="I377" s="1">
        <v>8304</v>
      </c>
    </row>
    <row r="378" spans="1:9" x14ac:dyDescent="0.25">
      <c r="A378" s="2">
        <v>377</v>
      </c>
      <c r="B378" s="3">
        <v>44834</v>
      </c>
      <c r="C378" s="2">
        <v>14</v>
      </c>
      <c r="D378" s="4" t="str">
        <f>"1867"</f>
        <v>1867</v>
      </c>
      <c r="E378" t="str">
        <f>"Прочие дебиторы по неосновной деятельности"</f>
        <v>Прочие дебиторы по неосновной деятельности</v>
      </c>
      <c r="F378" s="2" t="str">
        <f>"1"</f>
        <v>1</v>
      </c>
      <c r="G378" s="2" t="str">
        <f>"8"</f>
        <v>8</v>
      </c>
      <c r="H378" s="2" t="str">
        <f>"1"</f>
        <v>1</v>
      </c>
      <c r="I378" s="1">
        <v>98517.15</v>
      </c>
    </row>
    <row r="379" spans="1:9" x14ac:dyDescent="0.25">
      <c r="A379" s="2">
        <v>378</v>
      </c>
      <c r="B379" s="3">
        <v>44834</v>
      </c>
      <c r="C379" s="2">
        <v>14</v>
      </c>
      <c r="D379" s="4" t="str">
        <f>"1867"</f>
        <v>1867</v>
      </c>
      <c r="E379" t="str">
        <f>"Прочие дебиторы по неосновной деятельности"</f>
        <v>Прочие дебиторы по неосновной деятельности</v>
      </c>
      <c r="F379" s="2" t="str">
        <f>"1"</f>
        <v>1</v>
      </c>
      <c r="G379" s="2" t="str">
        <f>"1"</f>
        <v>1</v>
      </c>
      <c r="H379" s="2" t="str">
        <f>"1"</f>
        <v>1</v>
      </c>
      <c r="I379" s="1">
        <v>30995036.609999999</v>
      </c>
    </row>
    <row r="380" spans="1:9" x14ac:dyDescent="0.25">
      <c r="A380" s="2">
        <v>379</v>
      </c>
      <c r="B380" s="3">
        <v>44834</v>
      </c>
      <c r="C380" s="2">
        <v>14</v>
      </c>
      <c r="D380" s="4" t="str">
        <f>"1867"</f>
        <v>1867</v>
      </c>
      <c r="E380" t="str">
        <f>"Прочие дебиторы по неосновной деятельности"</f>
        <v>Прочие дебиторы по неосновной деятельности</v>
      </c>
      <c r="F380" s="2" t="str">
        <f>"1"</f>
        <v>1</v>
      </c>
      <c r="G380" s="2" t="str">
        <f>"2"</f>
        <v>2</v>
      </c>
      <c r="H380" s="2" t="str">
        <f>"1"</f>
        <v>1</v>
      </c>
      <c r="I380" s="1">
        <v>9536.2199999999993</v>
      </c>
    </row>
    <row r="381" spans="1:9" x14ac:dyDescent="0.25">
      <c r="A381" s="2">
        <v>380</v>
      </c>
      <c r="B381" s="3">
        <v>44834</v>
      </c>
      <c r="C381" s="2">
        <v>14</v>
      </c>
      <c r="D381" s="4" t="str">
        <f>"1867"</f>
        <v>1867</v>
      </c>
      <c r="E381" t="str">
        <f>"Прочие дебиторы по неосновной деятельности"</f>
        <v>Прочие дебиторы по неосновной деятельности</v>
      </c>
      <c r="F381" s="2" t="str">
        <f>"1"</f>
        <v>1</v>
      </c>
      <c r="G381" s="2" t="str">
        <f>"7"</f>
        <v>7</v>
      </c>
      <c r="H381" s="2" t="str">
        <f>"1"</f>
        <v>1</v>
      </c>
      <c r="I381" s="1">
        <v>2865714416.0599999</v>
      </c>
    </row>
    <row r="382" spans="1:9" x14ac:dyDescent="0.25">
      <c r="A382" s="2">
        <v>381</v>
      </c>
      <c r="B382" s="3">
        <v>44834</v>
      </c>
      <c r="C382" s="2">
        <v>14</v>
      </c>
      <c r="D382" s="4" t="str">
        <f>"1867"</f>
        <v>1867</v>
      </c>
      <c r="E382" t="str">
        <f>"Прочие дебиторы по неосновной деятельности"</f>
        <v>Прочие дебиторы по неосновной деятельности</v>
      </c>
      <c r="F382" s="2" t="str">
        <f>"1"</f>
        <v>1</v>
      </c>
      <c r="G382" s="2" t="str">
        <f>"5"</f>
        <v>5</v>
      </c>
      <c r="H382" s="2" t="str">
        <f>"1"</f>
        <v>1</v>
      </c>
      <c r="I382" s="1">
        <v>64240767.359999999</v>
      </c>
    </row>
    <row r="383" spans="1:9" x14ac:dyDescent="0.25">
      <c r="A383" s="2">
        <v>382</v>
      </c>
      <c r="B383" s="3">
        <v>44834</v>
      </c>
      <c r="C383" s="2">
        <v>14</v>
      </c>
      <c r="D383" s="4" t="str">
        <f>"1867"</f>
        <v>1867</v>
      </c>
      <c r="E383" t="str">
        <f>"Прочие дебиторы по неосновной деятельности"</f>
        <v>Прочие дебиторы по неосновной деятельности</v>
      </c>
      <c r="F383" s="2" t="str">
        <f>"1"</f>
        <v>1</v>
      </c>
      <c r="G383" s="2" t="str">
        <f>"6"</f>
        <v>6</v>
      </c>
      <c r="H383" s="2" t="str">
        <f>"1"</f>
        <v>1</v>
      </c>
      <c r="I383" s="1">
        <v>32804249.09</v>
      </c>
    </row>
    <row r="384" spans="1:9" x14ac:dyDescent="0.25">
      <c r="A384" s="2">
        <v>383</v>
      </c>
      <c r="B384" s="3">
        <v>44834</v>
      </c>
      <c r="C384" s="2">
        <v>14</v>
      </c>
      <c r="D384" s="4" t="str">
        <f>"1867"</f>
        <v>1867</v>
      </c>
      <c r="E384" t="str">
        <f>"Прочие дебиторы по неосновной деятельности"</f>
        <v>Прочие дебиторы по неосновной деятельности</v>
      </c>
      <c r="F384" s="2" t="str">
        <f>"1"</f>
        <v>1</v>
      </c>
      <c r="G384" s="2" t="str">
        <f>"4"</f>
        <v>4</v>
      </c>
      <c r="H384" s="2" t="str">
        <f>"1"</f>
        <v>1</v>
      </c>
      <c r="I384" s="1">
        <v>5613532438.6800003</v>
      </c>
    </row>
    <row r="385" spans="1:9" x14ac:dyDescent="0.25">
      <c r="A385" s="2">
        <v>384</v>
      </c>
      <c r="B385" s="3">
        <v>44834</v>
      </c>
      <c r="C385" s="2">
        <v>14</v>
      </c>
      <c r="D385" s="4" t="str">
        <f>"1867"</f>
        <v>1867</v>
      </c>
      <c r="E385" t="str">
        <f>"Прочие дебиторы по неосновной деятельности"</f>
        <v>Прочие дебиторы по неосновной деятельности</v>
      </c>
      <c r="F385" s="2" t="str">
        <f>"2"</f>
        <v>2</v>
      </c>
      <c r="G385" s="2" t="str">
        <f>"9"</f>
        <v>9</v>
      </c>
      <c r="H385" s="2" t="str">
        <f>"1"</f>
        <v>1</v>
      </c>
      <c r="I385" s="1">
        <v>358297.5</v>
      </c>
    </row>
    <row r="386" spans="1:9" x14ac:dyDescent="0.25">
      <c r="A386" s="2">
        <v>385</v>
      </c>
      <c r="B386" s="3">
        <v>44834</v>
      </c>
      <c r="C386" s="2">
        <v>14</v>
      </c>
      <c r="D386" s="4" t="str">
        <f>"1867"</f>
        <v>1867</v>
      </c>
      <c r="E386" t="str">
        <f>"Прочие дебиторы по неосновной деятельности"</f>
        <v>Прочие дебиторы по неосновной деятельности</v>
      </c>
      <c r="F386" s="2" t="str">
        <f>"2"</f>
        <v>2</v>
      </c>
      <c r="G386" s="2" t="str">
        <f>"7"</f>
        <v>7</v>
      </c>
      <c r="H386" s="2" t="str">
        <f>"1"</f>
        <v>1</v>
      </c>
      <c r="I386" s="1">
        <v>94867056.180000007</v>
      </c>
    </row>
    <row r="387" spans="1:9" x14ac:dyDescent="0.25">
      <c r="A387" s="2">
        <v>386</v>
      </c>
      <c r="B387" s="3">
        <v>44834</v>
      </c>
      <c r="C387" s="2">
        <v>14</v>
      </c>
      <c r="D387" s="4" t="str">
        <f>"1870"</f>
        <v>1870</v>
      </c>
      <c r="E387" t="str">
        <f>"Прочие транзитные счета"</f>
        <v>Прочие транзитные счета</v>
      </c>
      <c r="F387" s="2" t="str">
        <f>"1"</f>
        <v>1</v>
      </c>
      <c r="G387" s="2" t="str">
        <f>"9"</f>
        <v>9</v>
      </c>
      <c r="H387" s="2" t="str">
        <f>"1"</f>
        <v>1</v>
      </c>
      <c r="I387" s="1">
        <v>459544</v>
      </c>
    </row>
    <row r="388" spans="1:9" x14ac:dyDescent="0.25">
      <c r="A388" s="2">
        <v>387</v>
      </c>
      <c r="B388" s="3">
        <v>44834</v>
      </c>
      <c r="C388" s="2">
        <v>14</v>
      </c>
      <c r="D388" s="4" t="str">
        <f>"1870"</f>
        <v>1870</v>
      </c>
      <c r="E388" t="str">
        <f>"Прочие транзитные счета"</f>
        <v>Прочие транзитные счета</v>
      </c>
      <c r="F388" s="2" t="str">
        <f>"1"</f>
        <v>1</v>
      </c>
      <c r="G388" s="2" t="str">
        <f>"4"</f>
        <v>4</v>
      </c>
      <c r="H388" s="2" t="str">
        <f>"1"</f>
        <v>1</v>
      </c>
      <c r="I388" s="1">
        <v>1201250642.8299999</v>
      </c>
    </row>
    <row r="389" spans="1:9" x14ac:dyDescent="0.25">
      <c r="A389" s="2">
        <v>388</v>
      </c>
      <c r="B389" s="3">
        <v>44834</v>
      </c>
      <c r="C389" s="2">
        <v>14</v>
      </c>
      <c r="D389" s="4" t="str">
        <f>"1870"</f>
        <v>1870</v>
      </c>
      <c r="E389" t="str">
        <f>"Прочие транзитные счета"</f>
        <v>Прочие транзитные счета</v>
      </c>
      <c r="F389" s="2" t="str">
        <f>"1"</f>
        <v>1</v>
      </c>
      <c r="G389" s="2" t="str">
        <f>"4"</f>
        <v>4</v>
      </c>
      <c r="H389" s="2" t="str">
        <f>"2"</f>
        <v>2</v>
      </c>
      <c r="I389" s="1">
        <v>19302322.620000001</v>
      </c>
    </row>
    <row r="390" spans="1:9" x14ac:dyDescent="0.25">
      <c r="A390" s="2">
        <v>389</v>
      </c>
      <c r="B390" s="3">
        <v>44834</v>
      </c>
      <c r="C390" s="2">
        <v>14</v>
      </c>
      <c r="D390" s="4" t="str">
        <f>"1871"</f>
        <v>1871</v>
      </c>
      <c r="E390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390" s="2" t="str">
        <f>"2"</f>
        <v>2</v>
      </c>
      <c r="G390" s="2" t="str">
        <f>""</f>
        <v/>
      </c>
      <c r="H390" s="2" t="str">
        <f>"2"</f>
        <v>2</v>
      </c>
      <c r="I390" s="1">
        <v>1609212734.29</v>
      </c>
    </row>
    <row r="391" spans="1:9" x14ac:dyDescent="0.25">
      <c r="A391" s="2">
        <v>390</v>
      </c>
      <c r="B391" s="3">
        <v>44834</v>
      </c>
      <c r="C391" s="2">
        <v>14</v>
      </c>
      <c r="D391" s="4" t="str">
        <f>"1876"</f>
        <v>1876</v>
      </c>
      <c r="E391" t="str">
        <f>"Резервы (провизии) по прочей банковской деятельности"</f>
        <v>Резервы (провизии) по прочей банковской деятельности</v>
      </c>
      <c r="F391" s="2" t="str">
        <f>"1"</f>
        <v>1</v>
      </c>
      <c r="G391" s="2" t="str">
        <f>"3"</f>
        <v>3</v>
      </c>
      <c r="H391" s="2" t="str">
        <f>"1"</f>
        <v>1</v>
      </c>
      <c r="I391" s="1">
        <v>-15000000</v>
      </c>
    </row>
    <row r="392" spans="1:9" x14ac:dyDescent="0.25">
      <c r="A392" s="2">
        <v>391</v>
      </c>
      <c r="B392" s="3">
        <v>44834</v>
      </c>
      <c r="C392" s="2">
        <v>14</v>
      </c>
      <c r="D392" s="4" t="str">
        <f>"1876"</f>
        <v>1876</v>
      </c>
      <c r="E392" t="str">
        <f>"Резервы (провизии) по прочей банковской деятельности"</f>
        <v>Резервы (провизии) по прочей банковской деятельности</v>
      </c>
      <c r="F392" s="2" t="str">
        <f>"1"</f>
        <v>1</v>
      </c>
      <c r="G392" s="2" t="str">
        <f>"7"</f>
        <v>7</v>
      </c>
      <c r="H392" s="2" t="str">
        <f>"1"</f>
        <v>1</v>
      </c>
      <c r="I392" s="1">
        <v>-52521595</v>
      </c>
    </row>
    <row r="393" spans="1:9" x14ac:dyDescent="0.25">
      <c r="A393" s="2">
        <v>392</v>
      </c>
      <c r="B393" s="3">
        <v>44834</v>
      </c>
      <c r="C393" s="2">
        <v>14</v>
      </c>
      <c r="D393" s="4" t="str">
        <f>"1876"</f>
        <v>1876</v>
      </c>
      <c r="E393" t="str">
        <f>"Резервы (провизии) по прочей банковской деятельности"</f>
        <v>Резервы (провизии) по прочей банковской деятельности</v>
      </c>
      <c r="F393" s="2" t="str">
        <f>"1"</f>
        <v>1</v>
      </c>
      <c r="G393" s="2" t="str">
        <f>"4"</f>
        <v>4</v>
      </c>
      <c r="H393" s="2" t="str">
        <f>"1"</f>
        <v>1</v>
      </c>
      <c r="I393" s="1">
        <v>-120900</v>
      </c>
    </row>
    <row r="394" spans="1:9" x14ac:dyDescent="0.25">
      <c r="A394" s="2">
        <v>393</v>
      </c>
      <c r="B394" s="3">
        <v>44834</v>
      </c>
      <c r="C394" s="2">
        <v>14</v>
      </c>
      <c r="D394" s="4" t="str">
        <f>"1876"</f>
        <v>1876</v>
      </c>
      <c r="E394" t="str">
        <f>"Резервы (провизии) по прочей банковской деятельности"</f>
        <v>Резервы (провизии) по прочей банковской деятельности</v>
      </c>
      <c r="F394" s="2" t="str">
        <f>"1"</f>
        <v>1</v>
      </c>
      <c r="G394" s="2" t="str">
        <f>"9"</f>
        <v>9</v>
      </c>
      <c r="H394" s="2" t="str">
        <f>"1"</f>
        <v>1</v>
      </c>
      <c r="I394" s="1">
        <v>-43114987.740000002</v>
      </c>
    </row>
    <row r="395" spans="1:9" x14ac:dyDescent="0.25">
      <c r="A395" s="2">
        <v>394</v>
      </c>
      <c r="B395" s="3">
        <v>44834</v>
      </c>
      <c r="C395" s="2">
        <v>14</v>
      </c>
      <c r="D395" s="4" t="str">
        <f>"1877"</f>
        <v>1877</v>
      </c>
      <c r="E39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95" s="2" t="str">
        <f>"2"</f>
        <v>2</v>
      </c>
      <c r="G395" s="2" t="str">
        <f>"4"</f>
        <v>4</v>
      </c>
      <c r="H395" s="2" t="str">
        <f>"2"</f>
        <v>2</v>
      </c>
      <c r="I395" s="1">
        <v>-238430.21</v>
      </c>
    </row>
    <row r="396" spans="1:9" x14ac:dyDescent="0.25">
      <c r="A396" s="2">
        <v>395</v>
      </c>
      <c r="B396" s="3">
        <v>44834</v>
      </c>
      <c r="C396" s="2">
        <v>14</v>
      </c>
      <c r="D396" s="4" t="str">
        <f>"1877"</f>
        <v>1877</v>
      </c>
      <c r="E39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96" s="2" t="str">
        <f>"2"</f>
        <v>2</v>
      </c>
      <c r="G396" s="2" t="str">
        <f>"4"</f>
        <v>4</v>
      </c>
      <c r="H396" s="2" t="str">
        <f>"1"</f>
        <v>1</v>
      </c>
      <c r="I396" s="1">
        <v>-170447.81</v>
      </c>
    </row>
    <row r="397" spans="1:9" x14ac:dyDescent="0.25">
      <c r="A397" s="2">
        <v>396</v>
      </c>
      <c r="B397" s="3">
        <v>44834</v>
      </c>
      <c r="C397" s="2">
        <v>14</v>
      </c>
      <c r="D397" s="4" t="str">
        <f>"1877"</f>
        <v>1877</v>
      </c>
      <c r="E39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97" s="2" t="str">
        <f>"1"</f>
        <v>1</v>
      </c>
      <c r="G397" s="2" t="str">
        <f>"4"</f>
        <v>4</v>
      </c>
      <c r="H397" s="2" t="str">
        <f>"1"</f>
        <v>1</v>
      </c>
      <c r="I397" s="1">
        <v>-6682742575.1300001</v>
      </c>
    </row>
    <row r="398" spans="1:9" x14ac:dyDescent="0.25">
      <c r="A398" s="2">
        <v>397</v>
      </c>
      <c r="B398" s="3">
        <v>44834</v>
      </c>
      <c r="C398" s="2">
        <v>14</v>
      </c>
      <c r="D398" s="4" t="str">
        <f>"1877"</f>
        <v>1877</v>
      </c>
      <c r="E39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98" s="2" t="str">
        <f>"1"</f>
        <v>1</v>
      </c>
      <c r="G398" s="2" t="str">
        <f>"8"</f>
        <v>8</v>
      </c>
      <c r="H398" s="2" t="str">
        <f>"1"</f>
        <v>1</v>
      </c>
      <c r="I398" s="1">
        <v>-10964446.1</v>
      </c>
    </row>
    <row r="399" spans="1:9" x14ac:dyDescent="0.25">
      <c r="A399" s="2">
        <v>398</v>
      </c>
      <c r="B399" s="3">
        <v>44834</v>
      </c>
      <c r="C399" s="2">
        <v>14</v>
      </c>
      <c r="D399" s="4" t="str">
        <f>"1877"</f>
        <v>1877</v>
      </c>
      <c r="E39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99" s="2" t="str">
        <f>"1"</f>
        <v>1</v>
      </c>
      <c r="G399" s="2" t="str">
        <f>"5"</f>
        <v>5</v>
      </c>
      <c r="H399" s="2" t="str">
        <f>"2"</f>
        <v>2</v>
      </c>
      <c r="I399" s="1">
        <v>-1654360.08</v>
      </c>
    </row>
    <row r="400" spans="1:9" x14ac:dyDescent="0.25">
      <c r="A400" s="2">
        <v>399</v>
      </c>
      <c r="B400" s="3">
        <v>44834</v>
      </c>
      <c r="C400" s="2">
        <v>14</v>
      </c>
      <c r="D400" s="4" t="str">
        <f>"1877"</f>
        <v>1877</v>
      </c>
      <c r="E40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00" s="2" t="str">
        <f>"2"</f>
        <v>2</v>
      </c>
      <c r="G400" s="2" t="str">
        <f>"7"</f>
        <v>7</v>
      </c>
      <c r="H400" s="2" t="str">
        <f>"1"</f>
        <v>1</v>
      </c>
      <c r="I400" s="1">
        <v>-85791774.530000001</v>
      </c>
    </row>
    <row r="401" spans="1:9" x14ac:dyDescent="0.25">
      <c r="A401" s="2">
        <v>400</v>
      </c>
      <c r="B401" s="3">
        <v>44834</v>
      </c>
      <c r="C401" s="2">
        <v>14</v>
      </c>
      <c r="D401" s="4" t="str">
        <f>"1877"</f>
        <v>1877</v>
      </c>
      <c r="E40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01" s="2" t="str">
        <f>"1"</f>
        <v>1</v>
      </c>
      <c r="G401" s="2" t="str">
        <f>"7"</f>
        <v>7</v>
      </c>
      <c r="H401" s="2" t="str">
        <f>"2"</f>
        <v>2</v>
      </c>
      <c r="I401" s="1">
        <v>-6207422687.2399998</v>
      </c>
    </row>
    <row r="402" spans="1:9" x14ac:dyDescent="0.25">
      <c r="A402" s="2">
        <v>401</v>
      </c>
      <c r="B402" s="3">
        <v>44834</v>
      </c>
      <c r="C402" s="2">
        <v>14</v>
      </c>
      <c r="D402" s="4" t="str">
        <f>"1877"</f>
        <v>1877</v>
      </c>
      <c r="E40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02" s="2" t="str">
        <f>"1"</f>
        <v>1</v>
      </c>
      <c r="G402" s="2" t="str">
        <f>"9"</f>
        <v>9</v>
      </c>
      <c r="H402" s="2" t="str">
        <f>"3"</f>
        <v>3</v>
      </c>
      <c r="I402" s="1">
        <v>-163001.35999999999</v>
      </c>
    </row>
    <row r="403" spans="1:9" x14ac:dyDescent="0.25">
      <c r="A403" s="2">
        <v>402</v>
      </c>
      <c r="B403" s="3">
        <v>44834</v>
      </c>
      <c r="C403" s="2">
        <v>14</v>
      </c>
      <c r="D403" s="4" t="str">
        <f>"1877"</f>
        <v>1877</v>
      </c>
      <c r="E40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03" s="2" t="str">
        <f>"2"</f>
        <v>2</v>
      </c>
      <c r="G403" s="2" t="str">
        <f>"4"</f>
        <v>4</v>
      </c>
      <c r="H403" s="2" t="str">
        <f>"3"</f>
        <v>3</v>
      </c>
      <c r="I403" s="1">
        <v>-2118.2600000000002</v>
      </c>
    </row>
    <row r="404" spans="1:9" x14ac:dyDescent="0.25">
      <c r="A404" s="2">
        <v>403</v>
      </c>
      <c r="B404" s="3">
        <v>44834</v>
      </c>
      <c r="C404" s="2">
        <v>14</v>
      </c>
      <c r="D404" s="4" t="str">
        <f>"1877"</f>
        <v>1877</v>
      </c>
      <c r="E40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04" s="2" t="str">
        <f>"1"</f>
        <v>1</v>
      </c>
      <c r="G404" s="2" t="str">
        <f>"4"</f>
        <v>4</v>
      </c>
      <c r="H404" s="2" t="str">
        <f>"2"</f>
        <v>2</v>
      </c>
      <c r="I404" s="1">
        <v>-1251443.19</v>
      </c>
    </row>
    <row r="405" spans="1:9" x14ac:dyDescent="0.25">
      <c r="A405" s="2">
        <v>404</v>
      </c>
      <c r="B405" s="3">
        <v>44834</v>
      </c>
      <c r="C405" s="2">
        <v>14</v>
      </c>
      <c r="D405" s="4" t="str">
        <f>"1877"</f>
        <v>1877</v>
      </c>
      <c r="E40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05" s="2" t="str">
        <f>"2"</f>
        <v>2</v>
      </c>
      <c r="G405" s="2" t="str">
        <f>"9"</f>
        <v>9</v>
      </c>
      <c r="H405" s="2" t="str">
        <f>"1"</f>
        <v>1</v>
      </c>
      <c r="I405" s="1">
        <v>-1948470.3</v>
      </c>
    </row>
    <row r="406" spans="1:9" x14ac:dyDescent="0.25">
      <c r="A406" s="2">
        <v>405</v>
      </c>
      <c r="B406" s="3">
        <v>44834</v>
      </c>
      <c r="C406" s="2">
        <v>14</v>
      </c>
      <c r="D406" s="4" t="str">
        <f>"1877"</f>
        <v>1877</v>
      </c>
      <c r="E40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06" s="2" t="str">
        <f>"1"</f>
        <v>1</v>
      </c>
      <c r="G406" s="2" t="str">
        <f>"9"</f>
        <v>9</v>
      </c>
      <c r="H406" s="2" t="str">
        <f>"2"</f>
        <v>2</v>
      </c>
      <c r="I406" s="1">
        <v>-86278108.260000005</v>
      </c>
    </row>
    <row r="407" spans="1:9" x14ac:dyDescent="0.25">
      <c r="A407" s="2">
        <v>406</v>
      </c>
      <c r="B407" s="3">
        <v>44834</v>
      </c>
      <c r="C407" s="2">
        <v>14</v>
      </c>
      <c r="D407" s="4" t="str">
        <f>"1877"</f>
        <v>1877</v>
      </c>
      <c r="E40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07" s="2" t="str">
        <f>"2"</f>
        <v>2</v>
      </c>
      <c r="G407" s="2" t="str">
        <f>"5"</f>
        <v>5</v>
      </c>
      <c r="H407" s="2" t="str">
        <f>"2"</f>
        <v>2</v>
      </c>
      <c r="I407" s="1">
        <v>-201341080.87</v>
      </c>
    </row>
    <row r="408" spans="1:9" x14ac:dyDescent="0.25">
      <c r="A408" s="2">
        <v>407</v>
      </c>
      <c r="B408" s="3">
        <v>44834</v>
      </c>
      <c r="C408" s="2">
        <v>14</v>
      </c>
      <c r="D408" s="4" t="str">
        <f>"1877"</f>
        <v>1877</v>
      </c>
      <c r="E40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08" s="2" t="str">
        <f>"1"</f>
        <v>1</v>
      </c>
      <c r="G408" s="2" t="str">
        <f>"7"</f>
        <v>7</v>
      </c>
      <c r="H408" s="2" t="str">
        <f>"1"</f>
        <v>1</v>
      </c>
      <c r="I408" s="1">
        <v>-767904236.26999998</v>
      </c>
    </row>
    <row r="409" spans="1:9" x14ac:dyDescent="0.25">
      <c r="A409" s="2">
        <v>408</v>
      </c>
      <c r="B409" s="3">
        <v>44834</v>
      </c>
      <c r="C409" s="2">
        <v>14</v>
      </c>
      <c r="D409" s="4" t="str">
        <f>"1877"</f>
        <v>1877</v>
      </c>
      <c r="E40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09" s="2" t="str">
        <f>"2"</f>
        <v>2</v>
      </c>
      <c r="G409" s="2" t="str">
        <f>"9"</f>
        <v>9</v>
      </c>
      <c r="H409" s="2" t="str">
        <f>"2"</f>
        <v>2</v>
      </c>
      <c r="I409" s="1">
        <v>-2755501.52</v>
      </c>
    </row>
    <row r="410" spans="1:9" x14ac:dyDescent="0.25">
      <c r="A410" s="2">
        <v>409</v>
      </c>
      <c r="B410" s="3">
        <v>44834</v>
      </c>
      <c r="C410" s="2">
        <v>14</v>
      </c>
      <c r="D410" s="4" t="str">
        <f>"1877"</f>
        <v>1877</v>
      </c>
      <c r="E41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10" s="2" t="str">
        <f>"1"</f>
        <v>1</v>
      </c>
      <c r="G410" s="2" t="str">
        <f>"9"</f>
        <v>9</v>
      </c>
      <c r="H410" s="2" t="str">
        <f>"1"</f>
        <v>1</v>
      </c>
      <c r="I410" s="1">
        <v>-1346057747.9100001</v>
      </c>
    </row>
    <row r="411" spans="1:9" x14ac:dyDescent="0.25">
      <c r="A411" s="2">
        <v>410</v>
      </c>
      <c r="B411" s="3">
        <v>44834</v>
      </c>
      <c r="C411" s="2">
        <v>14</v>
      </c>
      <c r="D411" s="4" t="str">
        <f>"1877"</f>
        <v>1877</v>
      </c>
      <c r="E41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11" s="2" t="str">
        <f>"2"</f>
        <v>2</v>
      </c>
      <c r="G411" s="2" t="str">
        <f>"7"</f>
        <v>7</v>
      </c>
      <c r="H411" s="2" t="str">
        <f>"2"</f>
        <v>2</v>
      </c>
      <c r="I411" s="1">
        <v>-64570.38</v>
      </c>
    </row>
    <row r="412" spans="1:9" x14ac:dyDescent="0.25">
      <c r="A412" s="2">
        <v>411</v>
      </c>
      <c r="B412" s="3">
        <v>44834</v>
      </c>
      <c r="C412" s="2">
        <v>14</v>
      </c>
      <c r="D412" s="4" t="str">
        <f>"1877"</f>
        <v>1877</v>
      </c>
      <c r="E41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12" s="2" t="str">
        <f>"2"</f>
        <v>2</v>
      </c>
      <c r="G412" s="2" t="str">
        <f>"5"</f>
        <v>5</v>
      </c>
      <c r="H412" s="2" t="str">
        <f>"1"</f>
        <v>1</v>
      </c>
      <c r="I412" s="1">
        <v>-1718430.92</v>
      </c>
    </row>
    <row r="413" spans="1:9" x14ac:dyDescent="0.25">
      <c r="A413" s="2">
        <v>412</v>
      </c>
      <c r="B413" s="3">
        <v>44834</v>
      </c>
      <c r="C413" s="2">
        <v>14</v>
      </c>
      <c r="D413" s="4" t="str">
        <f>"1877"</f>
        <v>1877</v>
      </c>
      <c r="E41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13" s="2" t="str">
        <f>"2"</f>
        <v>2</v>
      </c>
      <c r="G413" s="2" t="str">
        <f>"9"</f>
        <v>9</v>
      </c>
      <c r="H413" s="2" t="str">
        <f>"3"</f>
        <v>3</v>
      </c>
      <c r="I413" s="1">
        <v>-503.86</v>
      </c>
    </row>
    <row r="414" spans="1:9" x14ac:dyDescent="0.25">
      <c r="A414" s="2">
        <v>413</v>
      </c>
      <c r="B414" s="3">
        <v>44834</v>
      </c>
      <c r="C414" s="2">
        <v>14</v>
      </c>
      <c r="D414" s="4" t="str">
        <f>"1877"</f>
        <v>1877</v>
      </c>
      <c r="E41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14" s="2" t="str">
        <f>"1"</f>
        <v>1</v>
      </c>
      <c r="G414" s="2" t="str">
        <f>"5"</f>
        <v>5</v>
      </c>
      <c r="H414" s="2" t="str">
        <f>"1"</f>
        <v>1</v>
      </c>
      <c r="I414" s="1">
        <v>-11586864.369999999</v>
      </c>
    </row>
    <row r="415" spans="1:9" x14ac:dyDescent="0.25">
      <c r="A415" s="2">
        <v>414</v>
      </c>
      <c r="B415" s="3">
        <v>44834</v>
      </c>
      <c r="C415" s="2">
        <v>14</v>
      </c>
      <c r="D415" s="4" t="str">
        <f>"1878"</f>
        <v>1878</v>
      </c>
      <c r="E415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15" s="2" t="str">
        <f>"1"</f>
        <v>1</v>
      </c>
      <c r="G415" s="2" t="str">
        <f>"7"</f>
        <v>7</v>
      </c>
      <c r="H415" s="2" t="str">
        <f>"1"</f>
        <v>1</v>
      </c>
      <c r="I415" s="1">
        <v>-550055372.60000002</v>
      </c>
    </row>
    <row r="416" spans="1:9" x14ac:dyDescent="0.25">
      <c r="A416" s="2">
        <v>415</v>
      </c>
      <c r="B416" s="3">
        <v>44834</v>
      </c>
      <c r="C416" s="2">
        <v>14</v>
      </c>
      <c r="D416" s="4" t="str">
        <f>"1878"</f>
        <v>1878</v>
      </c>
      <c r="E416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16" s="2" t="str">
        <f>"1"</f>
        <v>1</v>
      </c>
      <c r="G416" s="2" t="str">
        <f>"6"</f>
        <v>6</v>
      </c>
      <c r="H416" s="2" t="str">
        <f>"1"</f>
        <v>1</v>
      </c>
      <c r="I416" s="1">
        <v>-32694.87</v>
      </c>
    </row>
    <row r="417" spans="1:9" x14ac:dyDescent="0.25">
      <c r="A417" s="2">
        <v>416</v>
      </c>
      <c r="B417" s="3">
        <v>44834</v>
      </c>
      <c r="C417" s="2">
        <v>14</v>
      </c>
      <c r="D417" s="4" t="str">
        <f>"1878"</f>
        <v>1878</v>
      </c>
      <c r="E41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17" s="2" t="str">
        <f>"1"</f>
        <v>1</v>
      </c>
      <c r="G417" s="2" t="str">
        <f>"9"</f>
        <v>9</v>
      </c>
      <c r="H417" s="2" t="str">
        <f>"1"</f>
        <v>1</v>
      </c>
      <c r="I417" s="1">
        <v>-368203.63</v>
      </c>
    </row>
    <row r="418" spans="1:9" x14ac:dyDescent="0.25">
      <c r="A418" s="2">
        <v>417</v>
      </c>
      <c r="B418" s="3">
        <v>44834</v>
      </c>
      <c r="C418" s="2">
        <v>14</v>
      </c>
      <c r="D418" s="4" t="str">
        <f>"1878"</f>
        <v>1878</v>
      </c>
      <c r="E41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18" s="2" t="str">
        <f>"1"</f>
        <v>1</v>
      </c>
      <c r="G418" s="2" t="str">
        <f>"4"</f>
        <v>4</v>
      </c>
      <c r="H418" s="2" t="str">
        <f>"1"</f>
        <v>1</v>
      </c>
      <c r="I418" s="1">
        <v>-685619716.50999999</v>
      </c>
    </row>
    <row r="419" spans="1:9" x14ac:dyDescent="0.25">
      <c r="A419" s="2">
        <v>418</v>
      </c>
      <c r="B419" s="3">
        <v>44834</v>
      </c>
      <c r="C419" s="2">
        <v>14</v>
      </c>
      <c r="D419" s="4" t="str">
        <f>"1878"</f>
        <v>1878</v>
      </c>
      <c r="E41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19" s="2" t="str">
        <f>"2"</f>
        <v>2</v>
      </c>
      <c r="G419" s="2" t="str">
        <f>"7"</f>
        <v>7</v>
      </c>
      <c r="H419" s="2" t="str">
        <f>"1"</f>
        <v>1</v>
      </c>
      <c r="I419" s="1">
        <v>-220753.12</v>
      </c>
    </row>
    <row r="420" spans="1:9" x14ac:dyDescent="0.25">
      <c r="A420" s="2">
        <v>419</v>
      </c>
      <c r="B420" s="3">
        <v>44834</v>
      </c>
      <c r="C420" s="2">
        <v>14</v>
      </c>
      <c r="D420" s="4" t="str">
        <f>"1879"</f>
        <v>1879</v>
      </c>
      <c r="E420" t="str">
        <f>"Начисленная неустойка (штраф, пеня)"</f>
        <v>Начисленная неустойка (штраф, пеня)</v>
      </c>
      <c r="F420" s="2" t="str">
        <f>"1"</f>
        <v>1</v>
      </c>
      <c r="G420" s="2" t="str">
        <f>"9"</f>
        <v>9</v>
      </c>
      <c r="H420" s="2" t="str">
        <f>"1"</f>
        <v>1</v>
      </c>
      <c r="I420" s="1">
        <v>3322374.54</v>
      </c>
    </row>
    <row r="421" spans="1:9" x14ac:dyDescent="0.25">
      <c r="A421" s="2">
        <v>420</v>
      </c>
      <c r="B421" s="3">
        <v>44834</v>
      </c>
      <c r="C421" s="2">
        <v>14</v>
      </c>
      <c r="D421" s="4" t="str">
        <f>"1879"</f>
        <v>1879</v>
      </c>
      <c r="E421" t="str">
        <f>"Начисленная неустойка (штраф, пеня)"</f>
        <v>Начисленная неустойка (штраф, пеня)</v>
      </c>
      <c r="F421" s="2" t="str">
        <f>"1"</f>
        <v>1</v>
      </c>
      <c r="G421" s="2" t="str">
        <f>"9"</f>
        <v>9</v>
      </c>
      <c r="H421" s="2" t="str">
        <f>"2"</f>
        <v>2</v>
      </c>
      <c r="I421" s="1">
        <v>1070324.48</v>
      </c>
    </row>
    <row r="422" spans="1:9" x14ac:dyDescent="0.25">
      <c r="A422" s="2">
        <v>421</v>
      </c>
      <c r="B422" s="3">
        <v>44834</v>
      </c>
      <c r="C422" s="2">
        <v>14</v>
      </c>
      <c r="D422" s="4" t="str">
        <f>"1879"</f>
        <v>1879</v>
      </c>
      <c r="E422" t="str">
        <f>"Начисленная неустойка (штраф, пеня)"</f>
        <v>Начисленная неустойка (штраф, пеня)</v>
      </c>
      <c r="F422" s="2" t="str">
        <f>"2"</f>
        <v>2</v>
      </c>
      <c r="G422" s="2" t="str">
        <f>"9"</f>
        <v>9</v>
      </c>
      <c r="H422" s="2" t="str">
        <f>"2"</f>
        <v>2</v>
      </c>
      <c r="I422" s="1">
        <v>158281.47</v>
      </c>
    </row>
    <row r="423" spans="1:9" x14ac:dyDescent="0.25">
      <c r="A423" s="2">
        <v>422</v>
      </c>
      <c r="B423" s="3">
        <v>44834</v>
      </c>
      <c r="C423" s="2">
        <v>14</v>
      </c>
      <c r="D423" s="4" t="str">
        <f>"1879"</f>
        <v>1879</v>
      </c>
      <c r="E423" t="str">
        <f>"Начисленная неустойка (штраф, пеня)"</f>
        <v>Начисленная неустойка (штраф, пеня)</v>
      </c>
      <c r="F423" s="2" t="str">
        <f>"2"</f>
        <v>2</v>
      </c>
      <c r="G423" s="2" t="str">
        <f>"9"</f>
        <v>9</v>
      </c>
      <c r="H423" s="2" t="str">
        <f>"1"</f>
        <v>1</v>
      </c>
      <c r="I423" s="1">
        <v>12744.99</v>
      </c>
    </row>
    <row r="424" spans="1:9" x14ac:dyDescent="0.25">
      <c r="A424" s="2">
        <v>423</v>
      </c>
      <c r="B424" s="3">
        <v>44834</v>
      </c>
      <c r="C424" s="2">
        <v>14</v>
      </c>
      <c r="D424" s="4" t="str">
        <f>"1892"</f>
        <v>1892</v>
      </c>
      <c r="E424" t="str">
        <f>"Требования по операциям форвард"</f>
        <v>Требования по операциям форвард</v>
      </c>
      <c r="F424" s="2" t="str">
        <f>"1"</f>
        <v>1</v>
      </c>
      <c r="G424" s="2" t="str">
        <f>"5"</f>
        <v>5</v>
      </c>
      <c r="H424" s="2" t="str">
        <f>"1"</f>
        <v>1</v>
      </c>
      <c r="I424" s="1">
        <v>63978671.630000003</v>
      </c>
    </row>
    <row r="425" spans="1:9" x14ac:dyDescent="0.25">
      <c r="A425" s="2">
        <v>424</v>
      </c>
      <c r="B425" s="3">
        <v>44834</v>
      </c>
      <c r="C425" s="2">
        <v>14</v>
      </c>
      <c r="D425" s="4" t="str">
        <f>"1892"</f>
        <v>1892</v>
      </c>
      <c r="E425" t="str">
        <f>"Требования по операциям форвард"</f>
        <v>Требования по операциям форвард</v>
      </c>
      <c r="F425" s="2" t="str">
        <f>"2"</f>
        <v>2</v>
      </c>
      <c r="G425" s="2" t="str">
        <f>"4"</f>
        <v>4</v>
      </c>
      <c r="H425" s="2" t="str">
        <f>"1"</f>
        <v>1</v>
      </c>
      <c r="I425" s="1">
        <v>12972871.41</v>
      </c>
    </row>
    <row r="426" spans="1:9" x14ac:dyDescent="0.25">
      <c r="A426" s="2">
        <v>425</v>
      </c>
      <c r="B426" s="3">
        <v>44834</v>
      </c>
      <c r="C426" s="2">
        <v>14</v>
      </c>
      <c r="D426" s="4" t="str">
        <f>"1894"</f>
        <v>1894</v>
      </c>
      <c r="E426" t="str">
        <f>"Требования по операциям спот"</f>
        <v>Требования по операциям спот</v>
      </c>
      <c r="F426" s="2" t="str">
        <f>"1"</f>
        <v>1</v>
      </c>
      <c r="G426" s="2" t="str">
        <f>"4"</f>
        <v>4</v>
      </c>
      <c r="H426" s="2" t="str">
        <f>"1"</f>
        <v>1</v>
      </c>
      <c r="I426" s="1">
        <v>840000</v>
      </c>
    </row>
    <row r="427" spans="1:9" x14ac:dyDescent="0.25">
      <c r="A427" s="2">
        <v>426</v>
      </c>
      <c r="B427" s="3">
        <v>44834</v>
      </c>
      <c r="C427" s="2">
        <v>14</v>
      </c>
      <c r="D427" s="4" t="str">
        <f>"1894"</f>
        <v>1894</v>
      </c>
      <c r="E427" t="str">
        <f>"Требования по операциям спот"</f>
        <v>Требования по операциям спот</v>
      </c>
      <c r="F427" s="2" t="str">
        <f>"2"</f>
        <v>2</v>
      </c>
      <c r="G427" s="2" t="str">
        <f>"4"</f>
        <v>4</v>
      </c>
      <c r="H427" s="2" t="str">
        <f>"1"</f>
        <v>1</v>
      </c>
      <c r="I427" s="1">
        <v>519482623.19</v>
      </c>
    </row>
    <row r="428" spans="1:9" x14ac:dyDescent="0.25">
      <c r="A428" s="2">
        <v>427</v>
      </c>
      <c r="B428" s="3">
        <v>44834</v>
      </c>
      <c r="C428" s="2">
        <v>14</v>
      </c>
      <c r="D428" s="4" t="str">
        <f>"1894"</f>
        <v>1894</v>
      </c>
      <c r="E428" t="str">
        <f>"Требования по операциям спот"</f>
        <v>Требования по операциям спот</v>
      </c>
      <c r="F428" s="2" t="str">
        <f>"2"</f>
        <v>2</v>
      </c>
      <c r="G428" s="2" t="str">
        <f>"4"</f>
        <v>4</v>
      </c>
      <c r="H428" s="2" t="str">
        <f>"2"</f>
        <v>2</v>
      </c>
      <c r="I428" s="1">
        <v>7028660331.5200005</v>
      </c>
    </row>
    <row r="429" spans="1:9" x14ac:dyDescent="0.25">
      <c r="A429" s="2">
        <v>428</v>
      </c>
      <c r="B429" s="3">
        <v>44834</v>
      </c>
      <c r="C429" s="2">
        <v>14</v>
      </c>
      <c r="D429" s="4" t="str">
        <f>"1894"</f>
        <v>1894</v>
      </c>
      <c r="E429" t="str">
        <f>"Требования по операциям спот"</f>
        <v>Требования по операциям спот</v>
      </c>
      <c r="F429" s="2" t="str">
        <f>"2"</f>
        <v>2</v>
      </c>
      <c r="G429" s="2" t="str">
        <f>"4"</f>
        <v>4</v>
      </c>
      <c r="H429" s="2" t="str">
        <f>"3"</f>
        <v>3</v>
      </c>
      <c r="I429" s="1">
        <v>40386685.399999999</v>
      </c>
    </row>
    <row r="430" spans="1:9" x14ac:dyDescent="0.25">
      <c r="A430" s="2">
        <v>429</v>
      </c>
      <c r="B430" s="3">
        <v>44834</v>
      </c>
      <c r="C430" s="2">
        <v>14</v>
      </c>
      <c r="D430" s="4" t="str">
        <f>"1895"</f>
        <v>1895</v>
      </c>
      <c r="E430" t="str">
        <f>"Требования по операциям своп"</f>
        <v>Требования по операциям своп</v>
      </c>
      <c r="F430" s="2" t="str">
        <f>"2"</f>
        <v>2</v>
      </c>
      <c r="G430" s="2" t="str">
        <f>"4"</f>
        <v>4</v>
      </c>
      <c r="H430" s="2" t="str">
        <f>"1"</f>
        <v>1</v>
      </c>
      <c r="I430" s="1">
        <v>5761219177.9399996</v>
      </c>
    </row>
    <row r="431" spans="1:9" x14ac:dyDescent="0.25">
      <c r="A431" s="2">
        <v>430</v>
      </c>
      <c r="B431" s="3">
        <v>44834</v>
      </c>
      <c r="C431" s="2">
        <v>14</v>
      </c>
      <c r="D431" s="4" t="str">
        <f>"1895"</f>
        <v>1895</v>
      </c>
      <c r="E431" t="str">
        <f>"Требования по операциям своп"</f>
        <v>Требования по операциям своп</v>
      </c>
      <c r="F431" s="2" t="str">
        <f>"2"</f>
        <v>2</v>
      </c>
      <c r="G431" s="2" t="str">
        <f>"4"</f>
        <v>4</v>
      </c>
      <c r="H431" s="2" t="str">
        <f>"3"</f>
        <v>3</v>
      </c>
      <c r="I431" s="1">
        <v>23926835.309999999</v>
      </c>
    </row>
    <row r="432" spans="1:9" x14ac:dyDescent="0.25">
      <c r="A432" s="2">
        <v>431</v>
      </c>
      <c r="B432" s="3">
        <v>44834</v>
      </c>
      <c r="C432" s="2">
        <v>14</v>
      </c>
      <c r="D432" s="4" t="str">
        <f>"1895"</f>
        <v>1895</v>
      </c>
      <c r="E432" t="str">
        <f>"Требования по операциям своп"</f>
        <v>Требования по операциям своп</v>
      </c>
      <c r="F432" s="2" t="str">
        <f>"2"</f>
        <v>2</v>
      </c>
      <c r="G432" s="2" t="str">
        <f>"4"</f>
        <v>4</v>
      </c>
      <c r="H432" s="2" t="str">
        <f>"2"</f>
        <v>2</v>
      </c>
      <c r="I432" s="1">
        <v>318235.5</v>
      </c>
    </row>
    <row r="433" spans="1:9" x14ac:dyDescent="0.25">
      <c r="A433" s="2">
        <v>432</v>
      </c>
      <c r="B433" s="3">
        <v>44834</v>
      </c>
      <c r="C433" s="2">
        <v>14</v>
      </c>
      <c r="D433" s="4" t="str">
        <f>"2012"</f>
        <v>2012</v>
      </c>
      <c r="E433" t="str">
        <f>"Корреспондентские счета иностранных центральных банков"</f>
        <v>Корреспондентские счета иностранных центральных банков</v>
      </c>
      <c r="F433" s="2" t="str">
        <f>"2"</f>
        <v>2</v>
      </c>
      <c r="G433" s="2" t="str">
        <f>"3"</f>
        <v>3</v>
      </c>
      <c r="H433" s="2" t="str">
        <f>"1"</f>
        <v>1</v>
      </c>
      <c r="I433" s="1">
        <v>4524277802.7600002</v>
      </c>
    </row>
    <row r="434" spans="1:9" x14ac:dyDescent="0.25">
      <c r="A434" s="2">
        <v>433</v>
      </c>
      <c r="B434" s="3">
        <v>44834</v>
      </c>
      <c r="C434" s="2">
        <v>14</v>
      </c>
      <c r="D434" s="4" t="str">
        <f>"2012"</f>
        <v>2012</v>
      </c>
      <c r="E434" t="str">
        <f>"Корреспондентские счета иностранных центральных банков"</f>
        <v>Корреспондентские счета иностранных центральных банков</v>
      </c>
      <c r="F434" s="2" t="str">
        <f>"2"</f>
        <v>2</v>
      </c>
      <c r="G434" s="2" t="str">
        <f>"3"</f>
        <v>3</v>
      </c>
      <c r="H434" s="2" t="str">
        <f>"2"</f>
        <v>2</v>
      </c>
      <c r="I434" s="1">
        <v>3615910101.52</v>
      </c>
    </row>
    <row r="435" spans="1:9" x14ac:dyDescent="0.25">
      <c r="A435" s="2">
        <v>434</v>
      </c>
      <c r="B435" s="3">
        <v>44834</v>
      </c>
      <c r="C435" s="2">
        <v>14</v>
      </c>
      <c r="D435" s="4" t="str">
        <f>"2013"</f>
        <v>2013</v>
      </c>
      <c r="E435" t="str">
        <f>"Корреспондентские счета других банков"</f>
        <v>Корреспондентские счета других банков</v>
      </c>
      <c r="F435" s="2" t="str">
        <f>"1"</f>
        <v>1</v>
      </c>
      <c r="G435" s="2" t="str">
        <f>"4"</f>
        <v>4</v>
      </c>
      <c r="H435" s="2" t="str">
        <f>"2"</f>
        <v>2</v>
      </c>
      <c r="I435" s="1">
        <v>9354748681.6900005</v>
      </c>
    </row>
    <row r="436" spans="1:9" x14ac:dyDescent="0.25">
      <c r="A436" s="2">
        <v>435</v>
      </c>
      <c r="B436" s="3">
        <v>44834</v>
      </c>
      <c r="C436" s="2">
        <v>14</v>
      </c>
      <c r="D436" s="4" t="str">
        <f>"2013"</f>
        <v>2013</v>
      </c>
      <c r="E436" t="str">
        <f>"Корреспондентские счета других банков"</f>
        <v>Корреспондентские счета других банков</v>
      </c>
      <c r="F436" s="2" t="str">
        <f>"1"</f>
        <v>1</v>
      </c>
      <c r="G436" s="2" t="str">
        <f>"4"</f>
        <v>4</v>
      </c>
      <c r="H436" s="2" t="str">
        <f>"3"</f>
        <v>3</v>
      </c>
      <c r="I436" s="1">
        <v>1054052263.28</v>
      </c>
    </row>
    <row r="437" spans="1:9" x14ac:dyDescent="0.25">
      <c r="A437" s="2">
        <v>436</v>
      </c>
      <c r="B437" s="3">
        <v>44834</v>
      </c>
      <c r="C437" s="2">
        <v>14</v>
      </c>
      <c r="D437" s="4" t="str">
        <f>"2013"</f>
        <v>2013</v>
      </c>
      <c r="E437" t="str">
        <f>"Корреспондентские счета других банков"</f>
        <v>Корреспондентские счета других банков</v>
      </c>
      <c r="F437" s="2" t="str">
        <f>"1"</f>
        <v>1</v>
      </c>
      <c r="G437" s="2" t="str">
        <f>"4"</f>
        <v>4</v>
      </c>
      <c r="H437" s="2" t="str">
        <f>"1"</f>
        <v>1</v>
      </c>
      <c r="I437" s="1">
        <v>1708665392.6600001</v>
      </c>
    </row>
    <row r="438" spans="1:9" x14ac:dyDescent="0.25">
      <c r="A438" s="2">
        <v>437</v>
      </c>
      <c r="B438" s="3">
        <v>44834</v>
      </c>
      <c r="C438" s="2">
        <v>14</v>
      </c>
      <c r="D438" s="4" t="str">
        <f>"2013"</f>
        <v>2013</v>
      </c>
      <c r="E438" t="str">
        <f>"Корреспондентские счета других банков"</f>
        <v>Корреспондентские счета других банков</v>
      </c>
      <c r="F438" s="2" t="str">
        <f>"2"</f>
        <v>2</v>
      </c>
      <c r="G438" s="2" t="str">
        <f>"4"</f>
        <v>4</v>
      </c>
      <c r="H438" s="2" t="str">
        <f>"3"</f>
        <v>3</v>
      </c>
      <c r="I438" s="1">
        <v>2073933520.24</v>
      </c>
    </row>
    <row r="439" spans="1:9" x14ac:dyDescent="0.25">
      <c r="A439" s="2">
        <v>438</v>
      </c>
      <c r="B439" s="3">
        <v>44834</v>
      </c>
      <c r="C439" s="2">
        <v>14</v>
      </c>
      <c r="D439" s="4" t="str">
        <f>"2013"</f>
        <v>2013</v>
      </c>
      <c r="E439" t="str">
        <f>"Корреспондентские счета других банков"</f>
        <v>Корреспондентские счета других банков</v>
      </c>
      <c r="F439" s="2" t="str">
        <f>"2"</f>
        <v>2</v>
      </c>
      <c r="G439" s="2" t="str">
        <f>"4"</f>
        <v>4</v>
      </c>
      <c r="H439" s="2" t="str">
        <f>"2"</f>
        <v>2</v>
      </c>
      <c r="I439" s="1">
        <v>79847949269.210007</v>
      </c>
    </row>
    <row r="440" spans="1:9" x14ac:dyDescent="0.25">
      <c r="A440" s="2">
        <v>439</v>
      </c>
      <c r="B440" s="3">
        <v>44834</v>
      </c>
      <c r="C440" s="2">
        <v>14</v>
      </c>
      <c r="D440" s="4" t="str">
        <f>"2013"</f>
        <v>2013</v>
      </c>
      <c r="E440" t="str">
        <f>"Корреспондентские счета других банков"</f>
        <v>Корреспондентские счета других банков</v>
      </c>
      <c r="F440" s="2" t="str">
        <f>"2"</f>
        <v>2</v>
      </c>
      <c r="G440" s="2" t="str">
        <f>"4"</f>
        <v>4</v>
      </c>
      <c r="H440" s="2" t="str">
        <f>"1"</f>
        <v>1</v>
      </c>
      <c r="I440" s="1">
        <v>10172938801.18</v>
      </c>
    </row>
    <row r="441" spans="1:9" x14ac:dyDescent="0.25">
      <c r="A441" s="2">
        <v>440</v>
      </c>
      <c r="B441" s="3">
        <v>44834</v>
      </c>
      <c r="C441" s="2">
        <v>14</v>
      </c>
      <c r="D441" s="4" t="str">
        <f>"2014"</f>
        <v>2014</v>
      </c>
      <c r="E44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41" s="2" t="str">
        <f>"1"</f>
        <v>1</v>
      </c>
      <c r="G441" s="2" t="str">
        <f>"6"</f>
        <v>6</v>
      </c>
      <c r="H441" s="2" t="str">
        <f>"2"</f>
        <v>2</v>
      </c>
      <c r="I441" s="1">
        <v>715334505.34000003</v>
      </c>
    </row>
    <row r="442" spans="1:9" x14ac:dyDescent="0.25">
      <c r="A442" s="2">
        <v>441</v>
      </c>
      <c r="B442" s="3">
        <v>44834</v>
      </c>
      <c r="C442" s="2">
        <v>14</v>
      </c>
      <c r="D442" s="4" t="str">
        <f>"2014"</f>
        <v>2014</v>
      </c>
      <c r="E44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42" s="2" t="str">
        <f>"1"</f>
        <v>1</v>
      </c>
      <c r="G442" s="2" t="str">
        <f>"6"</f>
        <v>6</v>
      </c>
      <c r="H442" s="2" t="str">
        <f>"3"</f>
        <v>3</v>
      </c>
      <c r="I442" s="1">
        <v>104614024.45999999</v>
      </c>
    </row>
    <row r="443" spans="1:9" x14ac:dyDescent="0.25">
      <c r="A443" s="2">
        <v>442</v>
      </c>
      <c r="B443" s="3">
        <v>44834</v>
      </c>
      <c r="C443" s="2">
        <v>14</v>
      </c>
      <c r="D443" s="4" t="str">
        <f>"2014"</f>
        <v>2014</v>
      </c>
      <c r="E44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43" s="2" t="str">
        <f>"1"</f>
        <v>1</v>
      </c>
      <c r="G443" s="2" t="str">
        <f>"5"</f>
        <v>5</v>
      </c>
      <c r="H443" s="2" t="str">
        <f>"1"</f>
        <v>1</v>
      </c>
      <c r="I443" s="1">
        <v>12201.71</v>
      </c>
    </row>
    <row r="444" spans="1:9" x14ac:dyDescent="0.25">
      <c r="A444" s="2">
        <v>443</v>
      </c>
      <c r="B444" s="3">
        <v>44834</v>
      </c>
      <c r="C444" s="2">
        <v>14</v>
      </c>
      <c r="D444" s="4" t="str">
        <f>"2014"</f>
        <v>2014</v>
      </c>
      <c r="E444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44" s="2" t="str">
        <f>"1"</f>
        <v>1</v>
      </c>
      <c r="G444" s="2" t="str">
        <f>"6"</f>
        <v>6</v>
      </c>
      <c r="H444" s="2" t="str">
        <f>"1"</f>
        <v>1</v>
      </c>
      <c r="I444" s="1">
        <v>10442840.789999999</v>
      </c>
    </row>
    <row r="445" spans="1:9" x14ac:dyDescent="0.25">
      <c r="A445" s="2">
        <v>444</v>
      </c>
      <c r="B445" s="3">
        <v>44834</v>
      </c>
      <c r="C445" s="2">
        <v>14</v>
      </c>
      <c r="D445" s="4" t="str">
        <f>"2036"</f>
        <v>2036</v>
      </c>
      <c r="E445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F445" s="2" t="str">
        <f>"1"</f>
        <v>1</v>
      </c>
      <c r="G445" s="2" t="str">
        <f>"6"</f>
        <v>6</v>
      </c>
      <c r="H445" s="2" t="str">
        <f>"1"</f>
        <v>1</v>
      </c>
      <c r="I445" s="1">
        <v>65555555.520000003</v>
      </c>
    </row>
    <row r="446" spans="1:9" x14ac:dyDescent="0.25">
      <c r="A446" s="2">
        <v>445</v>
      </c>
      <c r="B446" s="3">
        <v>44834</v>
      </c>
      <c r="C446" s="2">
        <v>14</v>
      </c>
      <c r="D446" s="4" t="str">
        <f>"2056"</f>
        <v>2056</v>
      </c>
      <c r="E446" t="str">
        <f>"Долгосрочные займы, полученные от других банков"</f>
        <v>Долгосрочные займы, полученные от других банков</v>
      </c>
      <c r="F446" s="2" t="str">
        <f>"1"</f>
        <v>1</v>
      </c>
      <c r="G446" s="2" t="str">
        <f>"4"</f>
        <v>4</v>
      </c>
      <c r="H446" s="2" t="str">
        <f>"1"</f>
        <v>1</v>
      </c>
      <c r="I446" s="1">
        <v>79841230270.880005</v>
      </c>
    </row>
    <row r="447" spans="1:9" x14ac:dyDescent="0.25">
      <c r="A447" s="2">
        <v>446</v>
      </c>
      <c r="B447" s="3">
        <v>44834</v>
      </c>
      <c r="C447" s="2">
        <v>14</v>
      </c>
      <c r="D447" s="4" t="str">
        <f>"2064"</f>
        <v>2064</v>
      </c>
      <c r="E447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447" s="2" t="str">
        <f>"1"</f>
        <v>1</v>
      </c>
      <c r="G447" s="2" t="str">
        <f>"5"</f>
        <v>5</v>
      </c>
      <c r="H447" s="2" t="str">
        <f>"1"</f>
        <v>1</v>
      </c>
      <c r="I447" s="1">
        <v>38664184106</v>
      </c>
    </row>
    <row r="448" spans="1:9" x14ac:dyDescent="0.25">
      <c r="A448" s="2">
        <v>447</v>
      </c>
      <c r="B448" s="3">
        <v>44834</v>
      </c>
      <c r="C448" s="2">
        <v>14</v>
      </c>
      <c r="D448" s="4" t="str">
        <f>"2066"</f>
        <v>2066</v>
      </c>
      <c r="E448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448" s="2" t="str">
        <f>"1"</f>
        <v>1</v>
      </c>
      <c r="G448" s="2" t="str">
        <f>"5"</f>
        <v>5</v>
      </c>
      <c r="H448" s="2" t="str">
        <f>"1"</f>
        <v>1</v>
      </c>
      <c r="I448" s="1">
        <v>106495755476.59</v>
      </c>
    </row>
    <row r="449" spans="1:9" x14ac:dyDescent="0.25">
      <c r="A449" s="2">
        <v>448</v>
      </c>
      <c r="B449" s="3">
        <v>44834</v>
      </c>
      <c r="C449" s="2">
        <v>14</v>
      </c>
      <c r="D449" s="4" t="str">
        <f>"2122"</f>
        <v>2122</v>
      </c>
      <c r="E449" t="str">
        <f>"Срочные вклады иностранных центральных банков"</f>
        <v>Срочные вклады иностранных центральных банков</v>
      </c>
      <c r="F449" s="2" t="str">
        <f>"2"</f>
        <v>2</v>
      </c>
      <c r="G449" s="2" t="str">
        <f>"3"</f>
        <v>3</v>
      </c>
      <c r="H449" s="2" t="str">
        <f>"1"</f>
        <v>1</v>
      </c>
      <c r="I449" s="1">
        <v>9000000000</v>
      </c>
    </row>
    <row r="450" spans="1:9" x14ac:dyDescent="0.25">
      <c r="A450" s="2">
        <v>449</v>
      </c>
      <c r="B450" s="3">
        <v>44834</v>
      </c>
      <c r="C450" s="2">
        <v>14</v>
      </c>
      <c r="D450" s="4" t="str">
        <f>"2122"</f>
        <v>2122</v>
      </c>
      <c r="E450" t="str">
        <f>"Срочные вклады иностранных центральных банков"</f>
        <v>Срочные вклады иностранных центральных банков</v>
      </c>
      <c r="F450" s="2" t="str">
        <f>"2"</f>
        <v>2</v>
      </c>
      <c r="G450" s="2" t="str">
        <f>"3"</f>
        <v>3</v>
      </c>
      <c r="H450" s="2" t="str">
        <f>"3"</f>
        <v>3</v>
      </c>
      <c r="I450" s="1">
        <v>50160000000</v>
      </c>
    </row>
    <row r="451" spans="1:9" x14ac:dyDescent="0.25">
      <c r="A451" s="2">
        <v>450</v>
      </c>
      <c r="B451" s="3">
        <v>44834</v>
      </c>
      <c r="C451" s="2">
        <v>14</v>
      </c>
      <c r="D451" s="4" t="str">
        <f>"2125"</f>
        <v>2125</v>
      </c>
      <c r="E451" t="str">
        <f>"Вклады, привлеченные от других банков на одну ночь"</f>
        <v>Вклады, привлеченные от других банков на одну ночь</v>
      </c>
      <c r="F451" s="2" t="str">
        <f>"2"</f>
        <v>2</v>
      </c>
      <c r="G451" s="2" t="str">
        <f>"4"</f>
        <v>4</v>
      </c>
      <c r="H451" s="2" t="str">
        <f>"1"</f>
        <v>1</v>
      </c>
      <c r="I451" s="1">
        <v>17790000000</v>
      </c>
    </row>
    <row r="452" spans="1:9" x14ac:dyDescent="0.25">
      <c r="A452" s="2">
        <v>451</v>
      </c>
      <c r="B452" s="3">
        <v>44834</v>
      </c>
      <c r="C452" s="2">
        <v>14</v>
      </c>
      <c r="D452" s="4" t="str">
        <f>"2125"</f>
        <v>2125</v>
      </c>
      <c r="E452" t="str">
        <f>"Вклады, привлеченные от других банков на одну ночь"</f>
        <v>Вклады, привлеченные от других банков на одну ночь</v>
      </c>
      <c r="F452" s="2" t="str">
        <f>"1"</f>
        <v>1</v>
      </c>
      <c r="G452" s="2" t="str">
        <f>"6"</f>
        <v>6</v>
      </c>
      <c r="H452" s="2" t="str">
        <f>"1"</f>
        <v>1</v>
      </c>
      <c r="I452" s="1">
        <v>1500000000</v>
      </c>
    </row>
    <row r="453" spans="1:9" x14ac:dyDescent="0.25">
      <c r="A453" s="2">
        <v>452</v>
      </c>
      <c r="B453" s="3">
        <v>44834</v>
      </c>
      <c r="C453" s="2">
        <v>14</v>
      </c>
      <c r="D453" s="4" t="str">
        <f>"2130"</f>
        <v>2130</v>
      </c>
      <c r="E453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F453" s="2" t="str">
        <f>"2"</f>
        <v>2</v>
      </c>
      <c r="G453" s="2" t="str">
        <f>"4"</f>
        <v>4</v>
      </c>
      <c r="H453" s="2" t="str">
        <f>"2"</f>
        <v>2</v>
      </c>
      <c r="I453" s="1">
        <v>4767100</v>
      </c>
    </row>
    <row r="454" spans="1:9" x14ac:dyDescent="0.25">
      <c r="A454" s="2">
        <v>453</v>
      </c>
      <c r="B454" s="3">
        <v>44834</v>
      </c>
      <c r="C454" s="2">
        <v>14</v>
      </c>
      <c r="D454" s="4" t="str">
        <f>"2131"</f>
        <v>2131</v>
      </c>
      <c r="E454" t="str">
        <f>"Счет хранения денег, принятых в качестве обеспечения (заклад, задаток) обязательств других банков"</f>
        <v>Счет хранения денег, принятых в качестве обеспечения (заклад, задаток) обязательств других банков</v>
      </c>
      <c r="F454" s="2" t="str">
        <f>"1"</f>
        <v>1</v>
      </c>
      <c r="G454" s="2" t="str">
        <f>"4"</f>
        <v>4</v>
      </c>
      <c r="H454" s="2" t="str">
        <f>"2"</f>
        <v>2</v>
      </c>
      <c r="I454" s="1">
        <v>90574900</v>
      </c>
    </row>
    <row r="455" spans="1:9" x14ac:dyDescent="0.25">
      <c r="A455" s="2">
        <v>454</v>
      </c>
      <c r="B455" s="3">
        <v>44834</v>
      </c>
      <c r="C455" s="2">
        <v>14</v>
      </c>
      <c r="D455" s="4" t="str">
        <f>"2131"</f>
        <v>2131</v>
      </c>
      <c r="E455" t="str">
        <f>"Счет хранения денег, принятых в качестве обеспечения (заклад, задаток) обязательств других банков"</f>
        <v>Счет хранения денег, принятых в качестве обеспечения (заклад, задаток) обязательств других банков</v>
      </c>
      <c r="F455" s="2" t="str">
        <f>"2"</f>
        <v>2</v>
      </c>
      <c r="G455" s="2" t="str">
        <f>"4"</f>
        <v>4</v>
      </c>
      <c r="H455" s="2" t="str">
        <f>"2"</f>
        <v>2</v>
      </c>
      <c r="I455" s="1">
        <v>14526531.17</v>
      </c>
    </row>
    <row r="456" spans="1:9" x14ac:dyDescent="0.25">
      <c r="A456" s="2">
        <v>455</v>
      </c>
      <c r="B456" s="3">
        <v>44834</v>
      </c>
      <c r="C456" s="2">
        <v>14</v>
      </c>
      <c r="D456" s="4" t="str">
        <f>"2201"</f>
        <v>2201</v>
      </c>
      <c r="E456" t="str">
        <f>"Деньги государственного бюджета"</f>
        <v>Деньги государственного бюджета</v>
      </c>
      <c r="F456" s="2" t="str">
        <f>"1"</f>
        <v>1</v>
      </c>
      <c r="G456" s="2" t="str">
        <f>"1"</f>
        <v>1</v>
      </c>
      <c r="H456" s="2" t="str">
        <f>"1"</f>
        <v>1</v>
      </c>
      <c r="I456" s="1">
        <v>1771233314.98</v>
      </c>
    </row>
    <row r="457" spans="1:9" x14ac:dyDescent="0.25">
      <c r="A457" s="2">
        <v>456</v>
      </c>
      <c r="B457" s="3">
        <v>44834</v>
      </c>
      <c r="C457" s="2">
        <v>14</v>
      </c>
      <c r="D457" s="4" t="str">
        <f>"2202"</f>
        <v>2202</v>
      </c>
      <c r="E457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457" s="2" t="str">
        <f>"1"</f>
        <v>1</v>
      </c>
      <c r="G457" s="2" t="str">
        <f>"5"</f>
        <v>5</v>
      </c>
      <c r="H457" s="2" t="str">
        <f>"2"</f>
        <v>2</v>
      </c>
      <c r="I457" s="1">
        <v>6512308195.1499996</v>
      </c>
    </row>
    <row r="458" spans="1:9" x14ac:dyDescent="0.25">
      <c r="A458" s="2">
        <v>457</v>
      </c>
      <c r="B458" s="3">
        <v>44834</v>
      </c>
      <c r="C458" s="2">
        <v>14</v>
      </c>
      <c r="D458" s="4" t="str">
        <f>"2202"</f>
        <v>2202</v>
      </c>
      <c r="E458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458" s="2" t="str">
        <f>"1"</f>
        <v>1</v>
      </c>
      <c r="G458" s="2" t="str">
        <f>"5"</f>
        <v>5</v>
      </c>
      <c r="H458" s="2" t="str">
        <f>"1"</f>
        <v>1</v>
      </c>
      <c r="I458" s="1">
        <v>351627087.18000001</v>
      </c>
    </row>
    <row r="459" spans="1:9" x14ac:dyDescent="0.25">
      <c r="A459" s="2">
        <v>458</v>
      </c>
      <c r="B459" s="3">
        <v>44834</v>
      </c>
      <c r="C459" s="2">
        <v>14</v>
      </c>
      <c r="D459" s="4" t="str">
        <f>"2203"</f>
        <v>2203</v>
      </c>
      <c r="E459" t="str">
        <f>"Текущие счета юридических лиц"</f>
        <v>Текущие счета юридических лиц</v>
      </c>
      <c r="F459" s="2" t="str">
        <f>"1"</f>
        <v>1</v>
      </c>
      <c r="G459" s="2" t="str">
        <f>"4"</f>
        <v>4</v>
      </c>
      <c r="H459" s="2" t="str">
        <f>"1"</f>
        <v>1</v>
      </c>
      <c r="I459" s="1">
        <v>974211.77</v>
      </c>
    </row>
    <row r="460" spans="1:9" x14ac:dyDescent="0.25">
      <c r="A460" s="2">
        <v>459</v>
      </c>
      <c r="B460" s="3">
        <v>44834</v>
      </c>
      <c r="C460" s="2">
        <v>14</v>
      </c>
      <c r="D460" s="4" t="str">
        <f>"2203"</f>
        <v>2203</v>
      </c>
      <c r="E460" t="str">
        <f>"Текущие счета юридических лиц"</f>
        <v>Текущие счета юридических лиц</v>
      </c>
      <c r="F460" s="2" t="str">
        <f>"2"</f>
        <v>2</v>
      </c>
      <c r="G460" s="2" t="str">
        <f>"7"</f>
        <v>7</v>
      </c>
      <c r="H460" s="2" t="str">
        <f>"3"</f>
        <v>3</v>
      </c>
      <c r="I460" s="1">
        <v>159311200.94999999</v>
      </c>
    </row>
    <row r="461" spans="1:9" x14ac:dyDescent="0.25">
      <c r="A461" s="2">
        <v>460</v>
      </c>
      <c r="B461" s="3">
        <v>44834</v>
      </c>
      <c r="C461" s="2">
        <v>14</v>
      </c>
      <c r="D461" s="4" t="str">
        <f>"2203"</f>
        <v>2203</v>
      </c>
      <c r="E461" t="str">
        <f>"Текущие счета юридических лиц"</f>
        <v>Текущие счета юридических лиц</v>
      </c>
      <c r="F461" s="2" t="str">
        <f>"1"</f>
        <v>1</v>
      </c>
      <c r="G461" s="2" t="str">
        <f>"5"</f>
        <v>5</v>
      </c>
      <c r="H461" s="2" t="str">
        <f>"1"</f>
        <v>1</v>
      </c>
      <c r="I461" s="1">
        <v>45680862438.379997</v>
      </c>
    </row>
    <row r="462" spans="1:9" x14ac:dyDescent="0.25">
      <c r="A462" s="2">
        <v>461</v>
      </c>
      <c r="B462" s="3">
        <v>44834</v>
      </c>
      <c r="C462" s="2">
        <v>14</v>
      </c>
      <c r="D462" s="4" t="str">
        <f>"2203"</f>
        <v>2203</v>
      </c>
      <c r="E462" t="str">
        <f>"Текущие счета юридических лиц"</f>
        <v>Текущие счета юридических лиц</v>
      </c>
      <c r="F462" s="2" t="str">
        <f>"1"</f>
        <v>1</v>
      </c>
      <c r="G462" s="2" t="str">
        <f>"3"</f>
        <v>3</v>
      </c>
      <c r="H462" s="2" t="str">
        <f>"1"</f>
        <v>1</v>
      </c>
      <c r="I462" s="1">
        <v>701.67</v>
      </c>
    </row>
    <row r="463" spans="1:9" x14ac:dyDescent="0.25">
      <c r="A463" s="2">
        <v>462</v>
      </c>
      <c r="B463" s="3">
        <v>44834</v>
      </c>
      <c r="C463" s="2">
        <v>14</v>
      </c>
      <c r="D463" s="4" t="str">
        <f>"2203"</f>
        <v>2203</v>
      </c>
      <c r="E463" t="str">
        <f>"Текущие счета юридических лиц"</f>
        <v>Текущие счета юридических лиц</v>
      </c>
      <c r="F463" s="2" t="str">
        <f>"1"</f>
        <v>1</v>
      </c>
      <c r="G463" s="2" t="str">
        <f>"6"</f>
        <v>6</v>
      </c>
      <c r="H463" s="2" t="str">
        <f>"3"</f>
        <v>3</v>
      </c>
      <c r="I463" s="1">
        <v>6053651508.6099997</v>
      </c>
    </row>
    <row r="464" spans="1:9" x14ac:dyDescent="0.25">
      <c r="A464" s="2">
        <v>463</v>
      </c>
      <c r="B464" s="3">
        <v>44834</v>
      </c>
      <c r="C464" s="2">
        <v>14</v>
      </c>
      <c r="D464" s="4" t="str">
        <f>"2203"</f>
        <v>2203</v>
      </c>
      <c r="E464" t="str">
        <f>"Текущие счета юридических лиц"</f>
        <v>Текущие счета юридических лиц</v>
      </c>
      <c r="F464" s="2" t="str">
        <f>"1"</f>
        <v>1</v>
      </c>
      <c r="G464" s="2" t="str">
        <f>"7"</f>
        <v>7</v>
      </c>
      <c r="H464" s="2" t="str">
        <f>"3"</f>
        <v>3</v>
      </c>
      <c r="I464" s="1">
        <v>52513706143.959999</v>
      </c>
    </row>
    <row r="465" spans="1:9" x14ac:dyDescent="0.25">
      <c r="A465" s="2">
        <v>464</v>
      </c>
      <c r="B465" s="3">
        <v>44834</v>
      </c>
      <c r="C465" s="2">
        <v>14</v>
      </c>
      <c r="D465" s="4" t="str">
        <f>"2203"</f>
        <v>2203</v>
      </c>
      <c r="E465" t="str">
        <f>"Текущие счета юридических лиц"</f>
        <v>Текущие счета юридических лиц</v>
      </c>
      <c r="F465" s="2" t="str">
        <f>"2"</f>
        <v>2</v>
      </c>
      <c r="G465" s="2" t="str">
        <f>"6"</f>
        <v>6</v>
      </c>
      <c r="H465" s="2" t="str">
        <f>"2"</f>
        <v>2</v>
      </c>
      <c r="I465" s="1">
        <v>977278329.98000002</v>
      </c>
    </row>
    <row r="466" spans="1:9" x14ac:dyDescent="0.25">
      <c r="A466" s="2">
        <v>465</v>
      </c>
      <c r="B466" s="3">
        <v>44834</v>
      </c>
      <c r="C466" s="2">
        <v>14</v>
      </c>
      <c r="D466" s="4" t="str">
        <f>"2203"</f>
        <v>2203</v>
      </c>
      <c r="E466" t="str">
        <f>"Текущие счета юридических лиц"</f>
        <v>Текущие счета юридических лиц</v>
      </c>
      <c r="F466" s="2" t="str">
        <f>"2"</f>
        <v>2</v>
      </c>
      <c r="G466" s="2" t="str">
        <f>"1"</f>
        <v>1</v>
      </c>
      <c r="H466" s="2" t="str">
        <f>"1"</f>
        <v>1</v>
      </c>
      <c r="I466" s="1">
        <v>452919450.81</v>
      </c>
    </row>
    <row r="467" spans="1:9" x14ac:dyDescent="0.25">
      <c r="A467" s="2">
        <v>466</v>
      </c>
      <c r="B467" s="3">
        <v>44834</v>
      </c>
      <c r="C467" s="2">
        <v>14</v>
      </c>
      <c r="D467" s="4" t="str">
        <f>"2203"</f>
        <v>2203</v>
      </c>
      <c r="E467" t="str">
        <f>"Текущие счета юридических лиц"</f>
        <v>Текущие счета юридических лиц</v>
      </c>
      <c r="F467" s="2" t="str">
        <f>"1"</f>
        <v>1</v>
      </c>
      <c r="G467" s="2" t="str">
        <f>"8"</f>
        <v>8</v>
      </c>
      <c r="H467" s="2" t="str">
        <f>"1"</f>
        <v>1</v>
      </c>
      <c r="I467" s="1">
        <v>40195647359.25</v>
      </c>
    </row>
    <row r="468" spans="1:9" x14ac:dyDescent="0.25">
      <c r="A468" s="2">
        <v>467</v>
      </c>
      <c r="B468" s="3">
        <v>44834</v>
      </c>
      <c r="C468" s="2">
        <v>14</v>
      </c>
      <c r="D468" s="4" t="str">
        <f>"2203"</f>
        <v>2203</v>
      </c>
      <c r="E468" t="str">
        <f>"Текущие счета юридических лиц"</f>
        <v>Текущие счета юридических лиц</v>
      </c>
      <c r="F468" s="2" t="str">
        <f>"2"</f>
        <v>2</v>
      </c>
      <c r="G468" s="2" t="str">
        <f>"1"</f>
        <v>1</v>
      </c>
      <c r="H468" s="2" t="str">
        <f>"2"</f>
        <v>2</v>
      </c>
      <c r="I468" s="1">
        <v>1520482964.6300001</v>
      </c>
    </row>
    <row r="469" spans="1:9" x14ac:dyDescent="0.25">
      <c r="A469" s="2">
        <v>468</v>
      </c>
      <c r="B469" s="3">
        <v>44834</v>
      </c>
      <c r="C469" s="2">
        <v>14</v>
      </c>
      <c r="D469" s="4" t="str">
        <f>"2203"</f>
        <v>2203</v>
      </c>
      <c r="E469" t="str">
        <f>"Текущие счета юридических лиц"</f>
        <v>Текущие счета юридических лиц</v>
      </c>
      <c r="F469" s="2" t="str">
        <f>"1"</f>
        <v>1</v>
      </c>
      <c r="G469" s="2" t="str">
        <f>"1"</f>
        <v>1</v>
      </c>
      <c r="H469" s="2" t="str">
        <f>"1"</f>
        <v>1</v>
      </c>
      <c r="I469" s="1">
        <v>10060627749.209999</v>
      </c>
    </row>
    <row r="470" spans="1:9" x14ac:dyDescent="0.25">
      <c r="A470" s="2">
        <v>469</v>
      </c>
      <c r="B470" s="3">
        <v>44834</v>
      </c>
      <c r="C470" s="2">
        <v>14</v>
      </c>
      <c r="D470" s="4" t="str">
        <f>"2203"</f>
        <v>2203</v>
      </c>
      <c r="E470" t="str">
        <f>"Текущие счета юридических лиц"</f>
        <v>Текущие счета юридических лиц</v>
      </c>
      <c r="F470" s="2" t="str">
        <f>"1"</f>
        <v>1</v>
      </c>
      <c r="G470" s="2" t="str">
        <f>"1"</f>
        <v>1</v>
      </c>
      <c r="H470" s="2" t="str">
        <f>"2"</f>
        <v>2</v>
      </c>
      <c r="I470" s="1">
        <v>24106052.300000001</v>
      </c>
    </row>
    <row r="471" spans="1:9" x14ac:dyDescent="0.25">
      <c r="A471" s="2">
        <v>470</v>
      </c>
      <c r="B471" s="3">
        <v>44834</v>
      </c>
      <c r="C471" s="2">
        <v>14</v>
      </c>
      <c r="D471" s="4" t="str">
        <f>"2203"</f>
        <v>2203</v>
      </c>
      <c r="E471" t="str">
        <f>"Текущие счета юридических лиц"</f>
        <v>Текущие счета юридических лиц</v>
      </c>
      <c r="F471" s="2" t="str">
        <f>"2"</f>
        <v>2</v>
      </c>
      <c r="G471" s="2" t="str">
        <f>"6"</f>
        <v>6</v>
      </c>
      <c r="H471" s="2" t="str">
        <f>"1"</f>
        <v>1</v>
      </c>
      <c r="I471" s="1">
        <v>13621696.859999999</v>
      </c>
    </row>
    <row r="472" spans="1:9" x14ac:dyDescent="0.25">
      <c r="A472" s="2">
        <v>471</v>
      </c>
      <c r="B472" s="3">
        <v>44834</v>
      </c>
      <c r="C472" s="2">
        <v>14</v>
      </c>
      <c r="D472" s="4" t="str">
        <f>"2203"</f>
        <v>2203</v>
      </c>
      <c r="E472" t="str">
        <f>"Текущие счета юридических лиц"</f>
        <v>Текущие счета юридических лиц</v>
      </c>
      <c r="F472" s="2" t="str">
        <f>"1"</f>
        <v>1</v>
      </c>
      <c r="G472" s="2" t="str">
        <f>"6"</f>
        <v>6</v>
      </c>
      <c r="H472" s="2" t="str">
        <f>"2"</f>
        <v>2</v>
      </c>
      <c r="I472" s="1">
        <v>196906786497.87</v>
      </c>
    </row>
    <row r="473" spans="1:9" x14ac:dyDescent="0.25">
      <c r="A473" s="2">
        <v>472</v>
      </c>
      <c r="B473" s="3">
        <v>44834</v>
      </c>
      <c r="C473" s="2">
        <v>14</v>
      </c>
      <c r="D473" s="4" t="str">
        <f>"2203"</f>
        <v>2203</v>
      </c>
      <c r="E473" t="str">
        <f>"Текущие счета юридических лиц"</f>
        <v>Текущие счета юридических лиц</v>
      </c>
      <c r="F473" s="2" t="str">
        <f>"2"</f>
        <v>2</v>
      </c>
      <c r="G473" s="2" t="str">
        <f>"2"</f>
        <v>2</v>
      </c>
      <c r="H473" s="2" t="str">
        <f>"1"</f>
        <v>1</v>
      </c>
      <c r="I473" s="1">
        <v>7527438.2400000002</v>
      </c>
    </row>
    <row r="474" spans="1:9" x14ac:dyDescent="0.25">
      <c r="A474" s="2">
        <v>473</v>
      </c>
      <c r="B474" s="3">
        <v>44834</v>
      </c>
      <c r="C474" s="2">
        <v>14</v>
      </c>
      <c r="D474" s="4" t="str">
        <f>"2203"</f>
        <v>2203</v>
      </c>
      <c r="E474" t="str">
        <f>"Текущие счета юридических лиц"</f>
        <v>Текущие счета юридических лиц</v>
      </c>
      <c r="F474" s="2" t="str">
        <f>"2"</f>
        <v>2</v>
      </c>
      <c r="G474" s="2" t="str">
        <f>"2"</f>
        <v>2</v>
      </c>
      <c r="H474" s="2" t="str">
        <f>"2"</f>
        <v>2</v>
      </c>
      <c r="I474" s="1">
        <v>16165188.43</v>
      </c>
    </row>
    <row r="475" spans="1:9" x14ac:dyDescent="0.25">
      <c r="A475" s="2">
        <v>474</v>
      </c>
      <c r="B475" s="3">
        <v>44834</v>
      </c>
      <c r="C475" s="2">
        <v>14</v>
      </c>
      <c r="D475" s="4" t="str">
        <f>"2203"</f>
        <v>2203</v>
      </c>
      <c r="E475" t="str">
        <f>"Текущие счета юридических лиц"</f>
        <v>Текущие счета юридических лиц</v>
      </c>
      <c r="F475" s="2" t="str">
        <f>"1"</f>
        <v>1</v>
      </c>
      <c r="G475" s="2" t="str">
        <f>"8"</f>
        <v>8</v>
      </c>
      <c r="H475" s="2" t="str">
        <f>"3"</f>
        <v>3</v>
      </c>
      <c r="I475" s="1">
        <v>36495847.909999996</v>
      </c>
    </row>
    <row r="476" spans="1:9" x14ac:dyDescent="0.25">
      <c r="A476" s="2">
        <v>475</v>
      </c>
      <c r="B476" s="3">
        <v>44834</v>
      </c>
      <c r="C476" s="2">
        <v>14</v>
      </c>
      <c r="D476" s="4" t="str">
        <f>"2203"</f>
        <v>2203</v>
      </c>
      <c r="E476" t="str">
        <f>"Текущие счета юридических лиц"</f>
        <v>Текущие счета юридических лиц</v>
      </c>
      <c r="F476" s="2" t="str">
        <f>"1"</f>
        <v>1</v>
      </c>
      <c r="G476" s="2" t="str">
        <f>"7"</f>
        <v>7</v>
      </c>
      <c r="H476" s="2" t="str">
        <f>"1"</f>
        <v>1</v>
      </c>
      <c r="I476" s="1">
        <v>584975693119.43005</v>
      </c>
    </row>
    <row r="477" spans="1:9" x14ac:dyDescent="0.25">
      <c r="A477" s="2">
        <v>476</v>
      </c>
      <c r="B477" s="3">
        <v>44834</v>
      </c>
      <c r="C477" s="2">
        <v>14</v>
      </c>
      <c r="D477" s="4" t="str">
        <f>"2203"</f>
        <v>2203</v>
      </c>
      <c r="E477" t="str">
        <f>"Текущие счета юридических лиц"</f>
        <v>Текущие счета юридических лиц</v>
      </c>
      <c r="F477" s="2" t="str">
        <f>"1"</f>
        <v>1</v>
      </c>
      <c r="G477" s="2" t="str">
        <f>"2"</f>
        <v>2</v>
      </c>
      <c r="H477" s="2" t="str">
        <f>"1"</f>
        <v>1</v>
      </c>
      <c r="I477" s="1">
        <v>215214465.52000001</v>
      </c>
    </row>
    <row r="478" spans="1:9" x14ac:dyDescent="0.25">
      <c r="A478" s="2">
        <v>477</v>
      </c>
      <c r="B478" s="3">
        <v>44834</v>
      </c>
      <c r="C478" s="2">
        <v>14</v>
      </c>
      <c r="D478" s="4" t="str">
        <f>"2203"</f>
        <v>2203</v>
      </c>
      <c r="E478" t="str">
        <f>"Текущие счета юридических лиц"</f>
        <v>Текущие счета юридических лиц</v>
      </c>
      <c r="F478" s="2" t="str">
        <f>"1"</f>
        <v>1</v>
      </c>
      <c r="G478" s="2" t="str">
        <f>"8"</f>
        <v>8</v>
      </c>
      <c r="H478" s="2" t="str">
        <f>"2"</f>
        <v>2</v>
      </c>
      <c r="I478" s="1">
        <v>33917570181.540001</v>
      </c>
    </row>
    <row r="479" spans="1:9" x14ac:dyDescent="0.25">
      <c r="A479" s="2">
        <v>478</v>
      </c>
      <c r="B479" s="3">
        <v>44834</v>
      </c>
      <c r="C479" s="2">
        <v>14</v>
      </c>
      <c r="D479" s="4" t="str">
        <f>"2203"</f>
        <v>2203</v>
      </c>
      <c r="E479" t="str">
        <f>"Текущие счета юридических лиц"</f>
        <v>Текущие счета юридических лиц</v>
      </c>
      <c r="F479" s="2" t="str">
        <f>"2"</f>
        <v>2</v>
      </c>
      <c r="G479" s="2" t="str">
        <f>"8"</f>
        <v>8</v>
      </c>
      <c r="H479" s="2" t="str">
        <f>"1"</f>
        <v>1</v>
      </c>
      <c r="I479" s="1">
        <v>285740987.93000001</v>
      </c>
    </row>
    <row r="480" spans="1:9" x14ac:dyDescent="0.25">
      <c r="A480" s="2">
        <v>479</v>
      </c>
      <c r="B480" s="3">
        <v>44834</v>
      </c>
      <c r="C480" s="2">
        <v>14</v>
      </c>
      <c r="D480" s="4" t="str">
        <f>"2203"</f>
        <v>2203</v>
      </c>
      <c r="E480" t="str">
        <f>"Текущие счета юридических лиц"</f>
        <v>Текущие счета юридических лиц</v>
      </c>
      <c r="F480" s="2" t="str">
        <f>"2"</f>
        <v>2</v>
      </c>
      <c r="G480" s="2" t="str">
        <f>"7"</f>
        <v>7</v>
      </c>
      <c r="H480" s="2" t="str">
        <f>"2"</f>
        <v>2</v>
      </c>
      <c r="I480" s="1">
        <v>75595196942.820007</v>
      </c>
    </row>
    <row r="481" spans="1:9" x14ac:dyDescent="0.25">
      <c r="A481" s="2">
        <v>480</v>
      </c>
      <c r="B481" s="3">
        <v>44834</v>
      </c>
      <c r="C481" s="2">
        <v>14</v>
      </c>
      <c r="D481" s="4" t="str">
        <f>"2203"</f>
        <v>2203</v>
      </c>
      <c r="E481" t="str">
        <f>"Текущие счета юридических лиц"</f>
        <v>Текущие счета юридических лиц</v>
      </c>
      <c r="F481" s="2" t="str">
        <f>"1"</f>
        <v>1</v>
      </c>
      <c r="G481" s="2" t="str">
        <f>"5"</f>
        <v>5</v>
      </c>
      <c r="H481" s="2" t="str">
        <f>"2"</f>
        <v>2</v>
      </c>
      <c r="I481" s="1">
        <v>29551718183.860001</v>
      </c>
    </row>
    <row r="482" spans="1:9" x14ac:dyDescent="0.25">
      <c r="A482" s="2">
        <v>481</v>
      </c>
      <c r="B482" s="3">
        <v>44834</v>
      </c>
      <c r="C482" s="2">
        <v>14</v>
      </c>
      <c r="D482" s="4" t="str">
        <f>"2203"</f>
        <v>2203</v>
      </c>
      <c r="E482" t="str">
        <f>"Текущие счета юридических лиц"</f>
        <v>Текущие счета юридических лиц</v>
      </c>
      <c r="F482" s="2" t="str">
        <f>"2"</f>
        <v>2</v>
      </c>
      <c r="G482" s="2" t="str">
        <f>"7"</f>
        <v>7</v>
      </c>
      <c r="H482" s="2" t="str">
        <f>"1"</f>
        <v>1</v>
      </c>
      <c r="I482" s="1">
        <v>5371374995.8100004</v>
      </c>
    </row>
    <row r="483" spans="1:9" x14ac:dyDescent="0.25">
      <c r="A483" s="2">
        <v>482</v>
      </c>
      <c r="B483" s="3">
        <v>44834</v>
      </c>
      <c r="C483" s="2">
        <v>14</v>
      </c>
      <c r="D483" s="4" t="str">
        <f>"2203"</f>
        <v>2203</v>
      </c>
      <c r="E483" t="str">
        <f>"Текущие счета юридических лиц"</f>
        <v>Текущие счета юридических лиц</v>
      </c>
      <c r="F483" s="2" t="str">
        <f>"2"</f>
        <v>2</v>
      </c>
      <c r="G483" s="2" t="str">
        <f>"6"</f>
        <v>6</v>
      </c>
      <c r="H483" s="2" t="str">
        <f>"3"</f>
        <v>3</v>
      </c>
      <c r="I483" s="1">
        <v>692838.59</v>
      </c>
    </row>
    <row r="484" spans="1:9" x14ac:dyDescent="0.25">
      <c r="A484" s="2">
        <v>483</v>
      </c>
      <c r="B484" s="3">
        <v>44834</v>
      </c>
      <c r="C484" s="2">
        <v>14</v>
      </c>
      <c r="D484" s="4" t="str">
        <f>"2203"</f>
        <v>2203</v>
      </c>
      <c r="E484" t="str">
        <f>"Текущие счета юридических лиц"</f>
        <v>Текущие счета юридических лиц</v>
      </c>
      <c r="F484" s="2" t="str">
        <f>"2"</f>
        <v>2</v>
      </c>
      <c r="G484" s="2" t="str">
        <f>"5"</f>
        <v>5</v>
      </c>
      <c r="H484" s="2" t="str">
        <f>"1"</f>
        <v>1</v>
      </c>
      <c r="I484" s="1">
        <v>11369200.18</v>
      </c>
    </row>
    <row r="485" spans="1:9" x14ac:dyDescent="0.25">
      <c r="A485" s="2">
        <v>484</v>
      </c>
      <c r="B485" s="3">
        <v>44834</v>
      </c>
      <c r="C485" s="2">
        <v>14</v>
      </c>
      <c r="D485" s="4" t="str">
        <f>"2203"</f>
        <v>2203</v>
      </c>
      <c r="E485" t="str">
        <f>"Текущие счета юридических лиц"</f>
        <v>Текущие счета юридических лиц</v>
      </c>
      <c r="F485" s="2" t="str">
        <f>"1"</f>
        <v>1</v>
      </c>
      <c r="G485" s="2" t="str">
        <f>"5"</f>
        <v>5</v>
      </c>
      <c r="H485" s="2" t="str">
        <f>"3"</f>
        <v>3</v>
      </c>
      <c r="I485" s="1">
        <v>136629388.58000001</v>
      </c>
    </row>
    <row r="486" spans="1:9" x14ac:dyDescent="0.25">
      <c r="A486" s="2">
        <v>485</v>
      </c>
      <c r="B486" s="3">
        <v>44834</v>
      </c>
      <c r="C486" s="2">
        <v>14</v>
      </c>
      <c r="D486" s="4" t="str">
        <f>"2203"</f>
        <v>2203</v>
      </c>
      <c r="E486" t="str">
        <f>"Текущие счета юридических лиц"</f>
        <v>Текущие счета юридических лиц</v>
      </c>
      <c r="F486" s="2" t="str">
        <f>"1"</f>
        <v>1</v>
      </c>
      <c r="G486" s="2" t="str">
        <f>"7"</f>
        <v>7</v>
      </c>
      <c r="H486" s="2" t="str">
        <f>"2"</f>
        <v>2</v>
      </c>
      <c r="I486" s="1">
        <v>930847943705.60999</v>
      </c>
    </row>
    <row r="487" spans="1:9" x14ac:dyDescent="0.25">
      <c r="A487" s="2">
        <v>486</v>
      </c>
      <c r="B487" s="3">
        <v>44834</v>
      </c>
      <c r="C487" s="2">
        <v>14</v>
      </c>
      <c r="D487" s="4" t="str">
        <f>"2203"</f>
        <v>2203</v>
      </c>
      <c r="E487" t="str">
        <f>"Текущие счета юридических лиц"</f>
        <v>Текущие счета юридических лиц</v>
      </c>
      <c r="F487" s="2" t="str">
        <f>"1"</f>
        <v>1</v>
      </c>
      <c r="G487" s="2" t="str">
        <f>"6"</f>
        <v>6</v>
      </c>
      <c r="H487" s="2" t="str">
        <f>"1"</f>
        <v>1</v>
      </c>
      <c r="I487" s="1">
        <v>240530654870.60999</v>
      </c>
    </row>
    <row r="488" spans="1:9" x14ac:dyDescent="0.25">
      <c r="A488" s="2">
        <v>487</v>
      </c>
      <c r="B488" s="3">
        <v>44834</v>
      </c>
      <c r="C488" s="2">
        <v>14</v>
      </c>
      <c r="D488" s="4" t="str">
        <f>"2203"</f>
        <v>2203</v>
      </c>
      <c r="E488" t="str">
        <f>"Текущие счета юридических лиц"</f>
        <v>Текущие счета юридических лиц</v>
      </c>
      <c r="F488" s="2" t="str">
        <f>"2"</f>
        <v>2</v>
      </c>
      <c r="G488" s="2" t="str">
        <f>"8"</f>
        <v>8</v>
      </c>
      <c r="H488" s="2" t="str">
        <f>"2"</f>
        <v>2</v>
      </c>
      <c r="I488" s="1">
        <v>111202612.98999999</v>
      </c>
    </row>
    <row r="489" spans="1:9" x14ac:dyDescent="0.25">
      <c r="A489" s="2">
        <v>488</v>
      </c>
      <c r="B489" s="3">
        <v>44834</v>
      </c>
      <c r="C489" s="2">
        <v>14</v>
      </c>
      <c r="D489" s="4" t="str">
        <f>"2203"</f>
        <v>2203</v>
      </c>
      <c r="E489" t="str">
        <f>"Текущие счета юридических лиц"</f>
        <v>Текущие счета юридических лиц</v>
      </c>
      <c r="F489" s="2" t="str">
        <f>"2"</f>
        <v>2</v>
      </c>
      <c r="G489" s="2" t="str">
        <f>"1"</f>
        <v>1</v>
      </c>
      <c r="H489" s="2" t="str">
        <f>"3"</f>
        <v>3</v>
      </c>
      <c r="I489" s="1">
        <v>107062868.02</v>
      </c>
    </row>
    <row r="490" spans="1:9" x14ac:dyDescent="0.25">
      <c r="A490" s="2">
        <v>489</v>
      </c>
      <c r="B490" s="3">
        <v>44834</v>
      </c>
      <c r="C490" s="2">
        <v>14</v>
      </c>
      <c r="D490" s="4" t="str">
        <f>"2203"</f>
        <v>2203</v>
      </c>
      <c r="E490" t="str">
        <f>"Текущие счета юридических лиц"</f>
        <v>Текущие счета юридических лиц</v>
      </c>
      <c r="F490" s="2" t="str">
        <f>"2"</f>
        <v>2</v>
      </c>
      <c r="G490" s="2" t="str">
        <f>"5"</f>
        <v>5</v>
      </c>
      <c r="H490" s="2" t="str">
        <f>"2"</f>
        <v>2</v>
      </c>
      <c r="I490" s="1">
        <v>1881094635.8800001</v>
      </c>
    </row>
    <row r="491" spans="1:9" x14ac:dyDescent="0.25">
      <c r="A491" s="2">
        <v>490</v>
      </c>
      <c r="B491" s="3">
        <v>44834</v>
      </c>
      <c r="C491" s="2">
        <v>14</v>
      </c>
      <c r="D491" s="4" t="str">
        <f>"2204"</f>
        <v>2204</v>
      </c>
      <c r="E491" t="str">
        <f>"Текущие счета физических лиц"</f>
        <v>Текущие счета физических лиц</v>
      </c>
      <c r="F491" s="2" t="str">
        <f>"1"</f>
        <v>1</v>
      </c>
      <c r="G491" s="2" t="str">
        <f>"9"</f>
        <v>9</v>
      </c>
      <c r="H491" s="2" t="str">
        <f>"3"</f>
        <v>3</v>
      </c>
      <c r="I491" s="1">
        <v>2241392611.96</v>
      </c>
    </row>
    <row r="492" spans="1:9" x14ac:dyDescent="0.25">
      <c r="A492" s="2">
        <v>491</v>
      </c>
      <c r="B492" s="3">
        <v>44834</v>
      </c>
      <c r="C492" s="2">
        <v>14</v>
      </c>
      <c r="D492" s="4" t="str">
        <f>"2204"</f>
        <v>2204</v>
      </c>
      <c r="E492" t="str">
        <f>"Текущие счета физических лиц"</f>
        <v>Текущие счета физических лиц</v>
      </c>
      <c r="F492" s="2" t="str">
        <f>"2"</f>
        <v>2</v>
      </c>
      <c r="G492" s="2" t="str">
        <f>"9"</f>
        <v>9</v>
      </c>
      <c r="H492" s="2" t="str">
        <f>"2"</f>
        <v>2</v>
      </c>
      <c r="I492" s="1">
        <v>37676784899.730003</v>
      </c>
    </row>
    <row r="493" spans="1:9" x14ac:dyDescent="0.25">
      <c r="A493" s="2">
        <v>492</v>
      </c>
      <c r="B493" s="3">
        <v>44834</v>
      </c>
      <c r="C493" s="2">
        <v>14</v>
      </c>
      <c r="D493" s="4" t="str">
        <f>"2204"</f>
        <v>2204</v>
      </c>
      <c r="E493" t="str">
        <f>"Текущие счета физических лиц"</f>
        <v>Текущие счета физических лиц</v>
      </c>
      <c r="F493" s="2" t="str">
        <f>"1"</f>
        <v>1</v>
      </c>
      <c r="G493" s="2" t="str">
        <f>"9"</f>
        <v>9</v>
      </c>
      <c r="H493" s="2" t="str">
        <f>"2"</f>
        <v>2</v>
      </c>
      <c r="I493" s="1">
        <v>183002642105.45001</v>
      </c>
    </row>
    <row r="494" spans="1:9" x14ac:dyDescent="0.25">
      <c r="A494" s="2">
        <v>493</v>
      </c>
      <c r="B494" s="3">
        <v>44834</v>
      </c>
      <c r="C494" s="2">
        <v>14</v>
      </c>
      <c r="D494" s="4" t="str">
        <f>"2204"</f>
        <v>2204</v>
      </c>
      <c r="E494" t="str">
        <f>"Текущие счета физических лиц"</f>
        <v>Текущие счета физических лиц</v>
      </c>
      <c r="F494" s="2" t="str">
        <f>"2"</f>
        <v>2</v>
      </c>
      <c r="G494" s="2" t="str">
        <f>"9"</f>
        <v>9</v>
      </c>
      <c r="H494" s="2" t="str">
        <f>"1"</f>
        <v>1</v>
      </c>
      <c r="I494" s="1">
        <v>13545236275.52</v>
      </c>
    </row>
    <row r="495" spans="1:9" x14ac:dyDescent="0.25">
      <c r="A495" s="2">
        <v>494</v>
      </c>
      <c r="B495" s="3">
        <v>44834</v>
      </c>
      <c r="C495" s="2">
        <v>14</v>
      </c>
      <c r="D495" s="4" t="str">
        <f>"2204"</f>
        <v>2204</v>
      </c>
      <c r="E495" t="str">
        <f>"Текущие счета физических лиц"</f>
        <v>Текущие счета физических лиц</v>
      </c>
      <c r="F495" s="2" t="str">
        <f>"2"</f>
        <v>2</v>
      </c>
      <c r="G495" s="2" t="str">
        <f>"9"</f>
        <v>9</v>
      </c>
      <c r="H495" s="2" t="str">
        <f>"3"</f>
        <v>3</v>
      </c>
      <c r="I495" s="1">
        <v>351792863.83999997</v>
      </c>
    </row>
    <row r="496" spans="1:9" x14ac:dyDescent="0.25">
      <c r="A496" s="2">
        <v>495</v>
      </c>
      <c r="B496" s="3">
        <v>44834</v>
      </c>
      <c r="C496" s="2">
        <v>14</v>
      </c>
      <c r="D496" s="4" t="str">
        <f>"2204"</f>
        <v>2204</v>
      </c>
      <c r="E496" t="str">
        <f>"Текущие счета физических лиц"</f>
        <v>Текущие счета физических лиц</v>
      </c>
      <c r="F496" s="2" t="str">
        <f>"1"</f>
        <v>1</v>
      </c>
      <c r="G496" s="2" t="str">
        <f>"9"</f>
        <v>9</v>
      </c>
      <c r="H496" s="2" t="str">
        <f>"1"</f>
        <v>1</v>
      </c>
      <c r="I496" s="1">
        <v>555226079540.78003</v>
      </c>
    </row>
    <row r="497" spans="1:9" x14ac:dyDescent="0.25">
      <c r="A497" s="2">
        <v>496</v>
      </c>
      <c r="B497" s="3">
        <v>44834</v>
      </c>
      <c r="C497" s="2">
        <v>14</v>
      </c>
      <c r="D497" s="4" t="str">
        <f>"2205"</f>
        <v>2205</v>
      </c>
      <c r="E497" t="str">
        <f>"Вклады до востребования физических лиц"</f>
        <v>Вклады до востребования физических лиц</v>
      </c>
      <c r="F497" s="2" t="str">
        <f>"1"</f>
        <v>1</v>
      </c>
      <c r="G497" s="2" t="str">
        <f>"9"</f>
        <v>9</v>
      </c>
      <c r="H497" s="2" t="str">
        <f>"2"</f>
        <v>2</v>
      </c>
      <c r="I497" s="1">
        <v>194117525.93000001</v>
      </c>
    </row>
    <row r="498" spans="1:9" x14ac:dyDescent="0.25">
      <c r="A498" s="2">
        <v>497</v>
      </c>
      <c r="B498" s="3">
        <v>44834</v>
      </c>
      <c r="C498" s="2">
        <v>14</v>
      </c>
      <c r="D498" s="4" t="str">
        <f>"2205"</f>
        <v>2205</v>
      </c>
      <c r="E498" t="str">
        <f>"Вклады до востребования физических лиц"</f>
        <v>Вклады до востребования физических лиц</v>
      </c>
      <c r="F498" s="2" t="str">
        <f>"1"</f>
        <v>1</v>
      </c>
      <c r="G498" s="2" t="str">
        <f>"9"</f>
        <v>9</v>
      </c>
      <c r="H498" s="2" t="str">
        <f>"1"</f>
        <v>1</v>
      </c>
      <c r="I498" s="1">
        <v>220127008.34999999</v>
      </c>
    </row>
    <row r="499" spans="1:9" x14ac:dyDescent="0.25">
      <c r="A499" s="2">
        <v>498</v>
      </c>
      <c r="B499" s="3">
        <v>44834</v>
      </c>
      <c r="C499" s="2">
        <v>14</v>
      </c>
      <c r="D499" s="4" t="str">
        <f>"2205"</f>
        <v>2205</v>
      </c>
      <c r="E499" t="str">
        <f>"Вклады до востребования физических лиц"</f>
        <v>Вклады до востребования физических лиц</v>
      </c>
      <c r="F499" s="2" t="str">
        <f>"1"</f>
        <v>1</v>
      </c>
      <c r="G499" s="2" t="str">
        <f>"9"</f>
        <v>9</v>
      </c>
      <c r="H499" s="2" t="str">
        <f>"3"</f>
        <v>3</v>
      </c>
      <c r="I499" s="1">
        <v>121646.19</v>
      </c>
    </row>
    <row r="500" spans="1:9" x14ac:dyDescent="0.25">
      <c r="A500" s="2">
        <v>499</v>
      </c>
      <c r="B500" s="3">
        <v>44834</v>
      </c>
      <c r="C500" s="2">
        <v>14</v>
      </c>
      <c r="D500" s="4" t="str">
        <f>"2205"</f>
        <v>2205</v>
      </c>
      <c r="E500" t="str">
        <f>"Вклады до востребования физических лиц"</f>
        <v>Вклады до востребования физических лиц</v>
      </c>
      <c r="F500" s="2" t="str">
        <f>"2"</f>
        <v>2</v>
      </c>
      <c r="G500" s="2" t="str">
        <f>"9"</f>
        <v>9</v>
      </c>
      <c r="H500" s="2" t="str">
        <f>"1"</f>
        <v>1</v>
      </c>
      <c r="I500" s="1">
        <v>224492.04</v>
      </c>
    </row>
    <row r="501" spans="1:9" x14ac:dyDescent="0.25">
      <c r="A501" s="2">
        <v>500</v>
      </c>
      <c r="B501" s="3">
        <v>44834</v>
      </c>
      <c r="C501" s="2">
        <v>14</v>
      </c>
      <c r="D501" s="4" t="str">
        <f>"2205"</f>
        <v>2205</v>
      </c>
      <c r="E501" t="str">
        <f>"Вклады до востребования физических лиц"</f>
        <v>Вклады до востребования физических лиц</v>
      </c>
      <c r="F501" s="2" t="str">
        <f>"2"</f>
        <v>2</v>
      </c>
      <c r="G501" s="2" t="str">
        <f>"9"</f>
        <v>9</v>
      </c>
      <c r="H501" s="2" t="str">
        <f>"2"</f>
        <v>2</v>
      </c>
      <c r="I501" s="1">
        <v>357.53</v>
      </c>
    </row>
    <row r="502" spans="1:9" x14ac:dyDescent="0.25">
      <c r="A502" s="2">
        <v>501</v>
      </c>
      <c r="B502" s="3">
        <v>44834</v>
      </c>
      <c r="C502" s="2">
        <v>14</v>
      </c>
      <c r="D502" s="4" t="str">
        <f>"2206"</f>
        <v>2206</v>
      </c>
      <c r="E502" t="str">
        <f>"Краткосрочные вклады физических лиц"</f>
        <v>Краткосрочные вклады физических лиц</v>
      </c>
      <c r="F502" s="2" t="str">
        <f>"2"</f>
        <v>2</v>
      </c>
      <c r="G502" s="2" t="str">
        <f>"9"</f>
        <v>9</v>
      </c>
      <c r="H502" s="2" t="str">
        <f>"1"</f>
        <v>1</v>
      </c>
      <c r="I502" s="1">
        <v>5549279636.7600002</v>
      </c>
    </row>
    <row r="503" spans="1:9" x14ac:dyDescent="0.25">
      <c r="A503" s="2">
        <v>502</v>
      </c>
      <c r="B503" s="3">
        <v>44834</v>
      </c>
      <c r="C503" s="2">
        <v>14</v>
      </c>
      <c r="D503" s="4" t="str">
        <f>"2206"</f>
        <v>2206</v>
      </c>
      <c r="E503" t="str">
        <f>"Краткосрочные вклады физических лиц"</f>
        <v>Краткосрочные вклады физических лиц</v>
      </c>
      <c r="F503" s="2" t="str">
        <f>"2"</f>
        <v>2</v>
      </c>
      <c r="G503" s="2" t="str">
        <f>"9"</f>
        <v>9</v>
      </c>
      <c r="H503" s="2" t="str">
        <f>"2"</f>
        <v>2</v>
      </c>
      <c r="I503" s="1">
        <v>12467558272.559999</v>
      </c>
    </row>
    <row r="504" spans="1:9" x14ac:dyDescent="0.25">
      <c r="A504" s="2">
        <v>503</v>
      </c>
      <c r="B504" s="3">
        <v>44834</v>
      </c>
      <c r="C504" s="2">
        <v>14</v>
      </c>
      <c r="D504" s="4" t="str">
        <f>"2206"</f>
        <v>2206</v>
      </c>
      <c r="E504" t="str">
        <f>"Краткосрочные вклады физических лиц"</f>
        <v>Краткосрочные вклады физических лиц</v>
      </c>
      <c r="F504" s="2" t="str">
        <f>"1"</f>
        <v>1</v>
      </c>
      <c r="G504" s="2" t="str">
        <f>"9"</f>
        <v>9</v>
      </c>
      <c r="H504" s="2" t="str">
        <f>"1"</f>
        <v>1</v>
      </c>
      <c r="I504" s="1">
        <v>1336791780551.24</v>
      </c>
    </row>
    <row r="505" spans="1:9" x14ac:dyDescent="0.25">
      <c r="A505" s="2">
        <v>504</v>
      </c>
      <c r="B505" s="3">
        <v>44834</v>
      </c>
      <c r="C505" s="2">
        <v>14</v>
      </c>
      <c r="D505" s="4" t="str">
        <f>"2206"</f>
        <v>2206</v>
      </c>
      <c r="E505" t="str">
        <f>"Краткосрочные вклады физических лиц"</f>
        <v>Краткосрочные вклады физических лиц</v>
      </c>
      <c r="F505" s="2" t="str">
        <f>"1"</f>
        <v>1</v>
      </c>
      <c r="G505" s="2" t="str">
        <f>"9"</f>
        <v>9</v>
      </c>
      <c r="H505" s="2" t="str">
        <f>"2"</f>
        <v>2</v>
      </c>
      <c r="I505" s="1">
        <v>1072847356285.16</v>
      </c>
    </row>
    <row r="506" spans="1:9" x14ac:dyDescent="0.25">
      <c r="A506" s="2">
        <v>505</v>
      </c>
      <c r="B506" s="3">
        <v>44834</v>
      </c>
      <c r="C506" s="2">
        <v>14</v>
      </c>
      <c r="D506" s="4" t="str">
        <f>"2206"</f>
        <v>2206</v>
      </c>
      <c r="E506" t="str">
        <f>"Краткосрочные вклады физических лиц"</f>
        <v>Краткосрочные вклады физических лиц</v>
      </c>
      <c r="F506" s="2" t="str">
        <f>"1"</f>
        <v>1</v>
      </c>
      <c r="G506" s="2" t="str">
        <f>"9"</f>
        <v>9</v>
      </c>
      <c r="H506" s="2" t="str">
        <f>"3"</f>
        <v>3</v>
      </c>
      <c r="I506" s="1">
        <v>21465988.460000001</v>
      </c>
    </row>
    <row r="507" spans="1:9" x14ac:dyDescent="0.25">
      <c r="A507" s="2">
        <v>506</v>
      </c>
      <c r="B507" s="3">
        <v>44834</v>
      </c>
      <c r="C507" s="2">
        <v>14</v>
      </c>
      <c r="D507" s="4" t="str">
        <f>"2207"</f>
        <v>2207</v>
      </c>
      <c r="E507" t="str">
        <f>"Долгосрочные вклады физических лиц"</f>
        <v>Долгосрочные вклады физических лиц</v>
      </c>
      <c r="F507" s="2" t="str">
        <f>"1"</f>
        <v>1</v>
      </c>
      <c r="G507" s="2" t="str">
        <f>"9"</f>
        <v>9</v>
      </c>
      <c r="H507" s="2" t="str">
        <f>"3"</f>
        <v>3</v>
      </c>
      <c r="I507" s="1">
        <v>30592038.52</v>
      </c>
    </row>
    <row r="508" spans="1:9" x14ac:dyDescent="0.25">
      <c r="A508" s="2">
        <v>507</v>
      </c>
      <c r="B508" s="3">
        <v>44834</v>
      </c>
      <c r="C508" s="2">
        <v>14</v>
      </c>
      <c r="D508" s="4" t="str">
        <f>"2207"</f>
        <v>2207</v>
      </c>
      <c r="E508" t="str">
        <f>"Долгосрочные вклады физических лиц"</f>
        <v>Долгосрочные вклады физических лиц</v>
      </c>
      <c r="F508" s="2" t="str">
        <f>"2"</f>
        <v>2</v>
      </c>
      <c r="G508" s="2" t="str">
        <f>"9"</f>
        <v>9</v>
      </c>
      <c r="H508" s="2" t="str">
        <f>"3"</f>
        <v>3</v>
      </c>
      <c r="I508" s="1">
        <v>383932.67</v>
      </c>
    </row>
    <row r="509" spans="1:9" x14ac:dyDescent="0.25">
      <c r="A509" s="2">
        <v>508</v>
      </c>
      <c r="B509" s="3">
        <v>44834</v>
      </c>
      <c r="C509" s="2">
        <v>14</v>
      </c>
      <c r="D509" s="4" t="str">
        <f>"2207"</f>
        <v>2207</v>
      </c>
      <c r="E509" t="str">
        <f>"Долгосрочные вклады физических лиц"</f>
        <v>Долгосрочные вклады физических лиц</v>
      </c>
      <c r="F509" s="2" t="str">
        <f>"1"</f>
        <v>1</v>
      </c>
      <c r="G509" s="2" t="str">
        <f>"9"</f>
        <v>9</v>
      </c>
      <c r="H509" s="2" t="str">
        <f>"1"</f>
        <v>1</v>
      </c>
      <c r="I509" s="1">
        <v>57644857858.68</v>
      </c>
    </row>
    <row r="510" spans="1:9" x14ac:dyDescent="0.25">
      <c r="A510" s="2">
        <v>509</v>
      </c>
      <c r="B510" s="3">
        <v>44834</v>
      </c>
      <c r="C510" s="2">
        <v>14</v>
      </c>
      <c r="D510" s="4" t="str">
        <f>"2207"</f>
        <v>2207</v>
      </c>
      <c r="E510" t="str">
        <f>"Долгосрочные вклады физических лиц"</f>
        <v>Долгосрочные вклады физических лиц</v>
      </c>
      <c r="F510" s="2" t="str">
        <f>"1"</f>
        <v>1</v>
      </c>
      <c r="G510" s="2" t="str">
        <f>"9"</f>
        <v>9</v>
      </c>
      <c r="H510" s="2" t="str">
        <f>"2"</f>
        <v>2</v>
      </c>
      <c r="I510" s="1">
        <v>933309084991.31995</v>
      </c>
    </row>
    <row r="511" spans="1:9" x14ac:dyDescent="0.25">
      <c r="A511" s="2">
        <v>510</v>
      </c>
      <c r="B511" s="3">
        <v>44834</v>
      </c>
      <c r="C511" s="2">
        <v>14</v>
      </c>
      <c r="D511" s="4" t="str">
        <f>"2207"</f>
        <v>2207</v>
      </c>
      <c r="E511" t="str">
        <f>"Долгосрочные вклады физических лиц"</f>
        <v>Долгосрочные вклады физических лиц</v>
      </c>
      <c r="F511" s="2" t="str">
        <f>"2"</f>
        <v>2</v>
      </c>
      <c r="G511" s="2" t="str">
        <f>"9"</f>
        <v>9</v>
      </c>
      <c r="H511" s="2" t="str">
        <f>"1"</f>
        <v>1</v>
      </c>
      <c r="I511" s="1">
        <v>374048527.44</v>
      </c>
    </row>
    <row r="512" spans="1:9" x14ac:dyDescent="0.25">
      <c r="A512" s="2">
        <v>511</v>
      </c>
      <c r="B512" s="3">
        <v>44834</v>
      </c>
      <c r="C512" s="2">
        <v>14</v>
      </c>
      <c r="D512" s="4" t="str">
        <f>"2207"</f>
        <v>2207</v>
      </c>
      <c r="E512" t="str">
        <f>"Долгосрочные вклады физических лиц"</f>
        <v>Долгосрочные вклады физических лиц</v>
      </c>
      <c r="F512" s="2" t="str">
        <f>"2"</f>
        <v>2</v>
      </c>
      <c r="G512" s="2" t="str">
        <f>"9"</f>
        <v>9</v>
      </c>
      <c r="H512" s="2" t="str">
        <f>"2"</f>
        <v>2</v>
      </c>
      <c r="I512" s="1">
        <v>4544773520.6800003</v>
      </c>
    </row>
    <row r="513" spans="1:9" x14ac:dyDescent="0.25">
      <c r="A513" s="2">
        <v>512</v>
      </c>
      <c r="B513" s="3">
        <v>44834</v>
      </c>
      <c r="C513" s="2">
        <v>14</v>
      </c>
      <c r="D513" s="4" t="str">
        <f>"2208"</f>
        <v>2208</v>
      </c>
      <c r="E513" t="str">
        <f>"Условные вклады физических лиц"</f>
        <v>Условные вклады физических лиц</v>
      </c>
      <c r="F513" s="2" t="str">
        <f>"1"</f>
        <v>1</v>
      </c>
      <c r="G513" s="2" t="str">
        <f>"9"</f>
        <v>9</v>
      </c>
      <c r="H513" s="2" t="str">
        <f>"1"</f>
        <v>1</v>
      </c>
      <c r="I513" s="1">
        <v>1911653805.75</v>
      </c>
    </row>
    <row r="514" spans="1:9" x14ac:dyDescent="0.25">
      <c r="A514" s="2">
        <v>513</v>
      </c>
      <c r="B514" s="3">
        <v>44834</v>
      </c>
      <c r="C514" s="2">
        <v>14</v>
      </c>
      <c r="D514" s="4" t="str">
        <f>"2208"</f>
        <v>2208</v>
      </c>
      <c r="E514" t="str">
        <f>"Условные вклады физических лиц"</f>
        <v>Условные вклады физических лиц</v>
      </c>
      <c r="F514" s="2" t="str">
        <f>"2"</f>
        <v>2</v>
      </c>
      <c r="G514" s="2" t="str">
        <f>"9"</f>
        <v>9</v>
      </c>
      <c r="H514" s="2" t="str">
        <f>"1"</f>
        <v>1</v>
      </c>
      <c r="I514" s="1">
        <v>25711278.48</v>
      </c>
    </row>
    <row r="515" spans="1:9" x14ac:dyDescent="0.25">
      <c r="A515" s="2">
        <v>514</v>
      </c>
      <c r="B515" s="3">
        <v>44834</v>
      </c>
      <c r="C515" s="2">
        <v>14</v>
      </c>
      <c r="D515" s="4" t="str">
        <f>"2208"</f>
        <v>2208</v>
      </c>
      <c r="E515" t="str">
        <f>"Условные вклады физических лиц"</f>
        <v>Условные вклады физических лиц</v>
      </c>
      <c r="F515" s="2" t="str">
        <f>"1"</f>
        <v>1</v>
      </c>
      <c r="G515" s="2" t="str">
        <f>"9"</f>
        <v>9</v>
      </c>
      <c r="H515" s="2" t="str">
        <f>"2"</f>
        <v>2</v>
      </c>
      <c r="I515" s="1">
        <v>1365774.15</v>
      </c>
    </row>
    <row r="516" spans="1:9" x14ac:dyDescent="0.25">
      <c r="A516" s="2">
        <v>515</v>
      </c>
      <c r="B516" s="3">
        <v>44834</v>
      </c>
      <c r="C516" s="2">
        <v>14</v>
      </c>
      <c r="D516" s="4" t="str">
        <f>"2212"</f>
        <v>2212</v>
      </c>
      <c r="E516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16" s="2" t="str">
        <f>"1"</f>
        <v>1</v>
      </c>
      <c r="G516" s="2" t="str">
        <f>"7"</f>
        <v>7</v>
      </c>
      <c r="H516" s="2" t="str">
        <f>""</f>
        <v/>
      </c>
      <c r="I516" s="1">
        <v>1309430931.1300001</v>
      </c>
    </row>
    <row r="517" spans="1:9" x14ac:dyDescent="0.25">
      <c r="A517" s="2">
        <v>516</v>
      </c>
      <c r="B517" s="3">
        <v>44834</v>
      </c>
      <c r="C517" s="2">
        <v>14</v>
      </c>
      <c r="D517" s="4" t="str">
        <f>"2212"</f>
        <v>2212</v>
      </c>
      <c r="E517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17" s="2" t="str">
        <f>"1"</f>
        <v>1</v>
      </c>
      <c r="G517" s="2" t="str">
        <f>"9"</f>
        <v>9</v>
      </c>
      <c r="H517" s="2" t="str">
        <f>""</f>
        <v/>
      </c>
      <c r="I517" s="1">
        <v>12159868547.35</v>
      </c>
    </row>
    <row r="518" spans="1:9" x14ac:dyDescent="0.25">
      <c r="A518" s="2">
        <v>517</v>
      </c>
      <c r="B518" s="3">
        <v>44834</v>
      </c>
      <c r="C518" s="2">
        <v>14</v>
      </c>
      <c r="D518" s="4" t="str">
        <f>"2212"</f>
        <v>2212</v>
      </c>
      <c r="E518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18" s="2" t="str">
        <f>"2"</f>
        <v>2</v>
      </c>
      <c r="G518" s="2" t="str">
        <f>"9"</f>
        <v>9</v>
      </c>
      <c r="H518" s="2" t="str">
        <f>""</f>
        <v/>
      </c>
      <c r="I518" s="1">
        <v>33426552.960000001</v>
      </c>
    </row>
    <row r="519" spans="1:9" x14ac:dyDescent="0.25">
      <c r="A519" s="2">
        <v>518</v>
      </c>
      <c r="B519" s="3">
        <v>44834</v>
      </c>
      <c r="C519" s="2">
        <v>14</v>
      </c>
      <c r="D519" s="4" t="str">
        <f>"2213"</f>
        <v>2213</v>
      </c>
      <c r="E519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19" s="2" t="str">
        <f>"1"</f>
        <v>1</v>
      </c>
      <c r="G519" s="2" t="str">
        <f>"9"</f>
        <v>9</v>
      </c>
      <c r="H519" s="2" t="str">
        <f>"3"</f>
        <v>3</v>
      </c>
      <c r="I519" s="1">
        <v>197600000.03</v>
      </c>
    </row>
    <row r="520" spans="1:9" x14ac:dyDescent="0.25">
      <c r="A520" s="2">
        <v>519</v>
      </c>
      <c r="B520" s="3">
        <v>44834</v>
      </c>
      <c r="C520" s="2">
        <v>14</v>
      </c>
      <c r="D520" s="4" t="str">
        <f>"2213"</f>
        <v>2213</v>
      </c>
      <c r="E520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20" s="2" t="str">
        <f>"1"</f>
        <v>1</v>
      </c>
      <c r="G520" s="2" t="str">
        <f>"9"</f>
        <v>9</v>
      </c>
      <c r="H520" s="2" t="str">
        <f>"2"</f>
        <v>2</v>
      </c>
      <c r="I520" s="1">
        <v>35315344585.919998</v>
      </c>
    </row>
    <row r="521" spans="1:9" x14ac:dyDescent="0.25">
      <c r="A521" s="2">
        <v>520</v>
      </c>
      <c r="B521" s="3">
        <v>44834</v>
      </c>
      <c r="C521" s="2">
        <v>14</v>
      </c>
      <c r="D521" s="4" t="str">
        <f>"2213"</f>
        <v>2213</v>
      </c>
      <c r="E521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21" s="2" t="str">
        <f>"2"</f>
        <v>2</v>
      </c>
      <c r="G521" s="2" t="str">
        <f>"9"</f>
        <v>9</v>
      </c>
      <c r="H521" s="2" t="str">
        <f>"2"</f>
        <v>2</v>
      </c>
      <c r="I521" s="1">
        <v>35327757.719999999</v>
      </c>
    </row>
    <row r="522" spans="1:9" x14ac:dyDescent="0.25">
      <c r="A522" s="2">
        <v>521</v>
      </c>
      <c r="B522" s="3">
        <v>44834</v>
      </c>
      <c r="C522" s="2">
        <v>14</v>
      </c>
      <c r="D522" s="4" t="str">
        <f>"2213"</f>
        <v>2213</v>
      </c>
      <c r="E522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22" s="2" t="str">
        <f>"1"</f>
        <v>1</v>
      </c>
      <c r="G522" s="2" t="str">
        <f>"9"</f>
        <v>9</v>
      </c>
      <c r="H522" s="2" t="str">
        <f>"1"</f>
        <v>1</v>
      </c>
      <c r="I522" s="1">
        <v>14304155359.200001</v>
      </c>
    </row>
    <row r="523" spans="1:9" x14ac:dyDescent="0.25">
      <c r="A523" s="2">
        <v>522</v>
      </c>
      <c r="B523" s="3">
        <v>44834</v>
      </c>
      <c r="C523" s="2">
        <v>14</v>
      </c>
      <c r="D523" s="4" t="str">
        <f>"2213"</f>
        <v>2213</v>
      </c>
      <c r="E523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23" s="2" t="str">
        <f>"2"</f>
        <v>2</v>
      </c>
      <c r="G523" s="2" t="str">
        <f>"9"</f>
        <v>9</v>
      </c>
      <c r="H523" s="2" t="str">
        <f>"1"</f>
        <v>1</v>
      </c>
      <c r="I523" s="1">
        <v>20950144.030000001</v>
      </c>
    </row>
    <row r="524" spans="1:9" x14ac:dyDescent="0.25">
      <c r="A524" s="2">
        <v>523</v>
      </c>
      <c r="B524" s="3">
        <v>44834</v>
      </c>
      <c r="C524" s="2">
        <v>14</v>
      </c>
      <c r="D524" s="4" t="str">
        <f>"2214"</f>
        <v>2214</v>
      </c>
      <c r="E52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24" s="2" t="str">
        <f>"1"</f>
        <v>1</v>
      </c>
      <c r="G524" s="2" t="str">
        <f>"9"</f>
        <v>9</v>
      </c>
      <c r="H524" s="2" t="str">
        <f>"2"</f>
        <v>2</v>
      </c>
      <c r="I524" s="1">
        <v>15521708843.559999</v>
      </c>
    </row>
    <row r="525" spans="1:9" x14ac:dyDescent="0.25">
      <c r="A525" s="2">
        <v>524</v>
      </c>
      <c r="B525" s="3">
        <v>44834</v>
      </c>
      <c r="C525" s="2">
        <v>14</v>
      </c>
      <c r="D525" s="4" t="str">
        <f>"2214"</f>
        <v>2214</v>
      </c>
      <c r="E525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25" s="2" t="str">
        <f>"2"</f>
        <v>2</v>
      </c>
      <c r="G525" s="2" t="str">
        <f>"9"</f>
        <v>9</v>
      </c>
      <c r="H525" s="2" t="str">
        <f>"1"</f>
        <v>1</v>
      </c>
      <c r="I525" s="1">
        <v>2154992847.96</v>
      </c>
    </row>
    <row r="526" spans="1:9" x14ac:dyDescent="0.25">
      <c r="A526" s="2">
        <v>525</v>
      </c>
      <c r="B526" s="3">
        <v>44834</v>
      </c>
      <c r="C526" s="2">
        <v>14</v>
      </c>
      <c r="D526" s="4" t="str">
        <f>"2214"</f>
        <v>2214</v>
      </c>
      <c r="E526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26" s="2" t="str">
        <f>"2"</f>
        <v>2</v>
      </c>
      <c r="G526" s="2" t="str">
        <f>"9"</f>
        <v>9</v>
      </c>
      <c r="H526" s="2" t="str">
        <f>"2"</f>
        <v>2</v>
      </c>
      <c r="I526" s="1">
        <v>76447770.769999996</v>
      </c>
    </row>
    <row r="527" spans="1:9" x14ac:dyDescent="0.25">
      <c r="A527" s="2">
        <v>526</v>
      </c>
      <c r="B527" s="3">
        <v>44834</v>
      </c>
      <c r="C527" s="2">
        <v>14</v>
      </c>
      <c r="D527" s="4" t="str">
        <f>"2214"</f>
        <v>2214</v>
      </c>
      <c r="E52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27" s="2" t="str">
        <f>"1"</f>
        <v>1</v>
      </c>
      <c r="G527" s="2" t="str">
        <f>"9"</f>
        <v>9</v>
      </c>
      <c r="H527" s="2" t="str">
        <f>"1"</f>
        <v>1</v>
      </c>
      <c r="I527" s="1">
        <v>452430862599.5</v>
      </c>
    </row>
    <row r="528" spans="1:9" x14ac:dyDescent="0.25">
      <c r="A528" s="2">
        <v>527</v>
      </c>
      <c r="B528" s="3">
        <v>44834</v>
      </c>
      <c r="C528" s="2">
        <v>14</v>
      </c>
      <c r="D528" s="4" t="str">
        <f>"2215"</f>
        <v>2215</v>
      </c>
      <c r="E528" t="str">
        <f>"Краткосрочные вклады юридических лиц"</f>
        <v>Краткосрочные вклады юридических лиц</v>
      </c>
      <c r="F528" s="2" t="str">
        <f>"1"</f>
        <v>1</v>
      </c>
      <c r="G528" s="2" t="str">
        <f>"5"</f>
        <v>5</v>
      </c>
      <c r="H528" s="2" t="str">
        <f>"2"</f>
        <v>2</v>
      </c>
      <c r="I528" s="1">
        <v>4909527180.6099997</v>
      </c>
    </row>
    <row r="529" spans="1:9" x14ac:dyDescent="0.25">
      <c r="A529" s="2">
        <v>528</v>
      </c>
      <c r="B529" s="3">
        <v>44834</v>
      </c>
      <c r="C529" s="2">
        <v>14</v>
      </c>
      <c r="D529" s="4" t="str">
        <f>"2215"</f>
        <v>2215</v>
      </c>
      <c r="E529" t="str">
        <f>"Краткосрочные вклады юридических лиц"</f>
        <v>Краткосрочные вклады юридических лиц</v>
      </c>
      <c r="F529" s="2" t="str">
        <f>"1"</f>
        <v>1</v>
      </c>
      <c r="G529" s="2" t="str">
        <f>"5"</f>
        <v>5</v>
      </c>
      <c r="H529" s="2" t="str">
        <f>"1"</f>
        <v>1</v>
      </c>
      <c r="I529" s="1">
        <v>23297911503.419998</v>
      </c>
    </row>
    <row r="530" spans="1:9" x14ac:dyDescent="0.25">
      <c r="A530" s="2">
        <v>529</v>
      </c>
      <c r="B530" s="3">
        <v>44834</v>
      </c>
      <c r="C530" s="2">
        <v>14</v>
      </c>
      <c r="D530" s="4" t="str">
        <f>"2215"</f>
        <v>2215</v>
      </c>
      <c r="E530" t="str">
        <f>"Краткосрочные вклады юридических лиц"</f>
        <v>Краткосрочные вклады юридических лиц</v>
      </c>
      <c r="F530" s="2" t="str">
        <f>"1"</f>
        <v>1</v>
      </c>
      <c r="G530" s="2" t="str">
        <f>"6"</f>
        <v>6</v>
      </c>
      <c r="H530" s="2" t="str">
        <f>"2"</f>
        <v>2</v>
      </c>
      <c r="I530" s="1">
        <v>87956277715.630005</v>
      </c>
    </row>
    <row r="531" spans="1:9" x14ac:dyDescent="0.25">
      <c r="A531" s="2">
        <v>530</v>
      </c>
      <c r="B531" s="3">
        <v>44834</v>
      </c>
      <c r="C531" s="2">
        <v>14</v>
      </c>
      <c r="D531" s="4" t="str">
        <f>"2215"</f>
        <v>2215</v>
      </c>
      <c r="E531" t="str">
        <f>"Краткосрочные вклады юридических лиц"</f>
        <v>Краткосрочные вклады юридических лиц</v>
      </c>
      <c r="F531" s="2" t="str">
        <f>"1"</f>
        <v>1</v>
      </c>
      <c r="G531" s="2" t="str">
        <f>"6"</f>
        <v>6</v>
      </c>
      <c r="H531" s="2" t="str">
        <f>"1"</f>
        <v>1</v>
      </c>
      <c r="I531" s="1">
        <v>436667553496.84003</v>
      </c>
    </row>
    <row r="532" spans="1:9" x14ac:dyDescent="0.25">
      <c r="A532" s="2">
        <v>531</v>
      </c>
      <c r="B532" s="3">
        <v>44834</v>
      </c>
      <c r="C532" s="2">
        <v>14</v>
      </c>
      <c r="D532" s="4" t="str">
        <f>"2215"</f>
        <v>2215</v>
      </c>
      <c r="E532" t="str">
        <f>"Краткосрочные вклады юридических лиц"</f>
        <v>Краткосрочные вклады юридических лиц</v>
      </c>
      <c r="F532" s="2" t="str">
        <f>"1"</f>
        <v>1</v>
      </c>
      <c r="G532" s="2" t="str">
        <f>"2"</f>
        <v>2</v>
      </c>
      <c r="H532" s="2" t="str">
        <f>"1"</f>
        <v>1</v>
      </c>
      <c r="I532" s="1">
        <v>222184193.58000001</v>
      </c>
    </row>
    <row r="533" spans="1:9" x14ac:dyDescent="0.25">
      <c r="A533" s="2">
        <v>532</v>
      </c>
      <c r="B533" s="3">
        <v>44834</v>
      </c>
      <c r="C533" s="2">
        <v>14</v>
      </c>
      <c r="D533" s="4" t="str">
        <f>"2215"</f>
        <v>2215</v>
      </c>
      <c r="E533" t="str">
        <f>"Краткосрочные вклады юридических лиц"</f>
        <v>Краткосрочные вклады юридических лиц</v>
      </c>
      <c r="F533" s="2" t="str">
        <f>"2"</f>
        <v>2</v>
      </c>
      <c r="G533" s="2" t="str">
        <f>"5"</f>
        <v>5</v>
      </c>
      <c r="H533" s="2" t="str">
        <f>"2"</f>
        <v>2</v>
      </c>
      <c r="I533" s="1">
        <v>333697000</v>
      </c>
    </row>
    <row r="534" spans="1:9" x14ac:dyDescent="0.25">
      <c r="A534" s="2">
        <v>533</v>
      </c>
      <c r="B534" s="3">
        <v>44834</v>
      </c>
      <c r="C534" s="2">
        <v>14</v>
      </c>
      <c r="D534" s="4" t="str">
        <f>"2215"</f>
        <v>2215</v>
      </c>
      <c r="E534" t="str">
        <f>"Краткосрочные вклады юридических лиц"</f>
        <v>Краткосрочные вклады юридических лиц</v>
      </c>
      <c r="F534" s="2" t="str">
        <f>"1"</f>
        <v>1</v>
      </c>
      <c r="G534" s="2" t="str">
        <f>"8"</f>
        <v>8</v>
      </c>
      <c r="H534" s="2" t="str">
        <f>"1"</f>
        <v>1</v>
      </c>
      <c r="I534" s="1">
        <v>83327374106.990005</v>
      </c>
    </row>
    <row r="535" spans="1:9" x14ac:dyDescent="0.25">
      <c r="A535" s="2">
        <v>534</v>
      </c>
      <c r="B535" s="3">
        <v>44834</v>
      </c>
      <c r="C535" s="2">
        <v>14</v>
      </c>
      <c r="D535" s="4" t="str">
        <f>"2215"</f>
        <v>2215</v>
      </c>
      <c r="E535" t="str">
        <f>"Краткосрочные вклады юридических лиц"</f>
        <v>Краткосрочные вклады юридических лиц</v>
      </c>
      <c r="F535" s="2" t="str">
        <f>"2"</f>
        <v>2</v>
      </c>
      <c r="G535" s="2" t="str">
        <f>"7"</f>
        <v>7</v>
      </c>
      <c r="H535" s="2" t="str">
        <f>"1"</f>
        <v>1</v>
      </c>
      <c r="I535" s="1">
        <v>4679437628.4200001</v>
      </c>
    </row>
    <row r="536" spans="1:9" x14ac:dyDescent="0.25">
      <c r="A536" s="2">
        <v>535</v>
      </c>
      <c r="B536" s="3">
        <v>44834</v>
      </c>
      <c r="C536" s="2">
        <v>14</v>
      </c>
      <c r="D536" s="4" t="str">
        <f>"2215"</f>
        <v>2215</v>
      </c>
      <c r="E536" t="str">
        <f>"Краткосрочные вклады юридических лиц"</f>
        <v>Краткосрочные вклады юридических лиц</v>
      </c>
      <c r="F536" s="2" t="str">
        <f>"1"</f>
        <v>1</v>
      </c>
      <c r="G536" s="2" t="str">
        <f>"1"</f>
        <v>1</v>
      </c>
      <c r="H536" s="2" t="str">
        <f>"1"</f>
        <v>1</v>
      </c>
      <c r="I536" s="1">
        <v>1000000000</v>
      </c>
    </row>
    <row r="537" spans="1:9" x14ac:dyDescent="0.25">
      <c r="A537" s="2">
        <v>536</v>
      </c>
      <c r="B537" s="3">
        <v>44834</v>
      </c>
      <c r="C537" s="2">
        <v>14</v>
      </c>
      <c r="D537" s="4" t="str">
        <f>"2215"</f>
        <v>2215</v>
      </c>
      <c r="E537" t="str">
        <f>"Краткосрочные вклады юридических лиц"</f>
        <v>Краткосрочные вклады юридических лиц</v>
      </c>
      <c r="F537" s="2" t="str">
        <f>"1"</f>
        <v>1</v>
      </c>
      <c r="G537" s="2" t="str">
        <f>"8"</f>
        <v>8</v>
      </c>
      <c r="H537" s="2" t="str">
        <f>"2"</f>
        <v>2</v>
      </c>
      <c r="I537" s="1">
        <v>134977825833.52</v>
      </c>
    </row>
    <row r="538" spans="1:9" x14ac:dyDescent="0.25">
      <c r="A538" s="2">
        <v>537</v>
      </c>
      <c r="B538" s="3">
        <v>44834</v>
      </c>
      <c r="C538" s="2">
        <v>14</v>
      </c>
      <c r="D538" s="4" t="str">
        <f>"2215"</f>
        <v>2215</v>
      </c>
      <c r="E538" t="str">
        <f>"Краткосрочные вклады юридических лиц"</f>
        <v>Краткосрочные вклады юридических лиц</v>
      </c>
      <c r="F538" s="2" t="str">
        <f>"1"</f>
        <v>1</v>
      </c>
      <c r="G538" s="2" t="str">
        <f>"7"</f>
        <v>7</v>
      </c>
      <c r="H538" s="2" t="str">
        <f>"1"</f>
        <v>1</v>
      </c>
      <c r="I538" s="1">
        <v>1164752054629.6201</v>
      </c>
    </row>
    <row r="539" spans="1:9" x14ac:dyDescent="0.25">
      <c r="A539" s="2">
        <v>538</v>
      </c>
      <c r="B539" s="3">
        <v>44834</v>
      </c>
      <c r="C539" s="2">
        <v>14</v>
      </c>
      <c r="D539" s="4" t="str">
        <f>"2215"</f>
        <v>2215</v>
      </c>
      <c r="E539" t="str">
        <f>"Краткосрочные вклады юридических лиц"</f>
        <v>Краткосрочные вклады юридических лиц</v>
      </c>
      <c r="F539" s="2" t="str">
        <f>"1"</f>
        <v>1</v>
      </c>
      <c r="G539" s="2" t="str">
        <f>"7"</f>
        <v>7</v>
      </c>
      <c r="H539" s="2" t="str">
        <f>"3"</f>
        <v>3</v>
      </c>
      <c r="I539" s="1">
        <v>8368498.2699999996</v>
      </c>
    </row>
    <row r="540" spans="1:9" x14ac:dyDescent="0.25">
      <c r="A540" s="2">
        <v>539</v>
      </c>
      <c r="B540" s="3">
        <v>44834</v>
      </c>
      <c r="C540" s="2">
        <v>14</v>
      </c>
      <c r="D540" s="4" t="str">
        <f>"2215"</f>
        <v>2215</v>
      </c>
      <c r="E540" t="str">
        <f>"Краткосрочные вклады юридических лиц"</f>
        <v>Краткосрочные вклады юридических лиц</v>
      </c>
      <c r="F540" s="2" t="str">
        <f>"2"</f>
        <v>2</v>
      </c>
      <c r="G540" s="2" t="str">
        <f>"7"</f>
        <v>7</v>
      </c>
      <c r="H540" s="2" t="str">
        <f>"2"</f>
        <v>2</v>
      </c>
      <c r="I540" s="1">
        <v>443650161.5</v>
      </c>
    </row>
    <row r="541" spans="1:9" x14ac:dyDescent="0.25">
      <c r="A541" s="2">
        <v>540</v>
      </c>
      <c r="B541" s="3">
        <v>44834</v>
      </c>
      <c r="C541" s="2">
        <v>14</v>
      </c>
      <c r="D541" s="4" t="str">
        <f>"2215"</f>
        <v>2215</v>
      </c>
      <c r="E541" t="str">
        <f>"Краткосрочные вклады юридических лиц"</f>
        <v>Краткосрочные вклады юридических лиц</v>
      </c>
      <c r="F541" s="2" t="str">
        <f>"1"</f>
        <v>1</v>
      </c>
      <c r="G541" s="2" t="str">
        <f>"7"</f>
        <v>7</v>
      </c>
      <c r="H541" s="2" t="str">
        <f>"2"</f>
        <v>2</v>
      </c>
      <c r="I541" s="1">
        <v>554021097389.30005</v>
      </c>
    </row>
    <row r="542" spans="1:9" x14ac:dyDescent="0.25">
      <c r="A542" s="2">
        <v>541</v>
      </c>
      <c r="B542" s="3">
        <v>44834</v>
      </c>
      <c r="C542" s="2">
        <v>14</v>
      </c>
      <c r="D542" s="4" t="str">
        <f>"2217"</f>
        <v>2217</v>
      </c>
      <c r="E542" t="str">
        <f>"Долгосрочные вклады юридических лиц"</f>
        <v>Долгосрочные вклады юридических лиц</v>
      </c>
      <c r="F542" s="2" t="str">
        <f>"1"</f>
        <v>1</v>
      </c>
      <c r="G542" s="2" t="str">
        <f>"5"</f>
        <v>5</v>
      </c>
      <c r="H542" s="2" t="str">
        <f>"1"</f>
        <v>1</v>
      </c>
      <c r="I542" s="1">
        <v>405860969271.59998</v>
      </c>
    </row>
    <row r="543" spans="1:9" x14ac:dyDescent="0.25">
      <c r="A543" s="2">
        <v>542</v>
      </c>
      <c r="B543" s="3">
        <v>44834</v>
      </c>
      <c r="C543" s="2">
        <v>14</v>
      </c>
      <c r="D543" s="4" t="str">
        <f>"2217"</f>
        <v>2217</v>
      </c>
      <c r="E543" t="str">
        <f>"Долгосрочные вклады юридических лиц"</f>
        <v>Долгосрочные вклады юридических лиц</v>
      </c>
      <c r="F543" s="2" t="str">
        <f>"1"</f>
        <v>1</v>
      </c>
      <c r="G543" s="2" t="str">
        <f>"8"</f>
        <v>8</v>
      </c>
      <c r="H543" s="2" t="str">
        <f>"2"</f>
        <v>2</v>
      </c>
      <c r="I543" s="1">
        <v>1692797210</v>
      </c>
    </row>
    <row r="544" spans="1:9" x14ac:dyDescent="0.25">
      <c r="A544" s="2">
        <v>543</v>
      </c>
      <c r="B544" s="3">
        <v>44834</v>
      </c>
      <c r="C544" s="2">
        <v>14</v>
      </c>
      <c r="D544" s="4" t="str">
        <f>"2217"</f>
        <v>2217</v>
      </c>
      <c r="E544" t="str">
        <f>"Долгосрочные вклады юридических лиц"</f>
        <v>Долгосрочные вклады юридических лиц</v>
      </c>
      <c r="F544" s="2" t="str">
        <f>"1"</f>
        <v>1</v>
      </c>
      <c r="G544" s="2" t="str">
        <f>"7"</f>
        <v>7</v>
      </c>
      <c r="H544" s="2" t="str">
        <f>"2"</f>
        <v>2</v>
      </c>
      <c r="I544" s="1">
        <v>29157610661.490002</v>
      </c>
    </row>
    <row r="545" spans="1:9" x14ac:dyDescent="0.25">
      <c r="A545" s="2">
        <v>544</v>
      </c>
      <c r="B545" s="3">
        <v>44834</v>
      </c>
      <c r="C545" s="2">
        <v>14</v>
      </c>
      <c r="D545" s="4" t="str">
        <f>"2217"</f>
        <v>2217</v>
      </c>
      <c r="E545" t="str">
        <f>"Долгосрочные вклады юридических лиц"</f>
        <v>Долгосрочные вклады юридических лиц</v>
      </c>
      <c r="F545" s="2" t="str">
        <f>"1"</f>
        <v>1</v>
      </c>
      <c r="G545" s="2" t="str">
        <f>"6"</f>
        <v>6</v>
      </c>
      <c r="H545" s="2" t="str">
        <f>"2"</f>
        <v>2</v>
      </c>
      <c r="I545" s="1">
        <v>1906840000</v>
      </c>
    </row>
    <row r="546" spans="1:9" x14ac:dyDescent="0.25">
      <c r="A546" s="2">
        <v>545</v>
      </c>
      <c r="B546" s="3">
        <v>44834</v>
      </c>
      <c r="C546" s="2">
        <v>14</v>
      </c>
      <c r="D546" s="4" t="str">
        <f>"2217"</f>
        <v>2217</v>
      </c>
      <c r="E546" t="str">
        <f>"Долгосрочные вклады юридических лиц"</f>
        <v>Долгосрочные вклады юридических лиц</v>
      </c>
      <c r="F546" s="2" t="str">
        <f>"1"</f>
        <v>1</v>
      </c>
      <c r="G546" s="2" t="str">
        <f>"6"</f>
        <v>6</v>
      </c>
      <c r="H546" s="2" t="str">
        <f>"1"</f>
        <v>1</v>
      </c>
      <c r="I546" s="1">
        <v>34464452649.410004</v>
      </c>
    </row>
    <row r="547" spans="1:9" x14ac:dyDescent="0.25">
      <c r="A547" s="2">
        <v>546</v>
      </c>
      <c r="B547" s="3">
        <v>44834</v>
      </c>
      <c r="C547" s="2">
        <v>14</v>
      </c>
      <c r="D547" s="4" t="str">
        <f>"2217"</f>
        <v>2217</v>
      </c>
      <c r="E547" t="str">
        <f>"Долгосрочные вклады юридических лиц"</f>
        <v>Долгосрочные вклады юридических лиц</v>
      </c>
      <c r="F547" s="2" t="str">
        <f>"1"</f>
        <v>1</v>
      </c>
      <c r="G547" s="2" t="str">
        <f>"8"</f>
        <v>8</v>
      </c>
      <c r="H547" s="2" t="str">
        <f>"1"</f>
        <v>1</v>
      </c>
      <c r="I547" s="1">
        <v>18200000</v>
      </c>
    </row>
    <row r="548" spans="1:9" x14ac:dyDescent="0.25">
      <c r="A548" s="2">
        <v>547</v>
      </c>
      <c r="B548" s="3">
        <v>44834</v>
      </c>
      <c r="C548" s="2">
        <v>14</v>
      </c>
      <c r="D548" s="4" t="str">
        <f>"2217"</f>
        <v>2217</v>
      </c>
      <c r="E548" t="str">
        <f>"Долгосрочные вклады юридических лиц"</f>
        <v>Долгосрочные вклады юридических лиц</v>
      </c>
      <c r="F548" s="2" t="str">
        <f>"1"</f>
        <v>1</v>
      </c>
      <c r="G548" s="2" t="str">
        <f>"5"</f>
        <v>5</v>
      </c>
      <c r="H548" s="2" t="str">
        <f>"2"</f>
        <v>2</v>
      </c>
      <c r="I548" s="1">
        <v>554810017.63</v>
      </c>
    </row>
    <row r="549" spans="1:9" x14ac:dyDescent="0.25">
      <c r="A549" s="2">
        <v>548</v>
      </c>
      <c r="B549" s="3">
        <v>44834</v>
      </c>
      <c r="C549" s="2">
        <v>14</v>
      </c>
      <c r="D549" s="4" t="str">
        <f>"2217"</f>
        <v>2217</v>
      </c>
      <c r="E549" t="str">
        <f>"Долгосрочные вклады юридических лиц"</f>
        <v>Долгосрочные вклады юридических лиц</v>
      </c>
      <c r="F549" s="2" t="str">
        <f>"1"</f>
        <v>1</v>
      </c>
      <c r="G549" s="2" t="str">
        <f>"7"</f>
        <v>7</v>
      </c>
      <c r="H549" s="2" t="str">
        <f>"1"</f>
        <v>1</v>
      </c>
      <c r="I549" s="1">
        <v>10895243316.639999</v>
      </c>
    </row>
    <row r="550" spans="1:9" x14ac:dyDescent="0.25">
      <c r="A550" s="2">
        <v>549</v>
      </c>
      <c r="B550" s="3">
        <v>44834</v>
      </c>
      <c r="C550" s="2">
        <v>14</v>
      </c>
      <c r="D550" s="4" t="str">
        <f>"2217"</f>
        <v>2217</v>
      </c>
      <c r="E550" t="str">
        <f>"Долгосрочные вклады юридических лиц"</f>
        <v>Долгосрочные вклады юридических лиц</v>
      </c>
      <c r="F550" s="2" t="str">
        <f>"2"</f>
        <v>2</v>
      </c>
      <c r="G550" s="2" t="str">
        <f>"7"</f>
        <v>7</v>
      </c>
      <c r="H550" s="2" t="str">
        <f>"1"</f>
        <v>1</v>
      </c>
      <c r="I550" s="1">
        <v>6821051.21</v>
      </c>
    </row>
    <row r="551" spans="1:9" x14ac:dyDescent="0.25">
      <c r="A551" s="2">
        <v>550</v>
      </c>
      <c r="B551" s="3">
        <v>44834</v>
      </c>
      <c r="C551" s="2">
        <v>14</v>
      </c>
      <c r="D551" s="4" t="str">
        <f>"2219"</f>
        <v>2219</v>
      </c>
      <c r="E551" t="str">
        <f>"Условные вклады юридических лиц"</f>
        <v>Условные вклады юридических лиц</v>
      </c>
      <c r="F551" s="2" t="str">
        <f>"1"</f>
        <v>1</v>
      </c>
      <c r="G551" s="2" t="str">
        <f>"8"</f>
        <v>8</v>
      </c>
      <c r="H551" s="2" t="str">
        <f>"1"</f>
        <v>1</v>
      </c>
      <c r="I551" s="1">
        <v>626040.81999999995</v>
      </c>
    </row>
    <row r="552" spans="1:9" x14ac:dyDescent="0.25">
      <c r="A552" s="2">
        <v>551</v>
      </c>
      <c r="B552" s="3">
        <v>44834</v>
      </c>
      <c r="C552" s="2">
        <v>14</v>
      </c>
      <c r="D552" s="4" t="str">
        <f>"2219"</f>
        <v>2219</v>
      </c>
      <c r="E552" t="str">
        <f>"Условные вклады юридических лиц"</f>
        <v>Условные вклады юридических лиц</v>
      </c>
      <c r="F552" s="2" t="str">
        <f>"1"</f>
        <v>1</v>
      </c>
      <c r="G552" s="2" t="str">
        <f>"5"</f>
        <v>5</v>
      </c>
      <c r="H552" s="2" t="str">
        <f>"1"</f>
        <v>1</v>
      </c>
      <c r="I552" s="1">
        <v>60000</v>
      </c>
    </row>
    <row r="553" spans="1:9" x14ac:dyDescent="0.25">
      <c r="A553" s="2">
        <v>552</v>
      </c>
      <c r="B553" s="3">
        <v>44834</v>
      </c>
      <c r="C553" s="2">
        <v>14</v>
      </c>
      <c r="D553" s="4" t="str">
        <f>"2219"</f>
        <v>2219</v>
      </c>
      <c r="E553" t="str">
        <f>"Условные вклады юридических лиц"</f>
        <v>Условные вклады юридических лиц</v>
      </c>
      <c r="F553" s="2" t="str">
        <f>"1"</f>
        <v>1</v>
      </c>
      <c r="G553" s="2" t="str">
        <f>"6"</f>
        <v>6</v>
      </c>
      <c r="H553" s="2" t="str">
        <f>"1"</f>
        <v>1</v>
      </c>
      <c r="I553" s="1">
        <v>6083343.3899999997</v>
      </c>
    </row>
    <row r="554" spans="1:9" x14ac:dyDescent="0.25">
      <c r="A554" s="2">
        <v>553</v>
      </c>
      <c r="B554" s="3">
        <v>44834</v>
      </c>
      <c r="C554" s="2">
        <v>14</v>
      </c>
      <c r="D554" s="4" t="str">
        <f>"2219"</f>
        <v>2219</v>
      </c>
      <c r="E554" t="str">
        <f>"Условные вклады юридических лиц"</f>
        <v>Условные вклады юридических лиц</v>
      </c>
      <c r="F554" s="2" t="str">
        <f>"1"</f>
        <v>1</v>
      </c>
      <c r="G554" s="2" t="str">
        <f>"7"</f>
        <v>7</v>
      </c>
      <c r="H554" s="2" t="str">
        <f>"2"</f>
        <v>2</v>
      </c>
      <c r="I554" s="1">
        <v>99168443538.410004</v>
      </c>
    </row>
    <row r="555" spans="1:9" x14ac:dyDescent="0.25">
      <c r="A555" s="2">
        <v>554</v>
      </c>
      <c r="B555" s="3">
        <v>44834</v>
      </c>
      <c r="C555" s="2">
        <v>14</v>
      </c>
      <c r="D555" s="4" t="str">
        <f>"2219"</f>
        <v>2219</v>
      </c>
      <c r="E555" t="str">
        <f>"Условные вклады юридических лиц"</f>
        <v>Условные вклады юридических лиц</v>
      </c>
      <c r="F555" s="2" t="str">
        <f>"2"</f>
        <v>2</v>
      </c>
      <c r="G555" s="2" t="str">
        <f>"7"</f>
        <v>7</v>
      </c>
      <c r="H555" s="2" t="str">
        <f>"3"</f>
        <v>3</v>
      </c>
      <c r="I555" s="1">
        <v>5907747.5700000003</v>
      </c>
    </row>
    <row r="556" spans="1:9" x14ac:dyDescent="0.25">
      <c r="A556" s="2">
        <v>555</v>
      </c>
      <c r="B556" s="3">
        <v>44834</v>
      </c>
      <c r="C556" s="2">
        <v>14</v>
      </c>
      <c r="D556" s="4" t="str">
        <f>"2219"</f>
        <v>2219</v>
      </c>
      <c r="E556" t="str">
        <f>"Условные вклады юридических лиц"</f>
        <v>Условные вклады юридических лиц</v>
      </c>
      <c r="F556" s="2" t="str">
        <f>"2"</f>
        <v>2</v>
      </c>
      <c r="G556" s="2" t="str">
        <f>"7"</f>
        <v>7</v>
      </c>
      <c r="H556" s="2" t="str">
        <f>"1"</f>
        <v>1</v>
      </c>
      <c r="I556" s="1">
        <v>356648227.94</v>
      </c>
    </row>
    <row r="557" spans="1:9" x14ac:dyDescent="0.25">
      <c r="A557" s="2">
        <v>556</v>
      </c>
      <c r="B557" s="3">
        <v>44834</v>
      </c>
      <c r="C557" s="2">
        <v>14</v>
      </c>
      <c r="D557" s="4" t="str">
        <f>"2219"</f>
        <v>2219</v>
      </c>
      <c r="E557" t="str">
        <f>"Условные вклады юридических лиц"</f>
        <v>Условные вклады юридических лиц</v>
      </c>
      <c r="F557" s="2" t="str">
        <f>"1"</f>
        <v>1</v>
      </c>
      <c r="G557" s="2" t="str">
        <f>"7"</f>
        <v>7</v>
      </c>
      <c r="H557" s="2" t="str">
        <f>"1"</f>
        <v>1</v>
      </c>
      <c r="I557" s="1">
        <v>13360505998.18</v>
      </c>
    </row>
    <row r="558" spans="1:9" x14ac:dyDescent="0.25">
      <c r="A558" s="2">
        <v>557</v>
      </c>
      <c r="B558" s="3">
        <v>44834</v>
      </c>
      <c r="C558" s="2">
        <v>14</v>
      </c>
      <c r="D558" s="4" t="str">
        <f>"2219"</f>
        <v>2219</v>
      </c>
      <c r="E558" t="str">
        <f>"Условные вклады юридических лиц"</f>
        <v>Условные вклады юридических лиц</v>
      </c>
      <c r="F558" s="2" t="str">
        <f>"2"</f>
        <v>2</v>
      </c>
      <c r="G558" s="2" t="str">
        <f>"7"</f>
        <v>7</v>
      </c>
      <c r="H558" s="2" t="str">
        <f>"2"</f>
        <v>2</v>
      </c>
      <c r="I558" s="1">
        <v>59419951.289999999</v>
      </c>
    </row>
    <row r="559" spans="1:9" x14ac:dyDescent="0.25">
      <c r="A559" s="2">
        <v>558</v>
      </c>
      <c r="B559" s="3">
        <v>44834</v>
      </c>
      <c r="C559" s="2">
        <v>14</v>
      </c>
      <c r="D559" s="4" t="str">
        <f>"2223"</f>
        <v>2223</v>
      </c>
      <c r="E559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59" s="2" t="str">
        <f>"1"</f>
        <v>1</v>
      </c>
      <c r="G559" s="2" t="str">
        <f>"7"</f>
        <v>7</v>
      </c>
      <c r="H559" s="2" t="str">
        <f>"1"</f>
        <v>1</v>
      </c>
      <c r="I559" s="1">
        <v>9774868719.4699993</v>
      </c>
    </row>
    <row r="560" spans="1:9" x14ac:dyDescent="0.25">
      <c r="A560" s="2">
        <v>559</v>
      </c>
      <c r="B560" s="3">
        <v>44834</v>
      </c>
      <c r="C560" s="2">
        <v>14</v>
      </c>
      <c r="D560" s="4" t="str">
        <f>"2223"</f>
        <v>2223</v>
      </c>
      <c r="E560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60" s="2" t="str">
        <f>"1"</f>
        <v>1</v>
      </c>
      <c r="G560" s="2" t="str">
        <f>"7"</f>
        <v>7</v>
      </c>
      <c r="H560" s="2" t="str">
        <f>"2"</f>
        <v>2</v>
      </c>
      <c r="I560" s="1">
        <v>10055638679.15</v>
      </c>
    </row>
    <row r="561" spans="1:9" x14ac:dyDescent="0.25">
      <c r="A561" s="2">
        <v>560</v>
      </c>
      <c r="B561" s="3">
        <v>44834</v>
      </c>
      <c r="C561" s="2">
        <v>14</v>
      </c>
      <c r="D561" s="4" t="str">
        <f>"2223"</f>
        <v>2223</v>
      </c>
      <c r="E56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61" s="2" t="str">
        <f>"1"</f>
        <v>1</v>
      </c>
      <c r="G561" s="2" t="str">
        <f>"5"</f>
        <v>5</v>
      </c>
      <c r="H561" s="2" t="str">
        <f>"1"</f>
        <v>1</v>
      </c>
      <c r="I561" s="1">
        <v>26000000</v>
      </c>
    </row>
    <row r="562" spans="1:9" x14ac:dyDescent="0.25">
      <c r="A562" s="2">
        <v>561</v>
      </c>
      <c r="B562" s="3">
        <v>44834</v>
      </c>
      <c r="C562" s="2">
        <v>14</v>
      </c>
      <c r="D562" s="4" t="str">
        <f>"2227"</f>
        <v>2227</v>
      </c>
      <c r="E562" t="str">
        <f>"Обязательства по аренде"</f>
        <v>Обязательства по аренде</v>
      </c>
      <c r="F562" s="2" t="str">
        <f>"1"</f>
        <v>1</v>
      </c>
      <c r="G562" s="2" t="str">
        <f>"9"</f>
        <v>9</v>
      </c>
      <c r="H562" s="2" t="str">
        <f>"1"</f>
        <v>1</v>
      </c>
      <c r="I562" s="1">
        <v>1868893359.02</v>
      </c>
    </row>
    <row r="563" spans="1:9" x14ac:dyDescent="0.25">
      <c r="A563" s="2">
        <v>562</v>
      </c>
      <c r="B563" s="3">
        <v>44834</v>
      </c>
      <c r="C563" s="2">
        <v>14</v>
      </c>
      <c r="D563" s="4" t="str">
        <f>"2227"</f>
        <v>2227</v>
      </c>
      <c r="E563" t="str">
        <f>"Обязательства по аренде"</f>
        <v>Обязательства по аренде</v>
      </c>
      <c r="F563" s="2" t="str">
        <f>"1"</f>
        <v>1</v>
      </c>
      <c r="G563" s="2" t="str">
        <f>"7"</f>
        <v>7</v>
      </c>
      <c r="H563" s="2" t="str">
        <f>"1"</f>
        <v>1</v>
      </c>
      <c r="I563" s="1">
        <v>1872787325.99</v>
      </c>
    </row>
    <row r="564" spans="1:9" x14ac:dyDescent="0.25">
      <c r="A564" s="2">
        <v>563</v>
      </c>
      <c r="B564" s="3">
        <v>44834</v>
      </c>
      <c r="C564" s="2">
        <v>14</v>
      </c>
      <c r="D564" s="4" t="str">
        <f>"2227"</f>
        <v>2227</v>
      </c>
      <c r="E564" t="str">
        <f>"Обязательства по аренде"</f>
        <v>Обязательства по аренде</v>
      </c>
      <c r="F564" s="2" t="str">
        <f>"1"</f>
        <v>1</v>
      </c>
      <c r="G564" s="2" t="str">
        <f>"2"</f>
        <v>2</v>
      </c>
      <c r="H564" s="2" t="str">
        <f>"1"</f>
        <v>1</v>
      </c>
      <c r="I564" s="1">
        <v>1983479.63</v>
      </c>
    </row>
    <row r="565" spans="1:9" x14ac:dyDescent="0.25">
      <c r="A565" s="2">
        <v>564</v>
      </c>
      <c r="B565" s="3">
        <v>44834</v>
      </c>
      <c r="C565" s="2">
        <v>14</v>
      </c>
      <c r="D565" s="4" t="str">
        <f>"2227"</f>
        <v>2227</v>
      </c>
      <c r="E565" t="str">
        <f>"Обязательства по аренде"</f>
        <v>Обязательства по аренде</v>
      </c>
      <c r="F565" s="2" t="str">
        <f>"1"</f>
        <v>1</v>
      </c>
      <c r="G565" s="2" t="str">
        <f>"6"</f>
        <v>6</v>
      </c>
      <c r="H565" s="2" t="str">
        <f>"1"</f>
        <v>1</v>
      </c>
      <c r="I565" s="1">
        <v>48944228.520000003</v>
      </c>
    </row>
    <row r="566" spans="1:9" x14ac:dyDescent="0.25">
      <c r="A566" s="2">
        <v>565</v>
      </c>
      <c r="B566" s="3">
        <v>44834</v>
      </c>
      <c r="C566" s="2">
        <v>14</v>
      </c>
      <c r="D566" s="4" t="str">
        <f>"2227"</f>
        <v>2227</v>
      </c>
      <c r="E566" t="str">
        <f>"Обязательства по аренде"</f>
        <v>Обязательства по аренде</v>
      </c>
      <c r="F566" s="2" t="str">
        <f>"1"</f>
        <v>1</v>
      </c>
      <c r="G566" s="2" t="str">
        <f>"4"</f>
        <v>4</v>
      </c>
      <c r="H566" s="2" t="str">
        <f>"1"</f>
        <v>1</v>
      </c>
      <c r="I566" s="1">
        <v>28752929.579999998</v>
      </c>
    </row>
    <row r="567" spans="1:9" x14ac:dyDescent="0.25">
      <c r="A567" s="2">
        <v>566</v>
      </c>
      <c r="B567" s="3">
        <v>44834</v>
      </c>
      <c r="C567" s="2">
        <v>14</v>
      </c>
      <c r="D567" s="4" t="str">
        <f>"2229"</f>
        <v>2229</v>
      </c>
      <c r="E567" t="str">
        <f>"Сберегательные вклады физических лиц (более одного года)"</f>
        <v>Сберегательные вклады физических лиц (более одного года)</v>
      </c>
      <c r="F567" s="2" t="str">
        <f>"2"</f>
        <v>2</v>
      </c>
      <c r="G567" s="2" t="str">
        <f>"9"</f>
        <v>9</v>
      </c>
      <c r="H567" s="2" t="str">
        <f>"1"</f>
        <v>1</v>
      </c>
      <c r="I567" s="1">
        <v>30003687.120000001</v>
      </c>
    </row>
    <row r="568" spans="1:9" x14ac:dyDescent="0.25">
      <c r="A568" s="2">
        <v>567</v>
      </c>
      <c r="B568" s="3">
        <v>44834</v>
      </c>
      <c r="C568" s="2">
        <v>14</v>
      </c>
      <c r="D568" s="4" t="str">
        <f>"2229"</f>
        <v>2229</v>
      </c>
      <c r="E568" t="str">
        <f>"Сберегательные вклады физических лиц (более одного года)"</f>
        <v>Сберегательные вклады физических лиц (более одного года)</v>
      </c>
      <c r="F568" s="2" t="str">
        <f>"2"</f>
        <v>2</v>
      </c>
      <c r="G568" s="2" t="str">
        <f>"9"</f>
        <v>9</v>
      </c>
      <c r="H568" s="2" t="str">
        <f>"2"</f>
        <v>2</v>
      </c>
      <c r="I568" s="1">
        <v>38874456.289999999</v>
      </c>
    </row>
    <row r="569" spans="1:9" x14ac:dyDescent="0.25">
      <c r="A569" s="2">
        <v>568</v>
      </c>
      <c r="B569" s="3">
        <v>44834</v>
      </c>
      <c r="C569" s="2">
        <v>14</v>
      </c>
      <c r="D569" s="4" t="str">
        <f>"2229"</f>
        <v>2229</v>
      </c>
      <c r="E569" t="str">
        <f>"Сберегательные вклады физических лиц (более одного года)"</f>
        <v>Сберегательные вклады физических лиц (более одного года)</v>
      </c>
      <c r="F569" s="2" t="str">
        <f>"1"</f>
        <v>1</v>
      </c>
      <c r="G569" s="2" t="str">
        <f>"9"</f>
        <v>9</v>
      </c>
      <c r="H569" s="2" t="str">
        <f>"2"</f>
        <v>2</v>
      </c>
      <c r="I569" s="1">
        <v>7996966072.2200003</v>
      </c>
    </row>
    <row r="570" spans="1:9" x14ac:dyDescent="0.25">
      <c r="A570" s="2">
        <v>569</v>
      </c>
      <c r="B570" s="3">
        <v>44834</v>
      </c>
      <c r="C570" s="2">
        <v>14</v>
      </c>
      <c r="D570" s="4" t="str">
        <f>"2229"</f>
        <v>2229</v>
      </c>
      <c r="E570" t="str">
        <f>"Сберегательные вклады физических лиц (более одного года)"</f>
        <v>Сберегательные вклады физических лиц (более одного года)</v>
      </c>
      <c r="F570" s="2" t="str">
        <f>"1"</f>
        <v>1</v>
      </c>
      <c r="G570" s="2" t="str">
        <f>"9"</f>
        <v>9</v>
      </c>
      <c r="H570" s="2" t="str">
        <f>"1"</f>
        <v>1</v>
      </c>
      <c r="I570" s="1">
        <v>18305051723.75</v>
      </c>
    </row>
    <row r="571" spans="1:9" x14ac:dyDescent="0.25">
      <c r="A571" s="2">
        <v>570</v>
      </c>
      <c r="B571" s="3">
        <v>44834</v>
      </c>
      <c r="C571" s="2">
        <v>14</v>
      </c>
      <c r="D571" s="4" t="str">
        <f>"2237"</f>
        <v>2237</v>
      </c>
      <c r="E571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71" s="2" t="str">
        <f>"1"</f>
        <v>1</v>
      </c>
      <c r="G571" s="2" t="str">
        <f>"7"</f>
        <v>7</v>
      </c>
      <c r="H571" s="2" t="str">
        <f>"2"</f>
        <v>2</v>
      </c>
      <c r="I571" s="1">
        <v>29144878592.709999</v>
      </c>
    </row>
    <row r="572" spans="1:9" x14ac:dyDescent="0.25">
      <c r="A572" s="2">
        <v>571</v>
      </c>
      <c r="B572" s="3">
        <v>44834</v>
      </c>
      <c r="C572" s="2">
        <v>14</v>
      </c>
      <c r="D572" s="4" t="str">
        <f>"2237"</f>
        <v>2237</v>
      </c>
      <c r="E572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72" s="2" t="str">
        <f>"1"</f>
        <v>1</v>
      </c>
      <c r="G572" s="2" t="str">
        <f>"7"</f>
        <v>7</v>
      </c>
      <c r="H572" s="2" t="str">
        <f>"1"</f>
        <v>1</v>
      </c>
      <c r="I572" s="1">
        <v>7303792867.6999998</v>
      </c>
    </row>
    <row r="573" spans="1:9" x14ac:dyDescent="0.25">
      <c r="A573" s="2">
        <v>572</v>
      </c>
      <c r="B573" s="3">
        <v>44834</v>
      </c>
      <c r="C573" s="2">
        <v>14</v>
      </c>
      <c r="D573" s="4" t="str">
        <f>"2237"</f>
        <v>2237</v>
      </c>
      <c r="E573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73" s="2" t="str">
        <f>"1"</f>
        <v>1</v>
      </c>
      <c r="G573" s="2" t="str">
        <f>"7"</f>
        <v>7</v>
      </c>
      <c r="H573" s="2" t="str">
        <f>"3"</f>
        <v>3</v>
      </c>
      <c r="I573" s="1">
        <v>4604014393.75</v>
      </c>
    </row>
    <row r="574" spans="1:9" x14ac:dyDescent="0.25">
      <c r="A574" s="2">
        <v>573</v>
      </c>
      <c r="B574" s="3">
        <v>44834</v>
      </c>
      <c r="C574" s="2">
        <v>14</v>
      </c>
      <c r="D574" s="4" t="str">
        <f>"2239"</f>
        <v>2239</v>
      </c>
      <c r="E574" t="str">
        <f>"Дисконт по вкладам, привлеченным от клиентов"</f>
        <v>Дисконт по вкладам, привлеченным от клиентов</v>
      </c>
      <c r="F574" s="2" t="str">
        <f>"1"</f>
        <v>1</v>
      </c>
      <c r="G574" s="2" t="str">
        <f>"5"</f>
        <v>5</v>
      </c>
      <c r="H574" s="2" t="str">
        <f>"1"</f>
        <v>1</v>
      </c>
      <c r="I574" s="1">
        <v>-199875494953.72</v>
      </c>
    </row>
    <row r="575" spans="1:9" x14ac:dyDescent="0.25">
      <c r="A575" s="2">
        <v>574</v>
      </c>
      <c r="B575" s="3">
        <v>44834</v>
      </c>
      <c r="C575" s="2">
        <v>14</v>
      </c>
      <c r="D575" s="4" t="str">
        <f>"2240"</f>
        <v>2240</v>
      </c>
      <c r="E57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75" s="2" t="str">
        <f>"1"</f>
        <v>1</v>
      </c>
      <c r="G575" s="2" t="str">
        <f>"9"</f>
        <v>9</v>
      </c>
      <c r="H575" s="2" t="str">
        <f>"2"</f>
        <v>2</v>
      </c>
      <c r="I575" s="1">
        <v>145010414.90000001</v>
      </c>
    </row>
    <row r="576" spans="1:9" x14ac:dyDescent="0.25">
      <c r="A576" s="2">
        <v>575</v>
      </c>
      <c r="B576" s="3">
        <v>44834</v>
      </c>
      <c r="C576" s="2">
        <v>14</v>
      </c>
      <c r="D576" s="4" t="str">
        <f>"2240"</f>
        <v>2240</v>
      </c>
      <c r="E57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76" s="2" t="str">
        <f>"2"</f>
        <v>2</v>
      </c>
      <c r="G576" s="2" t="str">
        <f>"7"</f>
        <v>7</v>
      </c>
      <c r="H576" s="2" t="str">
        <f>"2"</f>
        <v>2</v>
      </c>
      <c r="I576" s="1">
        <v>806850733.71000004</v>
      </c>
    </row>
    <row r="577" spans="1:9" x14ac:dyDescent="0.25">
      <c r="A577" s="2">
        <v>576</v>
      </c>
      <c r="B577" s="3">
        <v>44834</v>
      </c>
      <c r="C577" s="2">
        <v>14</v>
      </c>
      <c r="D577" s="4" t="str">
        <f>"2240"</f>
        <v>2240</v>
      </c>
      <c r="E57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77" s="2" t="str">
        <f>"1"</f>
        <v>1</v>
      </c>
      <c r="G577" s="2" t="str">
        <f>"8"</f>
        <v>8</v>
      </c>
      <c r="H577" s="2" t="str">
        <f>"1"</f>
        <v>1</v>
      </c>
      <c r="I577" s="1">
        <v>15340746</v>
      </c>
    </row>
    <row r="578" spans="1:9" x14ac:dyDescent="0.25">
      <c r="A578" s="2">
        <v>577</v>
      </c>
      <c r="B578" s="3">
        <v>44834</v>
      </c>
      <c r="C578" s="2">
        <v>14</v>
      </c>
      <c r="D578" s="4" t="str">
        <f>"2240"</f>
        <v>2240</v>
      </c>
      <c r="E57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78" s="2" t="str">
        <f>"2"</f>
        <v>2</v>
      </c>
      <c r="G578" s="2" t="str">
        <f>"4"</f>
        <v>4</v>
      </c>
      <c r="H578" s="2" t="str">
        <f>"2"</f>
        <v>2</v>
      </c>
      <c r="I578" s="1">
        <v>47671000</v>
      </c>
    </row>
    <row r="579" spans="1:9" x14ac:dyDescent="0.25">
      <c r="A579" s="2">
        <v>578</v>
      </c>
      <c r="B579" s="3">
        <v>44834</v>
      </c>
      <c r="C579" s="2">
        <v>14</v>
      </c>
      <c r="D579" s="4" t="str">
        <f>"2240"</f>
        <v>2240</v>
      </c>
      <c r="E57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79" s="2" t="str">
        <f>"1"</f>
        <v>1</v>
      </c>
      <c r="G579" s="2" t="str">
        <f>"9"</f>
        <v>9</v>
      </c>
      <c r="H579" s="2" t="str">
        <f>"1"</f>
        <v>1</v>
      </c>
      <c r="I579" s="1">
        <v>166485063.62</v>
      </c>
    </row>
    <row r="580" spans="1:9" x14ac:dyDescent="0.25">
      <c r="A580" s="2">
        <v>579</v>
      </c>
      <c r="B580" s="3">
        <v>44834</v>
      </c>
      <c r="C580" s="2">
        <v>14</v>
      </c>
      <c r="D580" s="4" t="str">
        <f>"2240"</f>
        <v>2240</v>
      </c>
      <c r="E58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80" s="2" t="str">
        <f>"1"</f>
        <v>1</v>
      </c>
      <c r="G580" s="2" t="str">
        <f>"7"</f>
        <v>7</v>
      </c>
      <c r="H580" s="2" t="str">
        <f>"2"</f>
        <v>2</v>
      </c>
      <c r="I580" s="1">
        <v>10911753588.23</v>
      </c>
    </row>
    <row r="581" spans="1:9" x14ac:dyDescent="0.25">
      <c r="A581" s="2">
        <v>580</v>
      </c>
      <c r="B581" s="3">
        <v>44834</v>
      </c>
      <c r="C581" s="2">
        <v>14</v>
      </c>
      <c r="D581" s="4" t="str">
        <f>"2240"</f>
        <v>2240</v>
      </c>
      <c r="E58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81" s="2" t="str">
        <f>"1"</f>
        <v>1</v>
      </c>
      <c r="G581" s="2" t="str">
        <f>"1"</f>
        <v>1</v>
      </c>
      <c r="H581" s="2" t="str">
        <f>"1"</f>
        <v>1</v>
      </c>
      <c r="I581" s="1">
        <v>150918</v>
      </c>
    </row>
    <row r="582" spans="1:9" x14ac:dyDescent="0.25">
      <c r="A582" s="2">
        <v>581</v>
      </c>
      <c r="B582" s="3">
        <v>44834</v>
      </c>
      <c r="C582" s="2">
        <v>14</v>
      </c>
      <c r="D582" s="4" t="str">
        <f>"2240"</f>
        <v>2240</v>
      </c>
      <c r="E582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82" s="2" t="str">
        <f>"1"</f>
        <v>1</v>
      </c>
      <c r="G582" s="2" t="str">
        <f>"5"</f>
        <v>5</v>
      </c>
      <c r="H582" s="2" t="str">
        <f>"1"</f>
        <v>1</v>
      </c>
      <c r="I582" s="1">
        <v>126914040.51000001</v>
      </c>
    </row>
    <row r="583" spans="1:9" x14ac:dyDescent="0.25">
      <c r="A583" s="2">
        <v>582</v>
      </c>
      <c r="B583" s="3">
        <v>44834</v>
      </c>
      <c r="C583" s="2">
        <v>14</v>
      </c>
      <c r="D583" s="4" t="str">
        <f>"2240"</f>
        <v>2240</v>
      </c>
      <c r="E58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83" s="2" t="str">
        <f>"1"</f>
        <v>1</v>
      </c>
      <c r="G583" s="2" t="str">
        <f>"7"</f>
        <v>7</v>
      </c>
      <c r="H583" s="2" t="str">
        <f>"1"</f>
        <v>1</v>
      </c>
      <c r="I583" s="1">
        <v>7873909089.5600004</v>
      </c>
    </row>
    <row r="584" spans="1:9" x14ac:dyDescent="0.25">
      <c r="A584" s="2">
        <v>583</v>
      </c>
      <c r="B584" s="3">
        <v>44834</v>
      </c>
      <c r="C584" s="2">
        <v>14</v>
      </c>
      <c r="D584" s="4" t="str">
        <f>"2240"</f>
        <v>2240</v>
      </c>
      <c r="E58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84" s="2" t="str">
        <f>"1"</f>
        <v>1</v>
      </c>
      <c r="G584" s="2" t="str">
        <f>"7"</f>
        <v>7</v>
      </c>
      <c r="H584" s="2" t="str">
        <f>"3"</f>
        <v>3</v>
      </c>
      <c r="I584" s="1">
        <v>379826066.39999998</v>
      </c>
    </row>
    <row r="585" spans="1:9" x14ac:dyDescent="0.25">
      <c r="A585" s="2">
        <v>584</v>
      </c>
      <c r="B585" s="3">
        <v>44834</v>
      </c>
      <c r="C585" s="2">
        <v>14</v>
      </c>
      <c r="D585" s="4" t="str">
        <f>"2240"</f>
        <v>2240</v>
      </c>
      <c r="E58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85" s="2" t="str">
        <f>"1"</f>
        <v>1</v>
      </c>
      <c r="G585" s="2" t="str">
        <f>"6"</f>
        <v>6</v>
      </c>
      <c r="H585" s="2" t="str">
        <f>"1"</f>
        <v>1</v>
      </c>
      <c r="I585" s="1">
        <v>310831507.44</v>
      </c>
    </row>
    <row r="586" spans="1:9" x14ac:dyDescent="0.25">
      <c r="A586" s="2">
        <v>585</v>
      </c>
      <c r="B586" s="3">
        <v>44834</v>
      </c>
      <c r="C586" s="2">
        <v>14</v>
      </c>
      <c r="D586" s="4" t="str">
        <f>"2255"</f>
        <v>2255</v>
      </c>
      <c r="E586" t="str">
        <f>"Операции «РЕПО» с ценными бумагами"</f>
        <v>Операции «РЕПО» с ценными бумагами</v>
      </c>
      <c r="F586" s="2" t="str">
        <f>"1"</f>
        <v>1</v>
      </c>
      <c r="G586" s="2" t="str">
        <f>"5"</f>
        <v>5</v>
      </c>
      <c r="H586" s="2" t="str">
        <f>"1"</f>
        <v>1</v>
      </c>
      <c r="I586" s="1">
        <v>367644220348.57001</v>
      </c>
    </row>
    <row r="587" spans="1:9" x14ac:dyDescent="0.25">
      <c r="A587" s="2">
        <v>586</v>
      </c>
      <c r="B587" s="3">
        <v>44834</v>
      </c>
      <c r="C587" s="2">
        <v>14</v>
      </c>
      <c r="D587" s="4" t="str">
        <f>"2301"</f>
        <v>2301</v>
      </c>
      <c r="E587" t="str">
        <f>"Выпущенные в обращение облигации"</f>
        <v>Выпущенные в обращение облигации</v>
      </c>
      <c r="F587" s="2" t="str">
        <f>"1"</f>
        <v>1</v>
      </c>
      <c r="G587" s="2" t="str">
        <f>"5"</f>
        <v>5</v>
      </c>
      <c r="H587" s="2" t="str">
        <f>"2"</f>
        <v>2</v>
      </c>
      <c r="I587" s="1">
        <v>142536290000</v>
      </c>
    </row>
    <row r="588" spans="1:9" x14ac:dyDescent="0.25">
      <c r="A588" s="2">
        <v>587</v>
      </c>
      <c r="B588" s="3">
        <v>44834</v>
      </c>
      <c r="C588" s="2">
        <v>14</v>
      </c>
      <c r="D588" s="4" t="str">
        <f>"2301"</f>
        <v>2301</v>
      </c>
      <c r="E588" t="str">
        <f>"Выпущенные в обращение облигации"</f>
        <v>Выпущенные в обращение облигации</v>
      </c>
      <c r="F588" s="2" t="str">
        <f>"1"</f>
        <v>1</v>
      </c>
      <c r="G588" s="2" t="str">
        <f>"5"</f>
        <v>5</v>
      </c>
      <c r="H588" s="2" t="str">
        <f>"1"</f>
        <v>1</v>
      </c>
      <c r="I588" s="1">
        <v>231651750000</v>
      </c>
    </row>
    <row r="589" spans="1:9" x14ac:dyDescent="0.25">
      <c r="A589" s="2">
        <v>588</v>
      </c>
      <c r="B589" s="3">
        <v>44834</v>
      </c>
      <c r="C589" s="2">
        <v>14</v>
      </c>
      <c r="D589" s="4" t="str">
        <f>"2305"</f>
        <v>2305</v>
      </c>
      <c r="E589" t="str">
        <f>"Дисконт по выпущенным в обращение ценным бумагам"</f>
        <v>Дисконт по выпущенным в обращение ценным бумагам</v>
      </c>
      <c r="F589" s="2" t="str">
        <f>"1"</f>
        <v>1</v>
      </c>
      <c r="G589" s="2" t="str">
        <f>"5"</f>
        <v>5</v>
      </c>
      <c r="H589" s="2" t="str">
        <f>"2"</f>
        <v>2</v>
      </c>
      <c r="I589" s="1">
        <v>-15102616.140000001</v>
      </c>
    </row>
    <row r="590" spans="1:9" x14ac:dyDescent="0.25">
      <c r="A590" s="2">
        <v>589</v>
      </c>
      <c r="B590" s="3">
        <v>44834</v>
      </c>
      <c r="C590" s="2">
        <v>14</v>
      </c>
      <c r="D590" s="4" t="str">
        <f>"2305"</f>
        <v>2305</v>
      </c>
      <c r="E590" t="str">
        <f>"Дисконт по выпущенным в обращение ценным бумагам"</f>
        <v>Дисконт по выпущенным в обращение ценным бумагам</v>
      </c>
      <c r="F590" s="2" t="str">
        <f>"1"</f>
        <v>1</v>
      </c>
      <c r="G590" s="2" t="str">
        <f>"5"</f>
        <v>5</v>
      </c>
      <c r="H590" s="2" t="str">
        <f>"1"</f>
        <v>1</v>
      </c>
      <c r="I590" s="1">
        <v>-4111574152.4499998</v>
      </c>
    </row>
    <row r="591" spans="1:9" x14ac:dyDescent="0.25">
      <c r="A591" s="2">
        <v>590</v>
      </c>
      <c r="B591" s="3">
        <v>44834</v>
      </c>
      <c r="C591" s="2">
        <v>14</v>
      </c>
      <c r="D591" s="4" t="str">
        <f>"2404"</f>
        <v>2404</v>
      </c>
      <c r="E59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591" s="2" t="str">
        <f>"1"</f>
        <v>1</v>
      </c>
      <c r="G591" s="2" t="str">
        <f>"5"</f>
        <v>5</v>
      </c>
      <c r="H591" s="2" t="str">
        <f>"1"</f>
        <v>1</v>
      </c>
      <c r="I591" s="1">
        <v>-567906334.58000004</v>
      </c>
    </row>
    <row r="592" spans="1:9" x14ac:dyDescent="0.25">
      <c r="A592" s="2">
        <v>591</v>
      </c>
      <c r="B592" s="3">
        <v>44834</v>
      </c>
      <c r="C592" s="2">
        <v>14</v>
      </c>
      <c r="D592" s="4" t="str">
        <f>"2406"</f>
        <v>2406</v>
      </c>
      <c r="E592" t="str">
        <f>"Субординированные облигации"</f>
        <v>Субординированные облигации</v>
      </c>
      <c r="F592" s="2" t="str">
        <f>"1"</f>
        <v>1</v>
      </c>
      <c r="G592" s="2" t="str">
        <f>"5"</f>
        <v>5</v>
      </c>
      <c r="H592" s="2" t="str">
        <f>"1"</f>
        <v>1</v>
      </c>
      <c r="I592" s="1">
        <v>101143563000</v>
      </c>
    </row>
    <row r="593" spans="1:9" x14ac:dyDescent="0.25">
      <c r="A593" s="2">
        <v>592</v>
      </c>
      <c r="B593" s="3">
        <v>44834</v>
      </c>
      <c r="C593" s="2">
        <v>14</v>
      </c>
      <c r="D593" s="4" t="str">
        <f>"2551"</f>
        <v>2551</v>
      </c>
      <c r="E593" t="str">
        <f>"Расчеты с другими банками"</f>
        <v>Расчеты с другими банками</v>
      </c>
      <c r="F593" s="2" t="str">
        <f>"2"</f>
        <v>2</v>
      </c>
      <c r="G593" s="2" t="str">
        <f>"4"</f>
        <v>4</v>
      </c>
      <c r="H593" s="2" t="str">
        <f>"2"</f>
        <v>2</v>
      </c>
      <c r="I593" s="1">
        <v>71860784.349999994</v>
      </c>
    </row>
    <row r="594" spans="1:9" x14ac:dyDescent="0.25">
      <c r="A594" s="2">
        <v>593</v>
      </c>
      <c r="B594" s="3">
        <v>44834</v>
      </c>
      <c r="C594" s="2">
        <v>14</v>
      </c>
      <c r="D594" s="4" t="str">
        <f>"2551"</f>
        <v>2551</v>
      </c>
      <c r="E594" t="str">
        <f>"Расчеты с другими банками"</f>
        <v>Расчеты с другими банками</v>
      </c>
      <c r="F594" s="2" t="str">
        <f>"1"</f>
        <v>1</v>
      </c>
      <c r="G594" s="2" t="str">
        <f>"4"</f>
        <v>4</v>
      </c>
      <c r="H594" s="2" t="str">
        <f>"2"</f>
        <v>2</v>
      </c>
      <c r="I594" s="1">
        <v>3136079.64</v>
      </c>
    </row>
    <row r="595" spans="1:9" x14ac:dyDescent="0.25">
      <c r="A595" s="2">
        <v>594</v>
      </c>
      <c r="B595" s="3">
        <v>44834</v>
      </c>
      <c r="C595" s="2">
        <v>14</v>
      </c>
      <c r="D595" s="4" t="str">
        <f>"2551"</f>
        <v>2551</v>
      </c>
      <c r="E595" t="str">
        <f>"Расчеты с другими банками"</f>
        <v>Расчеты с другими банками</v>
      </c>
      <c r="F595" s="2" t="str">
        <f>"2"</f>
        <v>2</v>
      </c>
      <c r="G595" s="2" t="str">
        <f>"4"</f>
        <v>4</v>
      </c>
      <c r="H595" s="2" t="str">
        <f>"3"</f>
        <v>3</v>
      </c>
      <c r="I595" s="1">
        <v>5351.03</v>
      </c>
    </row>
    <row r="596" spans="1:9" x14ac:dyDescent="0.25">
      <c r="A596" s="2">
        <v>595</v>
      </c>
      <c r="B596" s="3">
        <v>44834</v>
      </c>
      <c r="C596" s="2">
        <v>14</v>
      </c>
      <c r="D596" s="4" t="str">
        <f>"2551"</f>
        <v>2551</v>
      </c>
      <c r="E596" t="str">
        <f>"Расчеты с другими банками"</f>
        <v>Расчеты с другими банками</v>
      </c>
      <c r="F596" s="2" t="str">
        <f>"2"</f>
        <v>2</v>
      </c>
      <c r="G596" s="2" t="str">
        <f>"4"</f>
        <v>4</v>
      </c>
      <c r="H596" s="2" t="str">
        <f>"1"</f>
        <v>1</v>
      </c>
      <c r="I596" s="1">
        <v>6001895</v>
      </c>
    </row>
    <row r="597" spans="1:9" x14ac:dyDescent="0.25">
      <c r="A597" s="2">
        <v>596</v>
      </c>
      <c r="B597" s="3">
        <v>44834</v>
      </c>
      <c r="C597" s="2">
        <v>14</v>
      </c>
      <c r="D597" s="4" t="str">
        <f>"2551"</f>
        <v>2551</v>
      </c>
      <c r="E597" t="str">
        <f>"Расчеты с другими банками"</f>
        <v>Расчеты с другими банками</v>
      </c>
      <c r="F597" s="2" t="str">
        <f>"1"</f>
        <v>1</v>
      </c>
      <c r="G597" s="2" t="str">
        <f>"4"</f>
        <v>4</v>
      </c>
      <c r="H597" s="2" t="str">
        <f>"1"</f>
        <v>1</v>
      </c>
      <c r="I597" s="1">
        <v>230922584.63</v>
      </c>
    </row>
    <row r="598" spans="1:9" x14ac:dyDescent="0.25">
      <c r="A598" s="2">
        <v>597</v>
      </c>
      <c r="B598" s="3">
        <v>44834</v>
      </c>
      <c r="C598" s="2">
        <v>14</v>
      </c>
      <c r="D598" s="4" t="str">
        <f>"2552"</f>
        <v>2552</v>
      </c>
      <c r="E598" t="str">
        <f>"Расчеты с клиентами"</f>
        <v>Расчеты с клиентами</v>
      </c>
      <c r="F598" s="2" t="str">
        <f>"2"</f>
        <v>2</v>
      </c>
      <c r="G598" s="2" t="str">
        <f>"7"</f>
        <v>7</v>
      </c>
      <c r="H598" s="2" t="str">
        <f>"3"</f>
        <v>3</v>
      </c>
      <c r="I598" s="1">
        <v>779302.48</v>
      </c>
    </row>
    <row r="599" spans="1:9" x14ac:dyDescent="0.25">
      <c r="A599" s="2">
        <v>598</v>
      </c>
      <c r="B599" s="3">
        <v>44834</v>
      </c>
      <c r="C599" s="2">
        <v>14</v>
      </c>
      <c r="D599" s="4" t="str">
        <f>"2552"</f>
        <v>2552</v>
      </c>
      <c r="E599" t="str">
        <f>"Расчеты с клиентами"</f>
        <v>Расчеты с клиентами</v>
      </c>
      <c r="F599" s="2" t="str">
        <f>"1"</f>
        <v>1</v>
      </c>
      <c r="G599" s="2" t="str">
        <f>"7"</f>
        <v>7</v>
      </c>
      <c r="H599" s="2" t="str">
        <f>"1"</f>
        <v>1</v>
      </c>
      <c r="I599" s="1">
        <v>9272017.25</v>
      </c>
    </row>
    <row r="600" spans="1:9" x14ac:dyDescent="0.25">
      <c r="A600" s="2">
        <v>599</v>
      </c>
      <c r="B600" s="3">
        <v>44834</v>
      </c>
      <c r="C600" s="2">
        <v>14</v>
      </c>
      <c r="D600" s="4" t="str">
        <f>"2552"</f>
        <v>2552</v>
      </c>
      <c r="E600" t="str">
        <f>"Расчеты с клиентами"</f>
        <v>Расчеты с клиентами</v>
      </c>
      <c r="F600" s="2" t="str">
        <f>"1"</f>
        <v>1</v>
      </c>
      <c r="G600" s="2" t="str">
        <f>"9"</f>
        <v>9</v>
      </c>
      <c r="H600" s="2" t="str">
        <f>"2"</f>
        <v>2</v>
      </c>
      <c r="I600" s="1">
        <v>102304258.97</v>
      </c>
    </row>
    <row r="601" spans="1:9" x14ac:dyDescent="0.25">
      <c r="A601" s="2">
        <v>600</v>
      </c>
      <c r="B601" s="3">
        <v>44834</v>
      </c>
      <c r="C601" s="2">
        <v>14</v>
      </c>
      <c r="D601" s="4" t="str">
        <f>"2552"</f>
        <v>2552</v>
      </c>
      <c r="E601" t="str">
        <f>"Расчеты с клиентами"</f>
        <v>Расчеты с клиентами</v>
      </c>
      <c r="F601" s="2" t="str">
        <f>"2"</f>
        <v>2</v>
      </c>
      <c r="G601" s="2" t="str">
        <f>"7"</f>
        <v>7</v>
      </c>
      <c r="H601" s="2" t="str">
        <f>"2"</f>
        <v>2</v>
      </c>
      <c r="I601" s="1">
        <v>2497718022.9099998</v>
      </c>
    </row>
    <row r="602" spans="1:9" x14ac:dyDescent="0.25">
      <c r="A602" s="2">
        <v>601</v>
      </c>
      <c r="B602" s="3">
        <v>44834</v>
      </c>
      <c r="C602" s="2">
        <v>14</v>
      </c>
      <c r="D602" s="4" t="str">
        <f>"2552"</f>
        <v>2552</v>
      </c>
      <c r="E602" t="str">
        <f>"Расчеты с клиентами"</f>
        <v>Расчеты с клиентами</v>
      </c>
      <c r="F602" s="2" t="str">
        <f>"1"</f>
        <v>1</v>
      </c>
      <c r="G602" s="2" t="str">
        <f>"9"</f>
        <v>9</v>
      </c>
      <c r="H602" s="2" t="str">
        <f>"1"</f>
        <v>1</v>
      </c>
      <c r="I602" s="1">
        <v>16996678.5</v>
      </c>
    </row>
    <row r="603" spans="1:9" x14ac:dyDescent="0.25">
      <c r="A603" s="2">
        <v>602</v>
      </c>
      <c r="B603" s="3">
        <v>44834</v>
      </c>
      <c r="C603" s="2">
        <v>14</v>
      </c>
      <c r="D603" s="4" t="str">
        <f>"2552"</f>
        <v>2552</v>
      </c>
      <c r="E603" t="str">
        <f>"Расчеты с клиентами"</f>
        <v>Расчеты с клиентами</v>
      </c>
      <c r="F603" s="2" t="str">
        <f>"2"</f>
        <v>2</v>
      </c>
      <c r="G603" s="2" t="str">
        <f>"7"</f>
        <v>7</v>
      </c>
      <c r="H603" s="2" t="str">
        <f>"1"</f>
        <v>1</v>
      </c>
      <c r="I603" s="1">
        <v>28529406528.560001</v>
      </c>
    </row>
    <row r="604" spans="1:9" x14ac:dyDescent="0.25">
      <c r="A604" s="2">
        <v>603</v>
      </c>
      <c r="B604" s="3">
        <v>44834</v>
      </c>
      <c r="C604" s="2">
        <v>14</v>
      </c>
      <c r="D604" s="4" t="str">
        <f>"2703"</f>
        <v>2703</v>
      </c>
      <c r="E604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604" s="2" t="str">
        <f>"1"</f>
        <v>1</v>
      </c>
      <c r="G604" s="2" t="str">
        <f>"6"</f>
        <v>6</v>
      </c>
      <c r="H604" s="2" t="str">
        <f>"1"</f>
        <v>1</v>
      </c>
      <c r="I604" s="1">
        <v>81944.44</v>
      </c>
    </row>
    <row r="605" spans="1:9" x14ac:dyDescent="0.25">
      <c r="A605" s="2">
        <v>604</v>
      </c>
      <c r="B605" s="3">
        <v>44834</v>
      </c>
      <c r="C605" s="2">
        <v>14</v>
      </c>
      <c r="D605" s="4" t="str">
        <f>"2705"</f>
        <v>2705</v>
      </c>
      <c r="E605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05" s="2" t="str">
        <f>"1"</f>
        <v>1</v>
      </c>
      <c r="G605" s="2" t="str">
        <f>"4"</f>
        <v>4</v>
      </c>
      <c r="H605" s="2" t="str">
        <f>"1"</f>
        <v>1</v>
      </c>
      <c r="I605" s="1">
        <v>266448618.63</v>
      </c>
    </row>
    <row r="606" spans="1:9" x14ac:dyDescent="0.25">
      <c r="A606" s="2">
        <v>605</v>
      </c>
      <c r="B606" s="3">
        <v>44834</v>
      </c>
      <c r="C606" s="2">
        <v>14</v>
      </c>
      <c r="D606" s="4" t="str">
        <f>"2706"</f>
        <v>2706</v>
      </c>
      <c r="E606" t="str">
        <f>"Начисленные расходы по займам и финансовому лизингу"</f>
        <v>Начисленные расходы по займам и финансовому лизингу</v>
      </c>
      <c r="F606" s="2" t="str">
        <f>"1"</f>
        <v>1</v>
      </c>
      <c r="G606" s="2" t="str">
        <f>"5"</f>
        <v>5</v>
      </c>
      <c r="H606" s="2" t="str">
        <f>"1"</f>
        <v>1</v>
      </c>
      <c r="I606" s="1">
        <v>997605344.23000002</v>
      </c>
    </row>
    <row r="607" spans="1:9" x14ac:dyDescent="0.25">
      <c r="A607" s="2">
        <v>606</v>
      </c>
      <c r="B607" s="3">
        <v>44834</v>
      </c>
      <c r="C607" s="2">
        <v>14</v>
      </c>
      <c r="D607" s="4" t="str">
        <f>"2719"</f>
        <v>2719</v>
      </c>
      <c r="E607" t="str">
        <f>"Начисленные расходы по условным вкладам клиентов"</f>
        <v>Начисленные расходы по условным вкладам клиентов</v>
      </c>
      <c r="F607" s="2" t="str">
        <f>"1"</f>
        <v>1</v>
      </c>
      <c r="G607" s="2" t="str">
        <f>"7"</f>
        <v>7</v>
      </c>
      <c r="H607" s="2" t="str">
        <f>"2"</f>
        <v>2</v>
      </c>
      <c r="I607" s="1">
        <v>1907114113.02</v>
      </c>
    </row>
    <row r="608" spans="1:9" x14ac:dyDescent="0.25">
      <c r="A608" s="2">
        <v>607</v>
      </c>
      <c r="B608" s="3">
        <v>44834</v>
      </c>
      <c r="C608" s="2">
        <v>14</v>
      </c>
      <c r="D608" s="4" t="str">
        <f>"2719"</f>
        <v>2719</v>
      </c>
      <c r="E608" t="str">
        <f>"Начисленные расходы по условным вкладам клиентов"</f>
        <v>Начисленные расходы по условным вкладам клиентов</v>
      </c>
      <c r="F608" s="2" t="str">
        <f>"2"</f>
        <v>2</v>
      </c>
      <c r="G608" s="2" t="str">
        <f>"7"</f>
        <v>7</v>
      </c>
      <c r="H608" s="2" t="str">
        <f>"3"</f>
        <v>3</v>
      </c>
      <c r="I608" s="1">
        <v>117666.83</v>
      </c>
    </row>
    <row r="609" spans="1:9" x14ac:dyDescent="0.25">
      <c r="A609" s="2">
        <v>608</v>
      </c>
      <c r="B609" s="3">
        <v>44834</v>
      </c>
      <c r="C609" s="2">
        <v>14</v>
      </c>
      <c r="D609" s="4" t="str">
        <f>"2719"</f>
        <v>2719</v>
      </c>
      <c r="E609" t="str">
        <f>"Начисленные расходы по условным вкладам клиентов"</f>
        <v>Начисленные расходы по условным вкладам клиентов</v>
      </c>
      <c r="F609" s="2" t="str">
        <f>"2"</f>
        <v>2</v>
      </c>
      <c r="G609" s="2" t="str">
        <f>"9"</f>
        <v>9</v>
      </c>
      <c r="H609" s="2" t="str">
        <f>"1"</f>
        <v>1</v>
      </c>
      <c r="I609" s="1">
        <v>123617.13</v>
      </c>
    </row>
    <row r="610" spans="1:9" x14ac:dyDescent="0.25">
      <c r="A610" s="2">
        <v>609</v>
      </c>
      <c r="B610" s="3">
        <v>44834</v>
      </c>
      <c r="C610" s="2">
        <v>14</v>
      </c>
      <c r="D610" s="4" t="str">
        <f>"2719"</f>
        <v>2719</v>
      </c>
      <c r="E610" t="str">
        <f>"Начисленные расходы по условным вкладам клиентов"</f>
        <v>Начисленные расходы по условным вкладам клиентов</v>
      </c>
      <c r="F610" s="2" t="str">
        <f>"1"</f>
        <v>1</v>
      </c>
      <c r="G610" s="2" t="str">
        <f>"5"</f>
        <v>5</v>
      </c>
      <c r="H610" s="2" t="str">
        <f>"1"</f>
        <v>1</v>
      </c>
      <c r="I610" s="1">
        <v>476.88</v>
      </c>
    </row>
    <row r="611" spans="1:9" x14ac:dyDescent="0.25">
      <c r="A611" s="2">
        <v>610</v>
      </c>
      <c r="B611" s="3">
        <v>44834</v>
      </c>
      <c r="C611" s="2">
        <v>14</v>
      </c>
      <c r="D611" s="4" t="str">
        <f>"2719"</f>
        <v>2719</v>
      </c>
      <c r="E611" t="str">
        <f>"Начисленные расходы по условным вкладам клиентов"</f>
        <v>Начисленные расходы по условным вкладам клиентов</v>
      </c>
      <c r="F611" s="2" t="str">
        <f>"2"</f>
        <v>2</v>
      </c>
      <c r="G611" s="2" t="str">
        <f>"7"</f>
        <v>7</v>
      </c>
      <c r="H611" s="2" t="str">
        <f>"1"</f>
        <v>1</v>
      </c>
      <c r="I611" s="1">
        <v>24226007.77</v>
      </c>
    </row>
    <row r="612" spans="1:9" x14ac:dyDescent="0.25">
      <c r="A612" s="2">
        <v>611</v>
      </c>
      <c r="B612" s="3">
        <v>44834</v>
      </c>
      <c r="C612" s="2">
        <v>14</v>
      </c>
      <c r="D612" s="4" t="str">
        <f>"2719"</f>
        <v>2719</v>
      </c>
      <c r="E612" t="str">
        <f>"Начисленные расходы по условным вкладам клиентов"</f>
        <v>Начисленные расходы по условным вкладам клиентов</v>
      </c>
      <c r="F612" s="2" t="str">
        <f>"2"</f>
        <v>2</v>
      </c>
      <c r="G612" s="2" t="str">
        <f>"7"</f>
        <v>7</v>
      </c>
      <c r="H612" s="2" t="str">
        <f>"2"</f>
        <v>2</v>
      </c>
      <c r="I612" s="1">
        <v>4205187.62</v>
      </c>
    </row>
    <row r="613" spans="1:9" x14ac:dyDescent="0.25">
      <c r="A613" s="2">
        <v>612</v>
      </c>
      <c r="B613" s="3">
        <v>44834</v>
      </c>
      <c r="C613" s="2">
        <v>14</v>
      </c>
      <c r="D613" s="4" t="str">
        <f>"2719"</f>
        <v>2719</v>
      </c>
      <c r="E613" t="str">
        <f>"Начисленные расходы по условным вкладам клиентов"</f>
        <v>Начисленные расходы по условным вкладам клиентов</v>
      </c>
      <c r="F613" s="2" t="str">
        <f>"1"</f>
        <v>1</v>
      </c>
      <c r="G613" s="2" t="str">
        <f>"7"</f>
        <v>7</v>
      </c>
      <c r="H613" s="2" t="str">
        <f>"1"</f>
        <v>1</v>
      </c>
      <c r="I613" s="1">
        <v>426645457</v>
      </c>
    </row>
    <row r="614" spans="1:9" x14ac:dyDescent="0.25">
      <c r="A614" s="2">
        <v>613</v>
      </c>
      <c r="B614" s="3">
        <v>44834</v>
      </c>
      <c r="C614" s="2">
        <v>14</v>
      </c>
      <c r="D614" s="4" t="str">
        <f>"2719"</f>
        <v>2719</v>
      </c>
      <c r="E614" t="str">
        <f>"Начисленные расходы по условным вкладам клиентов"</f>
        <v>Начисленные расходы по условным вкладам клиентов</v>
      </c>
      <c r="F614" s="2" t="str">
        <f>"1"</f>
        <v>1</v>
      </c>
      <c r="G614" s="2" t="str">
        <f>"9"</f>
        <v>9</v>
      </c>
      <c r="H614" s="2" t="str">
        <f>"2"</f>
        <v>2</v>
      </c>
      <c r="I614" s="1">
        <v>57858.29</v>
      </c>
    </row>
    <row r="615" spans="1:9" x14ac:dyDescent="0.25">
      <c r="A615" s="2">
        <v>614</v>
      </c>
      <c r="B615" s="3">
        <v>44834</v>
      </c>
      <c r="C615" s="2">
        <v>14</v>
      </c>
      <c r="D615" s="4" t="str">
        <f>"2719"</f>
        <v>2719</v>
      </c>
      <c r="E615" t="str">
        <f>"Начисленные расходы по условным вкладам клиентов"</f>
        <v>Начисленные расходы по условным вкладам клиентов</v>
      </c>
      <c r="F615" s="2" t="str">
        <f>"1"</f>
        <v>1</v>
      </c>
      <c r="G615" s="2" t="str">
        <f>"6"</f>
        <v>6</v>
      </c>
      <c r="H615" s="2" t="str">
        <f>"1"</f>
        <v>1</v>
      </c>
      <c r="I615" s="1">
        <v>157398.9</v>
      </c>
    </row>
    <row r="616" spans="1:9" x14ac:dyDescent="0.25">
      <c r="A616" s="2">
        <v>615</v>
      </c>
      <c r="B616" s="3">
        <v>44834</v>
      </c>
      <c r="C616" s="2">
        <v>14</v>
      </c>
      <c r="D616" s="4" t="str">
        <f>"2719"</f>
        <v>2719</v>
      </c>
      <c r="E616" t="str">
        <f>"Начисленные расходы по условным вкладам клиентов"</f>
        <v>Начисленные расходы по условным вкладам клиентов</v>
      </c>
      <c r="F616" s="2" t="str">
        <f>"1"</f>
        <v>1</v>
      </c>
      <c r="G616" s="2" t="str">
        <f>"8"</f>
        <v>8</v>
      </c>
      <c r="H616" s="2" t="str">
        <f>"1"</f>
        <v>1</v>
      </c>
      <c r="I616" s="1">
        <v>246957.59</v>
      </c>
    </row>
    <row r="617" spans="1:9" x14ac:dyDescent="0.25">
      <c r="A617" s="2">
        <v>616</v>
      </c>
      <c r="B617" s="3">
        <v>44834</v>
      </c>
      <c r="C617" s="2">
        <v>14</v>
      </c>
      <c r="D617" s="4" t="str">
        <f>"2719"</f>
        <v>2719</v>
      </c>
      <c r="E617" t="str">
        <f>"Начисленные расходы по условным вкладам клиентов"</f>
        <v>Начисленные расходы по условным вкладам клиентов</v>
      </c>
      <c r="F617" s="2" t="str">
        <f>"1"</f>
        <v>1</v>
      </c>
      <c r="G617" s="2" t="str">
        <f>"9"</f>
        <v>9</v>
      </c>
      <c r="H617" s="2" t="str">
        <f>"1"</f>
        <v>1</v>
      </c>
      <c r="I617" s="1">
        <v>13535444.140000001</v>
      </c>
    </row>
    <row r="618" spans="1:9" x14ac:dyDescent="0.25">
      <c r="A618" s="2">
        <v>617</v>
      </c>
      <c r="B618" s="3">
        <v>44834</v>
      </c>
      <c r="C618" s="2">
        <v>14</v>
      </c>
      <c r="D618" s="4" t="str">
        <f>"2721"</f>
        <v>2721</v>
      </c>
      <c r="E618" t="str">
        <f>"Начисленные расходы по срочным вкладам клиентов"</f>
        <v>Начисленные расходы по срочным вкладам клиентов</v>
      </c>
      <c r="F618" s="2" t="str">
        <f>"2"</f>
        <v>2</v>
      </c>
      <c r="G618" s="2" t="str">
        <f>"5"</f>
        <v>5</v>
      </c>
      <c r="H618" s="2" t="str">
        <f>"2"</f>
        <v>2</v>
      </c>
      <c r="I618" s="1">
        <v>92691.49</v>
      </c>
    </row>
    <row r="619" spans="1:9" x14ac:dyDescent="0.25">
      <c r="A619" s="2">
        <v>618</v>
      </c>
      <c r="B619" s="3">
        <v>44834</v>
      </c>
      <c r="C619" s="2">
        <v>14</v>
      </c>
      <c r="D619" s="4" t="str">
        <f>"2721"</f>
        <v>2721</v>
      </c>
      <c r="E619" t="str">
        <f>"Начисленные расходы по срочным вкладам клиентов"</f>
        <v>Начисленные расходы по срочным вкладам клиентов</v>
      </c>
      <c r="F619" s="2" t="str">
        <f>"2"</f>
        <v>2</v>
      </c>
      <c r="G619" s="2" t="str">
        <f>"9"</f>
        <v>9</v>
      </c>
      <c r="H619" s="2" t="str">
        <f>"2"</f>
        <v>2</v>
      </c>
      <c r="I619" s="1">
        <v>8265697.9500000002</v>
      </c>
    </row>
    <row r="620" spans="1:9" x14ac:dyDescent="0.25">
      <c r="A620" s="2">
        <v>619</v>
      </c>
      <c r="B620" s="3">
        <v>44834</v>
      </c>
      <c r="C620" s="2">
        <v>14</v>
      </c>
      <c r="D620" s="4" t="str">
        <f>"2721"</f>
        <v>2721</v>
      </c>
      <c r="E620" t="str">
        <f>"Начисленные расходы по срочным вкладам клиентов"</f>
        <v>Начисленные расходы по срочным вкладам клиентов</v>
      </c>
      <c r="F620" s="2" t="str">
        <f>"1"</f>
        <v>1</v>
      </c>
      <c r="G620" s="2" t="str">
        <f>"8"</f>
        <v>8</v>
      </c>
      <c r="H620" s="2" t="str">
        <f>"2"</f>
        <v>2</v>
      </c>
      <c r="I620" s="1">
        <v>280286292.52999997</v>
      </c>
    </row>
    <row r="621" spans="1:9" x14ac:dyDescent="0.25">
      <c r="A621" s="2">
        <v>620</v>
      </c>
      <c r="B621" s="3">
        <v>44834</v>
      </c>
      <c r="C621" s="2">
        <v>14</v>
      </c>
      <c r="D621" s="4" t="str">
        <f>"2721"</f>
        <v>2721</v>
      </c>
      <c r="E621" t="str">
        <f>"Начисленные расходы по срочным вкладам клиентов"</f>
        <v>Начисленные расходы по срочным вкладам клиентов</v>
      </c>
      <c r="F621" s="2" t="str">
        <f>"2"</f>
        <v>2</v>
      </c>
      <c r="G621" s="2" t="str">
        <f>"7"</f>
        <v>7</v>
      </c>
      <c r="H621" s="2" t="str">
        <f>"1"</f>
        <v>1</v>
      </c>
      <c r="I621" s="1">
        <v>1469622.7</v>
      </c>
    </row>
    <row r="622" spans="1:9" x14ac:dyDescent="0.25">
      <c r="A622" s="2">
        <v>621</v>
      </c>
      <c r="B622" s="3">
        <v>44834</v>
      </c>
      <c r="C622" s="2">
        <v>14</v>
      </c>
      <c r="D622" s="4" t="str">
        <f>"2721"</f>
        <v>2721</v>
      </c>
      <c r="E622" t="str">
        <f>"Начисленные расходы по срочным вкладам клиентов"</f>
        <v>Начисленные расходы по срочным вкладам клиентов</v>
      </c>
      <c r="F622" s="2" t="str">
        <f>"2"</f>
        <v>2</v>
      </c>
      <c r="G622" s="2" t="str">
        <f>"9"</f>
        <v>9</v>
      </c>
      <c r="H622" s="2" t="str">
        <f>"3"</f>
        <v>3</v>
      </c>
      <c r="I622" s="1">
        <v>1.0900000000000001</v>
      </c>
    </row>
    <row r="623" spans="1:9" x14ac:dyDescent="0.25">
      <c r="A623" s="2">
        <v>622</v>
      </c>
      <c r="B623" s="3">
        <v>44834</v>
      </c>
      <c r="C623" s="2">
        <v>14</v>
      </c>
      <c r="D623" s="4" t="str">
        <f>"2721"</f>
        <v>2721</v>
      </c>
      <c r="E623" t="str">
        <f>"Начисленные расходы по срочным вкладам клиентов"</f>
        <v>Начисленные расходы по срочным вкладам клиентов</v>
      </c>
      <c r="F623" s="2" t="str">
        <f>"1"</f>
        <v>1</v>
      </c>
      <c r="G623" s="2" t="str">
        <f>"6"</f>
        <v>6</v>
      </c>
      <c r="H623" s="2" t="str">
        <f>"2"</f>
        <v>2</v>
      </c>
      <c r="I623" s="1">
        <v>270544542.42000002</v>
      </c>
    </row>
    <row r="624" spans="1:9" x14ac:dyDescent="0.25">
      <c r="A624" s="2">
        <v>623</v>
      </c>
      <c r="B624" s="3">
        <v>44834</v>
      </c>
      <c r="C624" s="2">
        <v>14</v>
      </c>
      <c r="D624" s="4" t="str">
        <f>"2721"</f>
        <v>2721</v>
      </c>
      <c r="E624" t="str">
        <f>"Начисленные расходы по срочным вкладам клиентов"</f>
        <v>Начисленные расходы по срочным вкладам клиентов</v>
      </c>
      <c r="F624" s="2" t="str">
        <f>"1"</f>
        <v>1</v>
      </c>
      <c r="G624" s="2" t="str">
        <f>"1"</f>
        <v>1</v>
      </c>
      <c r="H624" s="2" t="str">
        <f>"1"</f>
        <v>1</v>
      </c>
      <c r="I624" s="1">
        <v>222222.22</v>
      </c>
    </row>
    <row r="625" spans="1:9" x14ac:dyDescent="0.25">
      <c r="A625" s="2">
        <v>624</v>
      </c>
      <c r="B625" s="3">
        <v>44834</v>
      </c>
      <c r="C625" s="2">
        <v>14</v>
      </c>
      <c r="D625" s="4" t="str">
        <f>"2721"</f>
        <v>2721</v>
      </c>
      <c r="E625" t="str">
        <f>"Начисленные расходы по срочным вкладам клиентов"</f>
        <v>Начисленные расходы по срочным вкладам клиентов</v>
      </c>
      <c r="F625" s="2" t="str">
        <f>"2"</f>
        <v>2</v>
      </c>
      <c r="G625" s="2" t="str">
        <f>"9"</f>
        <v>9</v>
      </c>
      <c r="H625" s="2" t="str">
        <f>"1"</f>
        <v>1</v>
      </c>
      <c r="I625" s="1">
        <v>27431746.489999998</v>
      </c>
    </row>
    <row r="626" spans="1:9" x14ac:dyDescent="0.25">
      <c r="A626" s="2">
        <v>625</v>
      </c>
      <c r="B626" s="3">
        <v>44834</v>
      </c>
      <c r="C626" s="2">
        <v>14</v>
      </c>
      <c r="D626" s="4" t="str">
        <f>"2721"</f>
        <v>2721</v>
      </c>
      <c r="E626" t="str">
        <f>"Начисленные расходы по срочным вкладам клиентов"</f>
        <v>Начисленные расходы по срочным вкладам клиентов</v>
      </c>
      <c r="F626" s="2" t="str">
        <f>"1"</f>
        <v>1</v>
      </c>
      <c r="G626" s="2" t="str">
        <f>"9"</f>
        <v>9</v>
      </c>
      <c r="H626" s="2" t="str">
        <f>"2"</f>
        <v>2</v>
      </c>
      <c r="I626" s="1">
        <v>650673606.78999996</v>
      </c>
    </row>
    <row r="627" spans="1:9" x14ac:dyDescent="0.25">
      <c r="A627" s="2">
        <v>626</v>
      </c>
      <c r="B627" s="3">
        <v>44834</v>
      </c>
      <c r="C627" s="2">
        <v>14</v>
      </c>
      <c r="D627" s="4" t="str">
        <f>"2721"</f>
        <v>2721</v>
      </c>
      <c r="E627" t="str">
        <f>"Начисленные расходы по срочным вкладам клиентов"</f>
        <v>Начисленные расходы по срочным вкладам клиентов</v>
      </c>
      <c r="F627" s="2" t="str">
        <f>"1"</f>
        <v>1</v>
      </c>
      <c r="G627" s="2" t="str">
        <f>"5"</f>
        <v>5</v>
      </c>
      <c r="H627" s="2" t="str">
        <f>"2"</f>
        <v>2</v>
      </c>
      <c r="I627" s="1">
        <v>29913709.809999999</v>
      </c>
    </row>
    <row r="628" spans="1:9" x14ac:dyDescent="0.25">
      <c r="A628" s="2">
        <v>627</v>
      </c>
      <c r="B628" s="3">
        <v>44834</v>
      </c>
      <c r="C628" s="2">
        <v>14</v>
      </c>
      <c r="D628" s="4" t="str">
        <f>"2721"</f>
        <v>2721</v>
      </c>
      <c r="E628" t="str">
        <f>"Начисленные расходы по срочным вкладам клиентов"</f>
        <v>Начисленные расходы по срочным вкладам клиентов</v>
      </c>
      <c r="F628" s="2" t="str">
        <f>"1"</f>
        <v>1</v>
      </c>
      <c r="G628" s="2" t="str">
        <f>"9"</f>
        <v>9</v>
      </c>
      <c r="H628" s="2" t="str">
        <f>"1"</f>
        <v>1</v>
      </c>
      <c r="I628" s="1">
        <v>7050684018.8599997</v>
      </c>
    </row>
    <row r="629" spans="1:9" x14ac:dyDescent="0.25">
      <c r="A629" s="2">
        <v>628</v>
      </c>
      <c r="B629" s="3">
        <v>44834</v>
      </c>
      <c r="C629" s="2">
        <v>14</v>
      </c>
      <c r="D629" s="4" t="str">
        <f>"2721"</f>
        <v>2721</v>
      </c>
      <c r="E629" t="str">
        <f>"Начисленные расходы по срочным вкладам клиентов"</f>
        <v>Начисленные расходы по срочным вкладам клиентов</v>
      </c>
      <c r="F629" s="2" t="str">
        <f>"2"</f>
        <v>2</v>
      </c>
      <c r="G629" s="2" t="str">
        <f>"7"</f>
        <v>7</v>
      </c>
      <c r="H629" s="2" t="str">
        <f>"2"</f>
        <v>2</v>
      </c>
      <c r="I629" s="1">
        <v>2213121.41</v>
      </c>
    </row>
    <row r="630" spans="1:9" x14ac:dyDescent="0.25">
      <c r="A630" s="2">
        <v>629</v>
      </c>
      <c r="B630" s="3">
        <v>44834</v>
      </c>
      <c r="C630" s="2">
        <v>14</v>
      </c>
      <c r="D630" s="4" t="str">
        <f>"2721"</f>
        <v>2721</v>
      </c>
      <c r="E630" t="str">
        <f>"Начисленные расходы по срочным вкладам клиентов"</f>
        <v>Начисленные расходы по срочным вкладам клиентов</v>
      </c>
      <c r="F630" s="2" t="str">
        <f>"1"</f>
        <v>1</v>
      </c>
      <c r="G630" s="2" t="str">
        <f>"7"</f>
        <v>7</v>
      </c>
      <c r="H630" s="2" t="str">
        <f>"1"</f>
        <v>1</v>
      </c>
      <c r="I630" s="1">
        <v>962865585.61000001</v>
      </c>
    </row>
    <row r="631" spans="1:9" x14ac:dyDescent="0.25">
      <c r="A631" s="2">
        <v>630</v>
      </c>
      <c r="B631" s="3">
        <v>44834</v>
      </c>
      <c r="C631" s="2">
        <v>14</v>
      </c>
      <c r="D631" s="4" t="str">
        <f>"2721"</f>
        <v>2721</v>
      </c>
      <c r="E631" t="str">
        <f>"Начисленные расходы по срочным вкладам клиентов"</f>
        <v>Начисленные расходы по срочным вкладам клиентов</v>
      </c>
      <c r="F631" s="2" t="str">
        <f>"1"</f>
        <v>1</v>
      </c>
      <c r="G631" s="2" t="str">
        <f>"8"</f>
        <v>8</v>
      </c>
      <c r="H631" s="2" t="str">
        <f>"1"</f>
        <v>1</v>
      </c>
      <c r="I631" s="1">
        <v>64377755.630000003</v>
      </c>
    </row>
    <row r="632" spans="1:9" x14ac:dyDescent="0.25">
      <c r="A632" s="2">
        <v>631</v>
      </c>
      <c r="B632" s="3">
        <v>44834</v>
      </c>
      <c r="C632" s="2">
        <v>14</v>
      </c>
      <c r="D632" s="4" t="str">
        <f>"2721"</f>
        <v>2721</v>
      </c>
      <c r="E632" t="str">
        <f>"Начисленные расходы по срочным вкладам клиентов"</f>
        <v>Начисленные расходы по срочным вкладам клиентов</v>
      </c>
      <c r="F632" s="2" t="str">
        <f>"1"</f>
        <v>1</v>
      </c>
      <c r="G632" s="2" t="str">
        <f>"6"</f>
        <v>6</v>
      </c>
      <c r="H632" s="2" t="str">
        <f>"1"</f>
        <v>1</v>
      </c>
      <c r="I632" s="1">
        <v>469837013.94999999</v>
      </c>
    </row>
    <row r="633" spans="1:9" x14ac:dyDescent="0.25">
      <c r="A633" s="2">
        <v>632</v>
      </c>
      <c r="B633" s="3">
        <v>44834</v>
      </c>
      <c r="C633" s="2">
        <v>14</v>
      </c>
      <c r="D633" s="4" t="str">
        <f>"2721"</f>
        <v>2721</v>
      </c>
      <c r="E633" t="str">
        <f>"Начисленные расходы по срочным вкладам клиентов"</f>
        <v>Начисленные расходы по срочным вкладам клиентов</v>
      </c>
      <c r="F633" s="2" t="str">
        <f>"1"</f>
        <v>1</v>
      </c>
      <c r="G633" s="2" t="str">
        <f>"9"</f>
        <v>9</v>
      </c>
      <c r="H633" s="2" t="str">
        <f>"3"</f>
        <v>3</v>
      </c>
      <c r="I633" s="1">
        <v>174.22</v>
      </c>
    </row>
    <row r="634" spans="1:9" x14ac:dyDescent="0.25">
      <c r="A634" s="2">
        <v>633</v>
      </c>
      <c r="B634" s="3">
        <v>44834</v>
      </c>
      <c r="C634" s="2">
        <v>14</v>
      </c>
      <c r="D634" s="4" t="str">
        <f>"2721"</f>
        <v>2721</v>
      </c>
      <c r="E634" t="str">
        <f>"Начисленные расходы по срочным вкладам клиентов"</f>
        <v>Начисленные расходы по срочным вкладам клиентов</v>
      </c>
      <c r="F634" s="2" t="str">
        <f>"1"</f>
        <v>1</v>
      </c>
      <c r="G634" s="2" t="str">
        <f>"7"</f>
        <v>7</v>
      </c>
      <c r="H634" s="2" t="str">
        <f>"2"</f>
        <v>2</v>
      </c>
      <c r="I634" s="1">
        <v>1058591154.6900001</v>
      </c>
    </row>
    <row r="635" spans="1:9" x14ac:dyDescent="0.25">
      <c r="A635" s="2">
        <v>634</v>
      </c>
      <c r="B635" s="3">
        <v>44834</v>
      </c>
      <c r="C635" s="2">
        <v>14</v>
      </c>
      <c r="D635" s="4" t="str">
        <f>"2721"</f>
        <v>2721</v>
      </c>
      <c r="E635" t="str">
        <f>"Начисленные расходы по срочным вкладам клиентов"</f>
        <v>Начисленные расходы по срочным вкладам клиентов</v>
      </c>
      <c r="F635" s="2" t="str">
        <f>"1"</f>
        <v>1</v>
      </c>
      <c r="G635" s="2" t="str">
        <f>"5"</f>
        <v>5</v>
      </c>
      <c r="H635" s="2" t="str">
        <f>"1"</f>
        <v>1</v>
      </c>
      <c r="I635" s="1">
        <v>960325903.75999999</v>
      </c>
    </row>
    <row r="636" spans="1:9" x14ac:dyDescent="0.25">
      <c r="A636" s="2">
        <v>635</v>
      </c>
      <c r="B636" s="3">
        <v>44834</v>
      </c>
      <c r="C636" s="2">
        <v>14</v>
      </c>
      <c r="D636" s="4" t="str">
        <f>"2723"</f>
        <v>2723</v>
      </c>
      <c r="E63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36" s="2" t="str">
        <f>"1"</f>
        <v>1</v>
      </c>
      <c r="G636" s="2" t="str">
        <f>"7"</f>
        <v>7</v>
      </c>
      <c r="H636" s="2" t="str">
        <f>"2"</f>
        <v>2</v>
      </c>
      <c r="I636" s="1">
        <v>1355944.4</v>
      </c>
    </row>
    <row r="637" spans="1:9" x14ac:dyDescent="0.25">
      <c r="A637" s="2">
        <v>636</v>
      </c>
      <c r="B637" s="3">
        <v>44834</v>
      </c>
      <c r="C637" s="2">
        <v>14</v>
      </c>
      <c r="D637" s="4" t="str">
        <f>"2723"</f>
        <v>2723</v>
      </c>
      <c r="E63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37" s="2" t="str">
        <f>"2"</f>
        <v>2</v>
      </c>
      <c r="G637" s="2" t="str">
        <f>"9"</f>
        <v>9</v>
      </c>
      <c r="H637" s="2" t="str">
        <f>"1"</f>
        <v>1</v>
      </c>
      <c r="I637" s="1">
        <v>4972.18</v>
      </c>
    </row>
    <row r="638" spans="1:9" x14ac:dyDescent="0.25">
      <c r="A638" s="2">
        <v>637</v>
      </c>
      <c r="B638" s="3">
        <v>44834</v>
      </c>
      <c r="C638" s="2">
        <v>14</v>
      </c>
      <c r="D638" s="4" t="str">
        <f>"2723"</f>
        <v>2723</v>
      </c>
      <c r="E63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38" s="2" t="str">
        <f>"2"</f>
        <v>2</v>
      </c>
      <c r="G638" s="2" t="str">
        <f>"9"</f>
        <v>9</v>
      </c>
      <c r="H638" s="2" t="str">
        <f>"2"</f>
        <v>2</v>
      </c>
      <c r="I638" s="1">
        <v>7203.09</v>
      </c>
    </row>
    <row r="639" spans="1:9" x14ac:dyDescent="0.25">
      <c r="A639" s="2">
        <v>638</v>
      </c>
      <c r="B639" s="3">
        <v>44834</v>
      </c>
      <c r="C639" s="2">
        <v>14</v>
      </c>
      <c r="D639" s="4" t="str">
        <f>"2723"</f>
        <v>2723</v>
      </c>
      <c r="E63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39" s="2" t="str">
        <f>"1"</f>
        <v>1</v>
      </c>
      <c r="G639" s="2" t="str">
        <f>"7"</f>
        <v>7</v>
      </c>
      <c r="H639" s="2" t="str">
        <f>"1"</f>
        <v>1</v>
      </c>
      <c r="I639" s="1">
        <v>58718484.5</v>
      </c>
    </row>
    <row r="640" spans="1:9" x14ac:dyDescent="0.25">
      <c r="A640" s="2">
        <v>639</v>
      </c>
      <c r="B640" s="3">
        <v>44834</v>
      </c>
      <c r="C640" s="2">
        <v>14</v>
      </c>
      <c r="D640" s="4" t="str">
        <f>"2723"</f>
        <v>2723</v>
      </c>
      <c r="E64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40" s="2" t="str">
        <f>"1"</f>
        <v>1</v>
      </c>
      <c r="G640" s="2" t="str">
        <f>"9"</f>
        <v>9</v>
      </c>
      <c r="H640" s="2" t="str">
        <f>"1"</f>
        <v>1</v>
      </c>
      <c r="I640" s="1">
        <v>65553650.609999999</v>
      </c>
    </row>
    <row r="641" spans="1:9" x14ac:dyDescent="0.25">
      <c r="A641" s="2">
        <v>640</v>
      </c>
      <c r="B641" s="3">
        <v>44834</v>
      </c>
      <c r="C641" s="2">
        <v>14</v>
      </c>
      <c r="D641" s="4" t="str">
        <f>"2723"</f>
        <v>2723</v>
      </c>
      <c r="E64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41" s="2" t="str">
        <f>"1"</f>
        <v>1</v>
      </c>
      <c r="G641" s="2" t="str">
        <f>"5"</f>
        <v>5</v>
      </c>
      <c r="H641" s="2" t="str">
        <f>"1"</f>
        <v>1</v>
      </c>
      <c r="I641" s="1">
        <v>74100</v>
      </c>
    </row>
    <row r="642" spans="1:9" x14ac:dyDescent="0.25">
      <c r="A642" s="2">
        <v>641</v>
      </c>
      <c r="B642" s="3">
        <v>44834</v>
      </c>
      <c r="C642" s="2">
        <v>14</v>
      </c>
      <c r="D642" s="4" t="str">
        <f>"2723"</f>
        <v>2723</v>
      </c>
      <c r="E64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42" s="2" t="str">
        <f>"1"</f>
        <v>1</v>
      </c>
      <c r="G642" s="2" t="str">
        <f>"9"</f>
        <v>9</v>
      </c>
      <c r="H642" s="2" t="str">
        <f>"2"</f>
        <v>2</v>
      </c>
      <c r="I642" s="1">
        <v>47743989.049999997</v>
      </c>
    </row>
    <row r="643" spans="1:9" x14ac:dyDescent="0.25">
      <c r="A643" s="2">
        <v>642</v>
      </c>
      <c r="B643" s="3">
        <v>44834</v>
      </c>
      <c r="C643" s="2">
        <v>14</v>
      </c>
      <c r="D643" s="4" t="str">
        <f>"2724"</f>
        <v>2724</v>
      </c>
      <c r="E643" t="str">
        <f>"Начисленные расходы по сберегательным вкладам клиентов"</f>
        <v>Начисленные расходы по сберегательным вкладам клиентов</v>
      </c>
      <c r="F643" s="2" t="str">
        <f>"2"</f>
        <v>2</v>
      </c>
      <c r="G643" s="2" t="str">
        <f>"9"</f>
        <v>9</v>
      </c>
      <c r="H643" s="2" t="str">
        <f>"1"</f>
        <v>1</v>
      </c>
      <c r="I643" s="1">
        <v>9524290.6799999997</v>
      </c>
    </row>
    <row r="644" spans="1:9" x14ac:dyDescent="0.25">
      <c r="A644" s="2">
        <v>643</v>
      </c>
      <c r="B644" s="3">
        <v>44834</v>
      </c>
      <c r="C644" s="2">
        <v>14</v>
      </c>
      <c r="D644" s="4" t="str">
        <f>"2724"</f>
        <v>2724</v>
      </c>
      <c r="E644" t="str">
        <f>"Начисленные расходы по сберегательным вкладам клиентов"</f>
        <v>Начисленные расходы по сберегательным вкладам клиентов</v>
      </c>
      <c r="F644" s="2" t="str">
        <f>"1"</f>
        <v>1</v>
      </c>
      <c r="G644" s="2" t="str">
        <f>"9"</f>
        <v>9</v>
      </c>
      <c r="H644" s="2" t="str">
        <f>"1"</f>
        <v>1</v>
      </c>
      <c r="I644" s="1">
        <v>2348941565</v>
      </c>
    </row>
    <row r="645" spans="1:9" x14ac:dyDescent="0.25">
      <c r="A645" s="2">
        <v>644</v>
      </c>
      <c r="B645" s="3">
        <v>44834</v>
      </c>
      <c r="C645" s="2">
        <v>14</v>
      </c>
      <c r="D645" s="4" t="str">
        <f>"2724"</f>
        <v>2724</v>
      </c>
      <c r="E645" t="str">
        <f>"Начисленные расходы по сберегательным вкладам клиентов"</f>
        <v>Начисленные расходы по сберегательным вкладам клиентов</v>
      </c>
      <c r="F645" s="2" t="str">
        <f>"1"</f>
        <v>1</v>
      </c>
      <c r="G645" s="2" t="str">
        <f>"9"</f>
        <v>9</v>
      </c>
      <c r="H645" s="2" t="str">
        <f>"2"</f>
        <v>2</v>
      </c>
      <c r="I645" s="1">
        <v>10719572.800000001</v>
      </c>
    </row>
    <row r="646" spans="1:9" x14ac:dyDescent="0.25">
      <c r="A646" s="2">
        <v>645</v>
      </c>
      <c r="B646" s="3">
        <v>44834</v>
      </c>
      <c r="C646" s="2">
        <v>14</v>
      </c>
      <c r="D646" s="4" t="str">
        <f>"2724"</f>
        <v>2724</v>
      </c>
      <c r="E646" t="str">
        <f>"Начисленные расходы по сберегательным вкладам клиентов"</f>
        <v>Начисленные расходы по сберегательным вкладам клиентов</v>
      </c>
      <c r="F646" s="2" t="str">
        <f>"2"</f>
        <v>2</v>
      </c>
      <c r="G646" s="2" t="str">
        <f>"9"</f>
        <v>9</v>
      </c>
      <c r="H646" s="2" t="str">
        <f>"2"</f>
        <v>2</v>
      </c>
      <c r="I646" s="1">
        <v>47728.21</v>
      </c>
    </row>
    <row r="647" spans="1:9" x14ac:dyDescent="0.25">
      <c r="A647" s="2">
        <v>646</v>
      </c>
      <c r="B647" s="3">
        <v>44834</v>
      </c>
      <c r="C647" s="2">
        <v>14</v>
      </c>
      <c r="D647" s="4" t="str">
        <f>"2725"</f>
        <v>2725</v>
      </c>
      <c r="E64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647" s="2" t="str">
        <f>"1"</f>
        <v>1</v>
      </c>
      <c r="G647" s="2" t="str">
        <f>"5"</f>
        <v>5</v>
      </c>
      <c r="H647" s="2" t="str">
        <f>"1"</f>
        <v>1</v>
      </c>
      <c r="I647" s="1">
        <v>587861727.26999998</v>
      </c>
    </row>
    <row r="648" spans="1:9" x14ac:dyDescent="0.25">
      <c r="A648" s="2">
        <v>647</v>
      </c>
      <c r="B648" s="3">
        <v>44834</v>
      </c>
      <c r="C648" s="2">
        <v>14</v>
      </c>
      <c r="D648" s="4" t="str">
        <f>"2727"</f>
        <v>2727</v>
      </c>
      <c r="E648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648" s="2" t="str">
        <f>"2"</f>
        <v>2</v>
      </c>
      <c r="G648" s="2" t="str">
        <f>"4"</f>
        <v>4</v>
      </c>
      <c r="H648" s="2" t="str">
        <f>"3"</f>
        <v>3</v>
      </c>
      <c r="I648" s="1">
        <v>1904079374.8399999</v>
      </c>
    </row>
    <row r="649" spans="1:9" x14ac:dyDescent="0.25">
      <c r="A649" s="2">
        <v>648</v>
      </c>
      <c r="B649" s="3">
        <v>44834</v>
      </c>
      <c r="C649" s="2">
        <v>14</v>
      </c>
      <c r="D649" s="4" t="str">
        <f>"2730"</f>
        <v>2730</v>
      </c>
      <c r="E649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649" s="2" t="str">
        <f>"1"</f>
        <v>1</v>
      </c>
      <c r="G649" s="2" t="str">
        <f>"5"</f>
        <v>5</v>
      </c>
      <c r="H649" s="2" t="str">
        <f>"2"</f>
        <v>2</v>
      </c>
      <c r="I649" s="1">
        <v>1395303693.53</v>
      </c>
    </row>
    <row r="650" spans="1:9" x14ac:dyDescent="0.25">
      <c r="A650" s="2">
        <v>649</v>
      </c>
      <c r="B650" s="3">
        <v>44834</v>
      </c>
      <c r="C650" s="2">
        <v>14</v>
      </c>
      <c r="D650" s="4" t="str">
        <f>"2730"</f>
        <v>2730</v>
      </c>
      <c r="E650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650" s="2" t="str">
        <f>"1"</f>
        <v>1</v>
      </c>
      <c r="G650" s="2" t="str">
        <f>"5"</f>
        <v>5</v>
      </c>
      <c r="H650" s="2" t="str">
        <f>"1"</f>
        <v>1</v>
      </c>
      <c r="I650" s="1">
        <v>4066517500</v>
      </c>
    </row>
    <row r="651" spans="1:9" x14ac:dyDescent="0.25">
      <c r="A651" s="2">
        <v>650</v>
      </c>
      <c r="B651" s="3">
        <v>44834</v>
      </c>
      <c r="C651" s="2">
        <v>14</v>
      </c>
      <c r="D651" s="4" t="str">
        <f>"2731"</f>
        <v>2731</v>
      </c>
      <c r="E651" t="str">
        <f>"Начисленные расходы по прочим операциям"</f>
        <v>Начисленные расходы по прочим операциям</v>
      </c>
      <c r="F651" s="2" t="str">
        <f>"1"</f>
        <v>1</v>
      </c>
      <c r="G651" s="2" t="str">
        <f>"5"</f>
        <v>5</v>
      </c>
      <c r="H651" s="2" t="str">
        <f>"1"</f>
        <v>1</v>
      </c>
      <c r="I651" s="1">
        <v>1415859316</v>
      </c>
    </row>
    <row r="652" spans="1:9" x14ac:dyDescent="0.25">
      <c r="A652" s="2">
        <v>651</v>
      </c>
      <c r="B652" s="3">
        <v>44834</v>
      </c>
      <c r="C652" s="2">
        <v>14</v>
      </c>
      <c r="D652" s="4" t="str">
        <f>"2756"</f>
        <v>2756</v>
      </c>
      <c r="E652" t="str">
        <f>"Начисленные расходы по субординированным облигациям"</f>
        <v>Начисленные расходы по субординированным облигациям</v>
      </c>
      <c r="F652" s="2" t="str">
        <f>"1"</f>
        <v>1</v>
      </c>
      <c r="G652" s="2" t="str">
        <f>"5"</f>
        <v>5</v>
      </c>
      <c r="H652" s="2" t="str">
        <f>"1"</f>
        <v>1</v>
      </c>
      <c r="I652" s="1">
        <v>9048134573.3799992</v>
      </c>
    </row>
    <row r="653" spans="1:9" x14ac:dyDescent="0.25">
      <c r="A653" s="2">
        <v>652</v>
      </c>
      <c r="B653" s="3">
        <v>44834</v>
      </c>
      <c r="C653" s="2">
        <v>14</v>
      </c>
      <c r="D653" s="4" t="str">
        <f>"2770"</f>
        <v>2770</v>
      </c>
      <c r="E65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53" s="2" t="str">
        <f>"2"</f>
        <v>2</v>
      </c>
      <c r="G653" s="2" t="str">
        <f>"7"</f>
        <v>7</v>
      </c>
      <c r="H653" s="2" t="str">
        <f>"1"</f>
        <v>1</v>
      </c>
      <c r="I653" s="1">
        <v>786643402.28999996</v>
      </c>
    </row>
    <row r="654" spans="1:9" x14ac:dyDescent="0.25">
      <c r="A654" s="2">
        <v>653</v>
      </c>
      <c r="B654" s="3">
        <v>44834</v>
      </c>
      <c r="C654" s="2">
        <v>14</v>
      </c>
      <c r="D654" s="4" t="str">
        <f>"2770"</f>
        <v>2770</v>
      </c>
      <c r="E65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54" s="2" t="str">
        <f>"1"</f>
        <v>1</v>
      </c>
      <c r="G654" s="2" t="str">
        <f>"6"</f>
        <v>6</v>
      </c>
      <c r="H654" s="2" t="str">
        <f>"1"</f>
        <v>1</v>
      </c>
      <c r="I654" s="1">
        <v>52962570.640000001</v>
      </c>
    </row>
    <row r="655" spans="1:9" x14ac:dyDescent="0.25">
      <c r="A655" s="2">
        <v>654</v>
      </c>
      <c r="B655" s="3">
        <v>44834</v>
      </c>
      <c r="C655" s="2">
        <v>14</v>
      </c>
      <c r="D655" s="4" t="str">
        <f>"2770"</f>
        <v>2770</v>
      </c>
      <c r="E65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55" s="2" t="str">
        <f>"2"</f>
        <v>2</v>
      </c>
      <c r="G655" s="2" t="str">
        <f>"5"</f>
        <v>5</v>
      </c>
      <c r="H655" s="2" t="str">
        <f>"1"</f>
        <v>1</v>
      </c>
      <c r="I655" s="1">
        <v>23084.5</v>
      </c>
    </row>
    <row r="656" spans="1:9" x14ac:dyDescent="0.25">
      <c r="A656" s="2">
        <v>655</v>
      </c>
      <c r="B656" s="3">
        <v>44834</v>
      </c>
      <c r="C656" s="2">
        <v>14</v>
      </c>
      <c r="D656" s="4" t="str">
        <f>"2770"</f>
        <v>2770</v>
      </c>
      <c r="E656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56" s="2" t="str">
        <f>"1"</f>
        <v>1</v>
      </c>
      <c r="G656" s="2" t="str">
        <f>"4"</f>
        <v>4</v>
      </c>
      <c r="H656" s="2" t="str">
        <f>"1"</f>
        <v>1</v>
      </c>
      <c r="I656" s="1">
        <v>144237255.02000001</v>
      </c>
    </row>
    <row r="657" spans="1:9" x14ac:dyDescent="0.25">
      <c r="A657" s="2">
        <v>656</v>
      </c>
      <c r="B657" s="3">
        <v>44834</v>
      </c>
      <c r="C657" s="2">
        <v>14</v>
      </c>
      <c r="D657" s="4" t="str">
        <f>"2770"</f>
        <v>2770</v>
      </c>
      <c r="E65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57" s="2" t="str">
        <f>"1"</f>
        <v>1</v>
      </c>
      <c r="G657" s="2" t="str">
        <f>"7"</f>
        <v>7</v>
      </c>
      <c r="H657" s="2" t="str">
        <f>"1"</f>
        <v>1</v>
      </c>
      <c r="I657" s="1">
        <v>1973718389.9400001</v>
      </c>
    </row>
    <row r="658" spans="1:9" x14ac:dyDescent="0.25">
      <c r="A658" s="2">
        <v>657</v>
      </c>
      <c r="B658" s="3">
        <v>44834</v>
      </c>
      <c r="C658" s="2">
        <v>14</v>
      </c>
      <c r="D658" s="4" t="str">
        <f>"2770"</f>
        <v>2770</v>
      </c>
      <c r="E658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58" s="2" t="str">
        <f>"1"</f>
        <v>1</v>
      </c>
      <c r="G658" s="2" t="str">
        <f>"9"</f>
        <v>9</v>
      </c>
      <c r="H658" s="2" t="str">
        <f>"1"</f>
        <v>1</v>
      </c>
      <c r="I658" s="1">
        <v>173975379.22</v>
      </c>
    </row>
    <row r="659" spans="1:9" x14ac:dyDescent="0.25">
      <c r="A659" s="2">
        <v>658</v>
      </c>
      <c r="B659" s="3">
        <v>44834</v>
      </c>
      <c r="C659" s="2">
        <v>14</v>
      </c>
      <c r="D659" s="4" t="str">
        <f>"2770"</f>
        <v>2770</v>
      </c>
      <c r="E65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59" s="2" t="str">
        <f>"1"</f>
        <v>1</v>
      </c>
      <c r="G659" s="2" t="str">
        <f>"2"</f>
        <v>2</v>
      </c>
      <c r="H659" s="2" t="str">
        <f>"1"</f>
        <v>1</v>
      </c>
      <c r="I659" s="1">
        <v>35276</v>
      </c>
    </row>
    <row r="660" spans="1:9" x14ac:dyDescent="0.25">
      <c r="A660" s="2">
        <v>659</v>
      </c>
      <c r="B660" s="3">
        <v>44834</v>
      </c>
      <c r="C660" s="2">
        <v>14</v>
      </c>
      <c r="D660" s="4" t="str">
        <f>"2770"</f>
        <v>2770</v>
      </c>
      <c r="E660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60" s="2" t="str">
        <f>"1"</f>
        <v>1</v>
      </c>
      <c r="G660" s="2" t="str">
        <f>"8"</f>
        <v>8</v>
      </c>
      <c r="H660" s="2" t="str">
        <f>"1"</f>
        <v>1</v>
      </c>
      <c r="I660" s="1">
        <v>2558489.92</v>
      </c>
    </row>
    <row r="661" spans="1:9" x14ac:dyDescent="0.25">
      <c r="A661" s="2">
        <v>660</v>
      </c>
      <c r="B661" s="3">
        <v>44834</v>
      </c>
      <c r="C661" s="2">
        <v>14</v>
      </c>
      <c r="D661" s="4" t="str">
        <f>"2770"</f>
        <v>2770</v>
      </c>
      <c r="E66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61" s="2" t="str">
        <f>"1"</f>
        <v>1</v>
      </c>
      <c r="G661" s="2" t="str">
        <f>"1"</f>
        <v>1</v>
      </c>
      <c r="H661" s="2" t="str">
        <f>"1"</f>
        <v>1</v>
      </c>
      <c r="I661" s="1">
        <v>1423000000</v>
      </c>
    </row>
    <row r="662" spans="1:9" x14ac:dyDescent="0.25">
      <c r="A662" s="2">
        <v>661</v>
      </c>
      <c r="B662" s="3">
        <v>44834</v>
      </c>
      <c r="C662" s="2">
        <v>14</v>
      </c>
      <c r="D662" s="4" t="str">
        <f>"2770"</f>
        <v>2770</v>
      </c>
      <c r="E66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62" s="2" t="str">
        <f>"1"</f>
        <v>1</v>
      </c>
      <c r="G662" s="2" t="str">
        <f>"5"</f>
        <v>5</v>
      </c>
      <c r="H662" s="2" t="str">
        <f>"1"</f>
        <v>1</v>
      </c>
      <c r="I662" s="1">
        <v>184991590.72</v>
      </c>
    </row>
    <row r="663" spans="1:9" x14ac:dyDescent="0.25">
      <c r="A663" s="2">
        <v>662</v>
      </c>
      <c r="B663" s="3">
        <v>44834</v>
      </c>
      <c r="C663" s="2">
        <v>14</v>
      </c>
      <c r="D663" s="4" t="str">
        <f>"2792"</f>
        <v>2792</v>
      </c>
      <c r="E663" t="str">
        <f>"Предоплата вознаграждения по предоставленным займам"</f>
        <v>Предоплата вознаграждения по предоставленным займам</v>
      </c>
      <c r="F663" s="2" t="str">
        <f>"2"</f>
        <v>2</v>
      </c>
      <c r="G663" s="2" t="str">
        <f>"9"</f>
        <v>9</v>
      </c>
      <c r="H663" s="2" t="str">
        <f>"1"</f>
        <v>1</v>
      </c>
      <c r="I663" s="1">
        <v>127078.55</v>
      </c>
    </row>
    <row r="664" spans="1:9" x14ac:dyDescent="0.25">
      <c r="A664" s="2">
        <v>663</v>
      </c>
      <c r="B664" s="3">
        <v>44834</v>
      </c>
      <c r="C664" s="2">
        <v>14</v>
      </c>
      <c r="D664" s="4" t="str">
        <f>"2792"</f>
        <v>2792</v>
      </c>
      <c r="E664" t="str">
        <f>"Предоплата вознаграждения по предоставленным займам"</f>
        <v>Предоплата вознаграждения по предоставленным займам</v>
      </c>
      <c r="F664" s="2" t="str">
        <f>"1"</f>
        <v>1</v>
      </c>
      <c r="G664" s="2" t="str">
        <f>"7"</f>
        <v>7</v>
      </c>
      <c r="H664" s="2" t="str">
        <f>"1"</f>
        <v>1</v>
      </c>
      <c r="I664" s="1">
        <v>25925457.699999999</v>
      </c>
    </row>
    <row r="665" spans="1:9" x14ac:dyDescent="0.25">
      <c r="A665" s="2">
        <v>664</v>
      </c>
      <c r="B665" s="3">
        <v>44834</v>
      </c>
      <c r="C665" s="2">
        <v>14</v>
      </c>
      <c r="D665" s="4" t="str">
        <f>"2792"</f>
        <v>2792</v>
      </c>
      <c r="E665" t="str">
        <f>"Предоплата вознаграждения по предоставленным займам"</f>
        <v>Предоплата вознаграждения по предоставленным займам</v>
      </c>
      <c r="F665" s="2" t="str">
        <f>"1"</f>
        <v>1</v>
      </c>
      <c r="G665" s="2" t="str">
        <f>"9"</f>
        <v>9</v>
      </c>
      <c r="H665" s="2" t="str">
        <f>"1"</f>
        <v>1</v>
      </c>
      <c r="I665" s="1">
        <v>3714233780.3400002</v>
      </c>
    </row>
    <row r="666" spans="1:9" x14ac:dyDescent="0.25">
      <c r="A666" s="2">
        <v>665</v>
      </c>
      <c r="B666" s="3">
        <v>44834</v>
      </c>
      <c r="C666" s="2">
        <v>14</v>
      </c>
      <c r="D666" s="4" t="str">
        <f>"2792"</f>
        <v>2792</v>
      </c>
      <c r="E666" t="str">
        <f>"Предоплата вознаграждения по предоставленным займам"</f>
        <v>Предоплата вознаграждения по предоставленным займам</v>
      </c>
      <c r="F666" s="2" t="str">
        <f>"2"</f>
        <v>2</v>
      </c>
      <c r="G666" s="2" t="str">
        <f>"7"</f>
        <v>7</v>
      </c>
      <c r="H666" s="2" t="str">
        <f>"2"</f>
        <v>2</v>
      </c>
      <c r="I666" s="1">
        <v>33.369999999999997</v>
      </c>
    </row>
    <row r="667" spans="1:9" x14ac:dyDescent="0.25">
      <c r="A667" s="2">
        <v>666</v>
      </c>
      <c r="B667" s="3">
        <v>44834</v>
      </c>
      <c r="C667" s="2">
        <v>14</v>
      </c>
      <c r="D667" s="4" t="str">
        <f>"2794"</f>
        <v>2794</v>
      </c>
      <c r="E667" t="str">
        <f>"Доходы будущих периодов"</f>
        <v>Доходы будущих периодов</v>
      </c>
      <c r="F667" s="2" t="str">
        <f>"1"</f>
        <v>1</v>
      </c>
      <c r="G667" s="2" t="str">
        <f>"7"</f>
        <v>7</v>
      </c>
      <c r="H667" s="2" t="str">
        <f>"2"</f>
        <v>2</v>
      </c>
      <c r="I667" s="1">
        <v>1043823776.64</v>
      </c>
    </row>
    <row r="668" spans="1:9" x14ac:dyDescent="0.25">
      <c r="A668" s="2">
        <v>667</v>
      </c>
      <c r="B668" s="3">
        <v>44834</v>
      </c>
      <c r="C668" s="2">
        <v>14</v>
      </c>
      <c r="D668" s="4" t="str">
        <f>"2794"</f>
        <v>2794</v>
      </c>
      <c r="E668" t="str">
        <f>"Доходы будущих периодов"</f>
        <v>Доходы будущих периодов</v>
      </c>
      <c r="F668" s="2" t="str">
        <f>"1"</f>
        <v>1</v>
      </c>
      <c r="G668" s="2" t="str">
        <f>"6"</f>
        <v>6</v>
      </c>
      <c r="H668" s="2" t="str">
        <f>"2"</f>
        <v>2</v>
      </c>
      <c r="I668" s="1">
        <v>57205200</v>
      </c>
    </row>
    <row r="669" spans="1:9" x14ac:dyDescent="0.25">
      <c r="A669" s="2">
        <v>668</v>
      </c>
      <c r="B669" s="3">
        <v>44834</v>
      </c>
      <c r="C669" s="2">
        <v>14</v>
      </c>
      <c r="D669" s="4" t="str">
        <f>"2794"</f>
        <v>2794</v>
      </c>
      <c r="E669" t="str">
        <f>"Доходы будущих периодов"</f>
        <v>Доходы будущих периодов</v>
      </c>
      <c r="F669" s="2" t="str">
        <f>"1"</f>
        <v>1</v>
      </c>
      <c r="G669" s="2" t="str">
        <f>"8"</f>
        <v>8</v>
      </c>
      <c r="H669" s="2" t="str">
        <f>"1"</f>
        <v>1</v>
      </c>
      <c r="I669" s="1">
        <v>176250</v>
      </c>
    </row>
    <row r="670" spans="1:9" x14ac:dyDescent="0.25">
      <c r="A670" s="2">
        <v>669</v>
      </c>
      <c r="B670" s="3">
        <v>44834</v>
      </c>
      <c r="C670" s="2">
        <v>14</v>
      </c>
      <c r="D670" s="4" t="str">
        <f>"2794"</f>
        <v>2794</v>
      </c>
      <c r="E670" t="str">
        <f>"Доходы будущих периодов"</f>
        <v>Доходы будущих периодов</v>
      </c>
      <c r="F670" s="2" t="str">
        <f>"2"</f>
        <v>2</v>
      </c>
      <c r="G670" s="2" t="str">
        <f>"7"</f>
        <v>7</v>
      </c>
      <c r="H670" s="2" t="str">
        <f>"2"</f>
        <v>2</v>
      </c>
      <c r="I670" s="1">
        <v>706356547.52999997</v>
      </c>
    </row>
    <row r="671" spans="1:9" x14ac:dyDescent="0.25">
      <c r="A671" s="2">
        <v>670</v>
      </c>
      <c r="B671" s="3">
        <v>44834</v>
      </c>
      <c r="C671" s="2">
        <v>14</v>
      </c>
      <c r="D671" s="4" t="str">
        <f>"2794"</f>
        <v>2794</v>
      </c>
      <c r="E671" t="str">
        <f>"Доходы будущих периодов"</f>
        <v>Доходы будущих периодов</v>
      </c>
      <c r="F671" s="2" t="str">
        <f>"1"</f>
        <v>1</v>
      </c>
      <c r="G671" s="2" t="str">
        <f>"9"</f>
        <v>9</v>
      </c>
      <c r="H671" s="2" t="str">
        <f>"1"</f>
        <v>1</v>
      </c>
      <c r="I671" s="1">
        <v>7836501.6399999997</v>
      </c>
    </row>
    <row r="672" spans="1:9" x14ac:dyDescent="0.25">
      <c r="A672" s="2">
        <v>671</v>
      </c>
      <c r="B672" s="3">
        <v>44834</v>
      </c>
      <c r="C672" s="2">
        <v>14</v>
      </c>
      <c r="D672" s="4" t="str">
        <f>"2794"</f>
        <v>2794</v>
      </c>
      <c r="E672" t="str">
        <f>"Доходы будущих периодов"</f>
        <v>Доходы будущих периодов</v>
      </c>
      <c r="F672" s="2" t="str">
        <f>"1"</f>
        <v>1</v>
      </c>
      <c r="G672" s="2" t="str">
        <f>"6"</f>
        <v>6</v>
      </c>
      <c r="H672" s="2" t="str">
        <f>"1"</f>
        <v>1</v>
      </c>
      <c r="I672" s="1">
        <v>88505578.230000004</v>
      </c>
    </row>
    <row r="673" spans="1:9" x14ac:dyDescent="0.25">
      <c r="A673" s="2">
        <v>672</v>
      </c>
      <c r="B673" s="3">
        <v>44834</v>
      </c>
      <c r="C673" s="2">
        <v>14</v>
      </c>
      <c r="D673" s="4" t="str">
        <f>"2794"</f>
        <v>2794</v>
      </c>
      <c r="E673" t="str">
        <f>"Доходы будущих периодов"</f>
        <v>Доходы будущих периодов</v>
      </c>
      <c r="F673" s="2" t="str">
        <f>"1"</f>
        <v>1</v>
      </c>
      <c r="G673" s="2" t="str">
        <f>"5"</f>
        <v>5</v>
      </c>
      <c r="H673" s="2" t="str">
        <f>"1"</f>
        <v>1</v>
      </c>
      <c r="I673" s="1">
        <v>199339143.47999999</v>
      </c>
    </row>
    <row r="674" spans="1:9" x14ac:dyDescent="0.25">
      <c r="A674" s="2">
        <v>673</v>
      </c>
      <c r="B674" s="3">
        <v>44834</v>
      </c>
      <c r="C674" s="2">
        <v>14</v>
      </c>
      <c r="D674" s="4" t="str">
        <f>"2794"</f>
        <v>2794</v>
      </c>
      <c r="E674" t="str">
        <f>"Доходы будущих периодов"</f>
        <v>Доходы будущих периодов</v>
      </c>
      <c r="F674" s="2" t="str">
        <f>"1"</f>
        <v>1</v>
      </c>
      <c r="G674" s="2" t="str">
        <f>"7"</f>
        <v>7</v>
      </c>
      <c r="H674" s="2" t="str">
        <f>"1"</f>
        <v>1</v>
      </c>
      <c r="I674" s="1">
        <v>3258966151.3499999</v>
      </c>
    </row>
    <row r="675" spans="1:9" x14ac:dyDescent="0.25">
      <c r="A675" s="2">
        <v>674</v>
      </c>
      <c r="B675" s="3">
        <v>44834</v>
      </c>
      <c r="C675" s="2">
        <v>14</v>
      </c>
      <c r="D675" s="4" t="str">
        <f>"2799"</f>
        <v>2799</v>
      </c>
      <c r="E675" t="str">
        <f>"Прочие предоплаты"</f>
        <v>Прочие предоплаты</v>
      </c>
      <c r="F675" s="2" t="str">
        <f>"1"</f>
        <v>1</v>
      </c>
      <c r="G675" s="2" t="str">
        <f>"7"</f>
        <v>7</v>
      </c>
      <c r="H675" s="2" t="str">
        <f>"1"</f>
        <v>1</v>
      </c>
      <c r="I675" s="1">
        <v>1237838147.9400001</v>
      </c>
    </row>
    <row r="676" spans="1:9" x14ac:dyDescent="0.25">
      <c r="A676" s="2">
        <v>675</v>
      </c>
      <c r="B676" s="3">
        <v>44834</v>
      </c>
      <c r="C676" s="2">
        <v>14</v>
      </c>
      <c r="D676" s="4" t="str">
        <f>"2799"</f>
        <v>2799</v>
      </c>
      <c r="E676" t="str">
        <f>"Прочие предоплаты"</f>
        <v>Прочие предоплаты</v>
      </c>
      <c r="F676" s="2" t="str">
        <f>"1"</f>
        <v>1</v>
      </c>
      <c r="G676" s="2" t="str">
        <f>"9"</f>
        <v>9</v>
      </c>
      <c r="H676" s="2" t="str">
        <f>"1"</f>
        <v>1</v>
      </c>
      <c r="I676" s="1">
        <v>1065692855.46</v>
      </c>
    </row>
    <row r="677" spans="1:9" x14ac:dyDescent="0.25">
      <c r="A677" s="2">
        <v>676</v>
      </c>
      <c r="B677" s="3">
        <v>44834</v>
      </c>
      <c r="C677" s="2">
        <v>14</v>
      </c>
      <c r="D677" s="4" t="str">
        <f>"2799"</f>
        <v>2799</v>
      </c>
      <c r="E677" t="str">
        <f>"Прочие предоплаты"</f>
        <v>Прочие предоплаты</v>
      </c>
      <c r="F677" s="2" t="str">
        <f>"1"</f>
        <v>1</v>
      </c>
      <c r="G677" s="2" t="str">
        <f>"5"</f>
        <v>5</v>
      </c>
      <c r="H677" s="2" t="str">
        <f>"1"</f>
        <v>1</v>
      </c>
      <c r="I677" s="1">
        <v>524952.35</v>
      </c>
    </row>
    <row r="678" spans="1:9" x14ac:dyDescent="0.25">
      <c r="A678" s="2">
        <v>677</v>
      </c>
      <c r="B678" s="3">
        <v>44834</v>
      </c>
      <c r="C678" s="2">
        <v>14</v>
      </c>
      <c r="D678" s="4" t="str">
        <f>"2799"</f>
        <v>2799</v>
      </c>
      <c r="E678" t="str">
        <f>"Прочие предоплаты"</f>
        <v>Прочие предоплаты</v>
      </c>
      <c r="F678" s="2" t="str">
        <f>"1"</f>
        <v>1</v>
      </c>
      <c r="G678" s="2" t="str">
        <f>"4"</f>
        <v>4</v>
      </c>
      <c r="H678" s="2" t="str">
        <f>"1"</f>
        <v>1</v>
      </c>
      <c r="I678" s="1">
        <v>307585.68</v>
      </c>
    </row>
    <row r="679" spans="1:9" x14ac:dyDescent="0.25">
      <c r="A679" s="2">
        <v>678</v>
      </c>
      <c r="B679" s="3">
        <v>44834</v>
      </c>
      <c r="C679" s="2">
        <v>14</v>
      </c>
      <c r="D679" s="4" t="str">
        <f>"2799"</f>
        <v>2799</v>
      </c>
      <c r="E679" t="str">
        <f>"Прочие предоплаты"</f>
        <v>Прочие предоплаты</v>
      </c>
      <c r="F679" s="2" t="str">
        <f>"1"</f>
        <v>1</v>
      </c>
      <c r="G679" s="2" t="str">
        <f>"2"</f>
        <v>2</v>
      </c>
      <c r="H679" s="2" t="str">
        <f>"1"</f>
        <v>1</v>
      </c>
      <c r="I679" s="1">
        <v>3447.22</v>
      </c>
    </row>
    <row r="680" spans="1:9" x14ac:dyDescent="0.25">
      <c r="A680" s="2">
        <v>679</v>
      </c>
      <c r="B680" s="3">
        <v>44834</v>
      </c>
      <c r="C680" s="2">
        <v>14</v>
      </c>
      <c r="D680" s="4" t="str">
        <f>"2799"</f>
        <v>2799</v>
      </c>
      <c r="E680" t="str">
        <f>"Прочие предоплаты"</f>
        <v>Прочие предоплаты</v>
      </c>
      <c r="F680" s="2" t="str">
        <f>"2"</f>
        <v>2</v>
      </c>
      <c r="G680" s="2" t="str">
        <f>"4"</f>
        <v>4</v>
      </c>
      <c r="H680" s="2" t="str">
        <f>"1"</f>
        <v>1</v>
      </c>
      <c r="I680" s="1">
        <v>18407590.309999999</v>
      </c>
    </row>
    <row r="681" spans="1:9" x14ac:dyDescent="0.25">
      <c r="A681" s="2">
        <v>680</v>
      </c>
      <c r="B681" s="3">
        <v>44834</v>
      </c>
      <c r="C681" s="2">
        <v>14</v>
      </c>
      <c r="D681" s="4" t="str">
        <f>"2799"</f>
        <v>2799</v>
      </c>
      <c r="E681" t="str">
        <f>"Прочие предоплаты"</f>
        <v>Прочие предоплаты</v>
      </c>
      <c r="F681" s="2" t="str">
        <f>"2"</f>
        <v>2</v>
      </c>
      <c r="G681" s="2" t="str">
        <f>"9"</f>
        <v>9</v>
      </c>
      <c r="H681" s="2" t="str">
        <f>"1"</f>
        <v>1</v>
      </c>
      <c r="I681" s="1">
        <v>3786493.26</v>
      </c>
    </row>
    <row r="682" spans="1:9" x14ac:dyDescent="0.25">
      <c r="A682" s="2">
        <v>681</v>
      </c>
      <c r="B682" s="3">
        <v>44834</v>
      </c>
      <c r="C682" s="2">
        <v>14</v>
      </c>
      <c r="D682" s="4" t="str">
        <f>"2799"</f>
        <v>2799</v>
      </c>
      <c r="E682" t="str">
        <f>"Прочие предоплаты"</f>
        <v>Прочие предоплаты</v>
      </c>
      <c r="F682" s="2" t="str">
        <f>"2"</f>
        <v>2</v>
      </c>
      <c r="G682" s="2" t="str">
        <f>"4"</f>
        <v>4</v>
      </c>
      <c r="H682" s="2" t="str">
        <f>"2"</f>
        <v>2</v>
      </c>
      <c r="I682" s="1">
        <v>2719058.5</v>
      </c>
    </row>
    <row r="683" spans="1:9" x14ac:dyDescent="0.25">
      <c r="A683" s="2">
        <v>682</v>
      </c>
      <c r="B683" s="3">
        <v>44834</v>
      </c>
      <c r="C683" s="2">
        <v>14</v>
      </c>
      <c r="D683" s="4" t="str">
        <f>"2812"</f>
        <v>2812</v>
      </c>
      <c r="E683" t="str">
        <f>"Начисленные комиссионные расходы по агентским услугам"</f>
        <v>Начисленные комиссионные расходы по агентским услугам</v>
      </c>
      <c r="F683" s="2" t="str">
        <f>"1"</f>
        <v>1</v>
      </c>
      <c r="G683" s="2" t="str">
        <f>""</f>
        <v/>
      </c>
      <c r="H683" s="2" t="str">
        <f>"1"</f>
        <v>1</v>
      </c>
      <c r="I683" s="1">
        <v>455025401.08999997</v>
      </c>
    </row>
    <row r="684" spans="1:9" x14ac:dyDescent="0.25">
      <c r="A684" s="2">
        <v>683</v>
      </c>
      <c r="B684" s="3">
        <v>44834</v>
      </c>
      <c r="C684" s="2">
        <v>14</v>
      </c>
      <c r="D684" s="4" t="str">
        <f>"2818"</f>
        <v>2818</v>
      </c>
      <c r="E684" t="str">
        <f>"Начисленные прочие комиссионные расходы"</f>
        <v>Начисленные прочие комиссионные расходы</v>
      </c>
      <c r="F684" s="2" t="str">
        <f>"1"</f>
        <v>1</v>
      </c>
      <c r="G684" s="2" t="str">
        <f>""</f>
        <v/>
      </c>
      <c r="H684" s="2" t="str">
        <f>"1"</f>
        <v>1</v>
      </c>
      <c r="I684" s="1">
        <v>22026.74</v>
      </c>
    </row>
    <row r="685" spans="1:9" x14ac:dyDescent="0.25">
      <c r="A685" s="2">
        <v>684</v>
      </c>
      <c r="B685" s="3">
        <v>44834</v>
      </c>
      <c r="C685" s="2">
        <v>14</v>
      </c>
      <c r="D685" s="4" t="str">
        <f>"2818"</f>
        <v>2818</v>
      </c>
      <c r="E685" t="str">
        <f>"Начисленные прочие комиссионные расходы"</f>
        <v>Начисленные прочие комиссионные расходы</v>
      </c>
      <c r="F685" s="2" t="str">
        <f>"1"</f>
        <v>1</v>
      </c>
      <c r="G685" s="2" t="str">
        <f>""</f>
        <v/>
      </c>
      <c r="H685" s="2" t="str">
        <f>"2"</f>
        <v>2</v>
      </c>
      <c r="I685" s="1">
        <v>71728004.629999995</v>
      </c>
    </row>
    <row r="686" spans="1:9" x14ac:dyDescent="0.25">
      <c r="A686" s="2">
        <v>685</v>
      </c>
      <c r="B686" s="3">
        <v>44834</v>
      </c>
      <c r="C686" s="2">
        <v>14</v>
      </c>
      <c r="D686" s="4" t="str">
        <f>"2818"</f>
        <v>2818</v>
      </c>
      <c r="E686" t="str">
        <f>"Начисленные прочие комиссионные расходы"</f>
        <v>Начисленные прочие комиссионные расходы</v>
      </c>
      <c r="F686" s="2" t="str">
        <f>"2"</f>
        <v>2</v>
      </c>
      <c r="G686" s="2" t="str">
        <f>""</f>
        <v/>
      </c>
      <c r="H686" s="2" t="str">
        <f>"2"</f>
        <v>2</v>
      </c>
      <c r="I686" s="1">
        <v>235327.87</v>
      </c>
    </row>
    <row r="687" spans="1:9" x14ac:dyDescent="0.25">
      <c r="A687" s="2">
        <v>686</v>
      </c>
      <c r="B687" s="3">
        <v>44834</v>
      </c>
      <c r="C687" s="2">
        <v>14</v>
      </c>
      <c r="D687" s="4" t="str">
        <f>"2818"</f>
        <v>2818</v>
      </c>
      <c r="E687" t="str">
        <f>"Начисленные прочие комиссионные расходы"</f>
        <v>Начисленные прочие комиссионные расходы</v>
      </c>
      <c r="F687" s="2" t="str">
        <f>"2"</f>
        <v>2</v>
      </c>
      <c r="G687" s="2" t="str">
        <f>""</f>
        <v/>
      </c>
      <c r="H687" s="2" t="str">
        <f>"1"</f>
        <v>1</v>
      </c>
      <c r="I687" s="1">
        <v>2502815560</v>
      </c>
    </row>
    <row r="688" spans="1:9" x14ac:dyDescent="0.25">
      <c r="A688" s="2">
        <v>687</v>
      </c>
      <c r="B688" s="3">
        <v>44834</v>
      </c>
      <c r="C688" s="2">
        <v>14</v>
      </c>
      <c r="D688" s="4" t="str">
        <f>"2819"</f>
        <v>2819</v>
      </c>
      <c r="E688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688" s="2" t="str">
        <f>"2"</f>
        <v>2</v>
      </c>
      <c r="G688" s="2" t="str">
        <f>""</f>
        <v/>
      </c>
      <c r="H688" s="2" t="str">
        <f>"1"</f>
        <v>1</v>
      </c>
      <c r="I688" s="1">
        <v>27247459</v>
      </c>
    </row>
    <row r="689" spans="1:9" x14ac:dyDescent="0.25">
      <c r="A689" s="2">
        <v>688</v>
      </c>
      <c r="B689" s="3">
        <v>44834</v>
      </c>
      <c r="C689" s="2">
        <v>14</v>
      </c>
      <c r="D689" s="4" t="str">
        <f>"2819"</f>
        <v>2819</v>
      </c>
      <c r="E689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689" s="2" t="str">
        <f>"2"</f>
        <v>2</v>
      </c>
      <c r="G689" s="2" t="str">
        <f>""</f>
        <v/>
      </c>
      <c r="H689" s="2" t="str">
        <f>"2"</f>
        <v>2</v>
      </c>
      <c r="I689" s="1">
        <v>15016365</v>
      </c>
    </row>
    <row r="690" spans="1:9" x14ac:dyDescent="0.25">
      <c r="A690" s="2">
        <v>689</v>
      </c>
      <c r="B690" s="3">
        <v>44834</v>
      </c>
      <c r="C690" s="2">
        <v>14</v>
      </c>
      <c r="D690" s="4" t="str">
        <f>"2819"</f>
        <v>2819</v>
      </c>
      <c r="E690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690" s="2" t="str">
        <f>"1"</f>
        <v>1</v>
      </c>
      <c r="G690" s="2" t="str">
        <f>""</f>
        <v/>
      </c>
      <c r="H690" s="2" t="str">
        <f>"1"</f>
        <v>1</v>
      </c>
      <c r="I690" s="1">
        <v>32888253.170000002</v>
      </c>
    </row>
    <row r="691" spans="1:9" x14ac:dyDescent="0.25">
      <c r="A691" s="2">
        <v>690</v>
      </c>
      <c r="B691" s="3">
        <v>44834</v>
      </c>
      <c r="C691" s="2">
        <v>14</v>
      </c>
      <c r="D691" s="4" t="str">
        <f>"2820"</f>
        <v>2820</v>
      </c>
      <c r="E691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691" s="2" t="str">
        <f>"2"</f>
        <v>2</v>
      </c>
      <c r="G691" s="2" t="str">
        <f>""</f>
        <v/>
      </c>
      <c r="H691" s="2" t="str">
        <f>"1"</f>
        <v>1</v>
      </c>
      <c r="I691" s="1">
        <v>91822500</v>
      </c>
    </row>
    <row r="692" spans="1:9" x14ac:dyDescent="0.25">
      <c r="A692" s="2">
        <v>691</v>
      </c>
      <c r="B692" s="3">
        <v>44834</v>
      </c>
      <c r="C692" s="2">
        <v>14</v>
      </c>
      <c r="D692" s="4" t="str">
        <f>"2820"</f>
        <v>2820</v>
      </c>
      <c r="E692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692" s="2" t="str">
        <f>"1"</f>
        <v>1</v>
      </c>
      <c r="G692" s="2" t="str">
        <f>""</f>
        <v/>
      </c>
      <c r="H692" s="2" t="str">
        <f>"1"</f>
        <v>1</v>
      </c>
      <c r="I692" s="1">
        <v>148757799.93000001</v>
      </c>
    </row>
    <row r="693" spans="1:9" x14ac:dyDescent="0.25">
      <c r="A693" s="2">
        <v>692</v>
      </c>
      <c r="B693" s="3">
        <v>44834</v>
      </c>
      <c r="C693" s="2">
        <v>14</v>
      </c>
      <c r="D693" s="4" t="str">
        <f>"2851"</f>
        <v>2851</v>
      </c>
      <c r="E69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693" s="2" t="str">
        <f>"1"</f>
        <v>1</v>
      </c>
      <c r="G693" s="2" t="str">
        <f>"1"</f>
        <v>1</v>
      </c>
      <c r="H693" s="2" t="str">
        <f>"1"</f>
        <v>1</v>
      </c>
      <c r="I693" s="1">
        <v>30616428134.669998</v>
      </c>
    </row>
    <row r="694" spans="1:9" x14ac:dyDescent="0.25">
      <c r="A694" s="2">
        <v>693</v>
      </c>
      <c r="B694" s="3">
        <v>44834</v>
      </c>
      <c r="C694" s="2">
        <v>14</v>
      </c>
      <c r="D694" s="4" t="str">
        <f>"2854"</f>
        <v>2854</v>
      </c>
      <c r="E694" t="str">
        <f>"Расчеты с работниками"</f>
        <v>Расчеты с работниками</v>
      </c>
      <c r="F694" s="2" t="str">
        <f>""</f>
        <v/>
      </c>
      <c r="G694" s="2" t="str">
        <f>""</f>
        <v/>
      </c>
      <c r="H694" s="2" t="str">
        <f>""</f>
        <v/>
      </c>
      <c r="I694" s="1">
        <v>16711387610.540001</v>
      </c>
    </row>
    <row r="695" spans="1:9" x14ac:dyDescent="0.25">
      <c r="A695" s="2">
        <v>694</v>
      </c>
      <c r="B695" s="3">
        <v>44834</v>
      </c>
      <c r="C695" s="2">
        <v>14</v>
      </c>
      <c r="D695" s="4" t="str">
        <f>"2855"</f>
        <v>2855</v>
      </c>
      <c r="E695" t="str">
        <f>"Кредиторы по документарным расчетам"</f>
        <v>Кредиторы по документарным расчетам</v>
      </c>
      <c r="F695" s="2" t="str">
        <f>"1"</f>
        <v>1</v>
      </c>
      <c r="G695" s="2" t="str">
        <f>"5"</f>
        <v>5</v>
      </c>
      <c r="H695" s="2" t="str">
        <f>"2"</f>
        <v>2</v>
      </c>
      <c r="I695" s="1">
        <v>53246287884.110001</v>
      </c>
    </row>
    <row r="696" spans="1:9" x14ac:dyDescent="0.25">
      <c r="A696" s="2">
        <v>695</v>
      </c>
      <c r="B696" s="3">
        <v>44834</v>
      </c>
      <c r="C696" s="2">
        <v>14</v>
      </c>
      <c r="D696" s="4" t="str">
        <f>"2855"</f>
        <v>2855</v>
      </c>
      <c r="E696" t="str">
        <f>"Кредиторы по документарным расчетам"</f>
        <v>Кредиторы по документарным расчетам</v>
      </c>
      <c r="F696" s="2" t="str">
        <f>"1"</f>
        <v>1</v>
      </c>
      <c r="G696" s="2" t="str">
        <f>"6"</f>
        <v>6</v>
      </c>
      <c r="H696" s="2" t="str">
        <f>"1"</f>
        <v>1</v>
      </c>
      <c r="I696" s="1">
        <v>105703.12</v>
      </c>
    </row>
    <row r="697" spans="1:9" x14ac:dyDescent="0.25">
      <c r="A697" s="2">
        <v>696</v>
      </c>
      <c r="B697" s="3">
        <v>44834</v>
      </c>
      <c r="C697" s="2">
        <v>14</v>
      </c>
      <c r="D697" s="4" t="str">
        <f>"2855"</f>
        <v>2855</v>
      </c>
      <c r="E697" t="str">
        <f>"Кредиторы по документарным расчетам"</f>
        <v>Кредиторы по документарным расчетам</v>
      </c>
      <c r="F697" s="2" t="str">
        <f>"1"</f>
        <v>1</v>
      </c>
      <c r="G697" s="2" t="str">
        <f>"7"</f>
        <v>7</v>
      </c>
      <c r="H697" s="2" t="str">
        <f>"1"</f>
        <v>1</v>
      </c>
      <c r="I697" s="1">
        <v>321017315.76999998</v>
      </c>
    </row>
    <row r="698" spans="1:9" x14ac:dyDescent="0.25">
      <c r="A698" s="2">
        <v>697</v>
      </c>
      <c r="B698" s="3">
        <v>44834</v>
      </c>
      <c r="C698" s="2">
        <v>14</v>
      </c>
      <c r="D698" s="4" t="str">
        <f>"2855"</f>
        <v>2855</v>
      </c>
      <c r="E698" t="str">
        <f>"Кредиторы по документарным расчетам"</f>
        <v>Кредиторы по документарным расчетам</v>
      </c>
      <c r="F698" s="2" t="str">
        <f>"1"</f>
        <v>1</v>
      </c>
      <c r="G698" s="2" t="str">
        <f>"6"</f>
        <v>6</v>
      </c>
      <c r="H698" s="2" t="str">
        <f>"2"</f>
        <v>2</v>
      </c>
      <c r="I698" s="1">
        <v>208239360</v>
      </c>
    </row>
    <row r="699" spans="1:9" x14ac:dyDescent="0.25">
      <c r="A699" s="2">
        <v>698</v>
      </c>
      <c r="B699" s="3">
        <v>44834</v>
      </c>
      <c r="C699" s="2">
        <v>14</v>
      </c>
      <c r="D699" s="4" t="str">
        <f>"2855"</f>
        <v>2855</v>
      </c>
      <c r="E699" t="str">
        <f>"Кредиторы по документарным расчетам"</f>
        <v>Кредиторы по документарным расчетам</v>
      </c>
      <c r="F699" s="2" t="str">
        <f>"1"</f>
        <v>1</v>
      </c>
      <c r="G699" s="2" t="str">
        <f>"7"</f>
        <v>7</v>
      </c>
      <c r="H699" s="2" t="str">
        <f>"2"</f>
        <v>2</v>
      </c>
      <c r="I699" s="1">
        <v>12424061548.379999</v>
      </c>
    </row>
    <row r="700" spans="1:9" x14ac:dyDescent="0.25">
      <c r="A700" s="2">
        <v>699</v>
      </c>
      <c r="B700" s="3">
        <v>44834</v>
      </c>
      <c r="C700" s="2">
        <v>14</v>
      </c>
      <c r="D700" s="4" t="str">
        <f>"2855"</f>
        <v>2855</v>
      </c>
      <c r="E700" t="str">
        <f>"Кредиторы по документарным расчетам"</f>
        <v>Кредиторы по документарным расчетам</v>
      </c>
      <c r="F700" s="2" t="str">
        <f>"1"</f>
        <v>1</v>
      </c>
      <c r="G700" s="2" t="str">
        <f>"5"</f>
        <v>5</v>
      </c>
      <c r="H700" s="2" t="str">
        <f>"1"</f>
        <v>1</v>
      </c>
      <c r="I700" s="1">
        <v>3990857.54</v>
      </c>
    </row>
    <row r="701" spans="1:9" x14ac:dyDescent="0.25">
      <c r="A701" s="2">
        <v>700</v>
      </c>
      <c r="B701" s="3">
        <v>44834</v>
      </c>
      <c r="C701" s="2">
        <v>14</v>
      </c>
      <c r="D701" s="4" t="str">
        <f>"2856"</f>
        <v>2856</v>
      </c>
      <c r="E701" t="str">
        <f>"Кредиторы по капитальным вложениям"</f>
        <v>Кредиторы по капитальным вложениям</v>
      </c>
      <c r="F701" s="2" t="str">
        <f>"1"</f>
        <v>1</v>
      </c>
      <c r="G701" s="2" t="str">
        <f>"1"</f>
        <v>1</v>
      </c>
      <c r="H701" s="2" t="str">
        <f>"1"</f>
        <v>1</v>
      </c>
      <c r="I701" s="1">
        <v>1202.54</v>
      </c>
    </row>
    <row r="702" spans="1:9" x14ac:dyDescent="0.25">
      <c r="A702" s="2">
        <v>701</v>
      </c>
      <c r="B702" s="3">
        <v>44834</v>
      </c>
      <c r="C702" s="2">
        <v>14</v>
      </c>
      <c r="D702" s="4" t="str">
        <f>"2856"</f>
        <v>2856</v>
      </c>
      <c r="E702" t="str">
        <f>"Кредиторы по капитальным вложениям"</f>
        <v>Кредиторы по капитальным вложениям</v>
      </c>
      <c r="F702" s="2" t="str">
        <f>"1"</f>
        <v>1</v>
      </c>
      <c r="G702" s="2" t="str">
        <f>"7"</f>
        <v>7</v>
      </c>
      <c r="H702" s="2" t="str">
        <f>"1"</f>
        <v>1</v>
      </c>
      <c r="I702" s="1">
        <v>21000000</v>
      </c>
    </row>
    <row r="703" spans="1:9" x14ac:dyDescent="0.25">
      <c r="A703" s="2">
        <v>702</v>
      </c>
      <c r="B703" s="3">
        <v>44834</v>
      </c>
      <c r="C703" s="2">
        <v>14</v>
      </c>
      <c r="D703" s="4" t="str">
        <f>"2857"</f>
        <v>2857</v>
      </c>
      <c r="E703" t="str">
        <f>"Отложенные налоговые обязательства"</f>
        <v>Отложенные налоговые обязательства</v>
      </c>
      <c r="F703" s="2" t="str">
        <f>""</f>
        <v/>
      </c>
      <c r="G703" s="2" t="str">
        <f>""</f>
        <v/>
      </c>
      <c r="H703" s="2" t="str">
        <f>""</f>
        <v/>
      </c>
      <c r="I703" s="1">
        <v>52931603174.110001</v>
      </c>
    </row>
    <row r="704" spans="1:9" x14ac:dyDescent="0.25">
      <c r="A704" s="2">
        <v>703</v>
      </c>
      <c r="B704" s="3">
        <v>44834</v>
      </c>
      <c r="C704" s="2">
        <v>14</v>
      </c>
      <c r="D704" s="4" t="str">
        <f>"2860"</f>
        <v>2860</v>
      </c>
      <c r="E704" t="str">
        <f>"Прочие кредиторы по банковской деятельности"</f>
        <v>Прочие кредиторы по банковской деятельности</v>
      </c>
      <c r="F704" s="2" t="str">
        <f>"2"</f>
        <v>2</v>
      </c>
      <c r="G704" s="2" t="str">
        <f>"3"</f>
        <v>3</v>
      </c>
      <c r="H704" s="2" t="str">
        <f>"1"</f>
        <v>1</v>
      </c>
      <c r="I704" s="1">
        <v>7275.52</v>
      </c>
    </row>
    <row r="705" spans="1:9" x14ac:dyDescent="0.25">
      <c r="A705" s="2">
        <v>704</v>
      </c>
      <c r="B705" s="3">
        <v>44834</v>
      </c>
      <c r="C705" s="2">
        <v>14</v>
      </c>
      <c r="D705" s="4" t="str">
        <f>"2860"</f>
        <v>2860</v>
      </c>
      <c r="E705" t="str">
        <f>"Прочие кредиторы по банковской деятельности"</f>
        <v>Прочие кредиторы по банковской деятельности</v>
      </c>
      <c r="F705" s="2" t="str">
        <f>"2"</f>
        <v>2</v>
      </c>
      <c r="G705" s="2" t="str">
        <f>"7"</f>
        <v>7</v>
      </c>
      <c r="H705" s="2" t="str">
        <f>"2"</f>
        <v>2</v>
      </c>
      <c r="I705" s="1">
        <v>27338589.129999999</v>
      </c>
    </row>
    <row r="706" spans="1:9" x14ac:dyDescent="0.25">
      <c r="A706" s="2">
        <v>705</v>
      </c>
      <c r="B706" s="3">
        <v>44834</v>
      </c>
      <c r="C706" s="2">
        <v>14</v>
      </c>
      <c r="D706" s="4" t="str">
        <f>"2860"</f>
        <v>2860</v>
      </c>
      <c r="E706" t="str">
        <f>"Прочие кредиторы по банковской деятельности"</f>
        <v>Прочие кредиторы по банковской деятельности</v>
      </c>
      <c r="F706" s="2" t="str">
        <f>"2"</f>
        <v>2</v>
      </c>
      <c r="G706" s="2" t="str">
        <f>"4"</f>
        <v>4</v>
      </c>
      <c r="H706" s="2" t="str">
        <f>"2"</f>
        <v>2</v>
      </c>
      <c r="I706" s="1">
        <v>6141158988.4300003</v>
      </c>
    </row>
    <row r="707" spans="1:9" x14ac:dyDescent="0.25">
      <c r="A707" s="2">
        <v>706</v>
      </c>
      <c r="B707" s="3">
        <v>44834</v>
      </c>
      <c r="C707" s="2">
        <v>14</v>
      </c>
      <c r="D707" s="4" t="str">
        <f>"2860"</f>
        <v>2860</v>
      </c>
      <c r="E707" t="str">
        <f>"Прочие кредиторы по банковской деятельности"</f>
        <v>Прочие кредиторы по банковской деятельности</v>
      </c>
      <c r="F707" s="2" t="str">
        <f>"1"</f>
        <v>1</v>
      </c>
      <c r="G707" s="2" t="str">
        <f>"4"</f>
        <v>4</v>
      </c>
      <c r="H707" s="2" t="str">
        <f>"2"</f>
        <v>2</v>
      </c>
      <c r="I707" s="1">
        <v>20660695.550000001</v>
      </c>
    </row>
    <row r="708" spans="1:9" x14ac:dyDescent="0.25">
      <c r="A708" s="2">
        <v>707</v>
      </c>
      <c r="B708" s="3">
        <v>44834</v>
      </c>
      <c r="C708" s="2">
        <v>14</v>
      </c>
      <c r="D708" s="4" t="str">
        <f>"2860"</f>
        <v>2860</v>
      </c>
      <c r="E708" t="str">
        <f>"Прочие кредиторы по банковской деятельности"</f>
        <v>Прочие кредиторы по банковской деятельности</v>
      </c>
      <c r="F708" s="2" t="str">
        <f>"2"</f>
        <v>2</v>
      </c>
      <c r="G708" s="2" t="str">
        <f>"4"</f>
        <v>4</v>
      </c>
      <c r="H708" s="2" t="str">
        <f>"1"</f>
        <v>1</v>
      </c>
      <c r="I708" s="1">
        <v>260829.09</v>
      </c>
    </row>
    <row r="709" spans="1:9" x14ac:dyDescent="0.25">
      <c r="A709" s="2">
        <v>708</v>
      </c>
      <c r="B709" s="3">
        <v>44834</v>
      </c>
      <c r="C709" s="2">
        <v>14</v>
      </c>
      <c r="D709" s="4" t="str">
        <f>"2860"</f>
        <v>2860</v>
      </c>
      <c r="E709" t="str">
        <f>"Прочие кредиторы по банковской деятельности"</f>
        <v>Прочие кредиторы по банковской деятельности</v>
      </c>
      <c r="F709" s="2" t="str">
        <f>"1"</f>
        <v>1</v>
      </c>
      <c r="G709" s="2" t="str">
        <f>"1"</f>
        <v>1</v>
      </c>
      <c r="H709" s="2" t="str">
        <f>"1"</f>
        <v>1</v>
      </c>
      <c r="I709" s="1">
        <v>7863000</v>
      </c>
    </row>
    <row r="710" spans="1:9" x14ac:dyDescent="0.25">
      <c r="A710" s="2">
        <v>709</v>
      </c>
      <c r="B710" s="3">
        <v>44834</v>
      </c>
      <c r="C710" s="2">
        <v>14</v>
      </c>
      <c r="D710" s="4" t="str">
        <f>"2860"</f>
        <v>2860</v>
      </c>
      <c r="E710" t="str">
        <f>"Прочие кредиторы по банковской деятельности"</f>
        <v>Прочие кредиторы по банковской деятельности</v>
      </c>
      <c r="F710" s="2" t="str">
        <f>"1"</f>
        <v>1</v>
      </c>
      <c r="G710" s="2" t="str">
        <f>"4"</f>
        <v>4</v>
      </c>
      <c r="H710" s="2" t="str">
        <f>"1"</f>
        <v>1</v>
      </c>
      <c r="I710" s="1">
        <v>248148487.68000001</v>
      </c>
    </row>
    <row r="711" spans="1:9" x14ac:dyDescent="0.25">
      <c r="A711" s="2">
        <v>710</v>
      </c>
      <c r="B711" s="3">
        <v>44834</v>
      </c>
      <c r="C711" s="2">
        <v>14</v>
      </c>
      <c r="D711" s="4" t="str">
        <f>"2860"</f>
        <v>2860</v>
      </c>
      <c r="E711" t="str">
        <f>"Прочие кредиторы по банковской деятельности"</f>
        <v>Прочие кредиторы по банковской деятельности</v>
      </c>
      <c r="F711" s="2" t="str">
        <f>"1"</f>
        <v>1</v>
      </c>
      <c r="G711" s="2" t="str">
        <f>"7"</f>
        <v>7</v>
      </c>
      <c r="H711" s="2" t="str">
        <f>"1"</f>
        <v>1</v>
      </c>
      <c r="I711" s="1">
        <v>2247036040.8200002</v>
      </c>
    </row>
    <row r="712" spans="1:9" x14ac:dyDescent="0.25">
      <c r="A712" s="2">
        <v>711</v>
      </c>
      <c r="B712" s="3">
        <v>44834</v>
      </c>
      <c r="C712" s="2">
        <v>14</v>
      </c>
      <c r="D712" s="4" t="str">
        <f>"2860"</f>
        <v>2860</v>
      </c>
      <c r="E712" t="str">
        <f>"Прочие кредиторы по банковской деятельности"</f>
        <v>Прочие кредиторы по банковской деятельности</v>
      </c>
      <c r="F712" s="2" t="str">
        <f>"1"</f>
        <v>1</v>
      </c>
      <c r="G712" s="2" t="str">
        <f>"9"</f>
        <v>9</v>
      </c>
      <c r="H712" s="2" t="str">
        <f>"1"</f>
        <v>1</v>
      </c>
      <c r="I712" s="1">
        <v>637562900.75999999</v>
      </c>
    </row>
    <row r="713" spans="1:9" x14ac:dyDescent="0.25">
      <c r="A713" s="2">
        <v>712</v>
      </c>
      <c r="B713" s="3">
        <v>44834</v>
      </c>
      <c r="C713" s="2">
        <v>14</v>
      </c>
      <c r="D713" s="4" t="str">
        <f>"2860"</f>
        <v>2860</v>
      </c>
      <c r="E713" t="str">
        <f>"Прочие кредиторы по банковской деятельности"</f>
        <v>Прочие кредиторы по банковской деятельности</v>
      </c>
      <c r="F713" s="2" t="str">
        <f>"2"</f>
        <v>2</v>
      </c>
      <c r="G713" s="2" t="str">
        <f>"5"</f>
        <v>5</v>
      </c>
      <c r="H713" s="2" t="str">
        <f>"1"</f>
        <v>1</v>
      </c>
      <c r="I713" s="1">
        <v>24862225.219999999</v>
      </c>
    </row>
    <row r="714" spans="1:9" x14ac:dyDescent="0.25">
      <c r="A714" s="2">
        <v>713</v>
      </c>
      <c r="B714" s="3">
        <v>44834</v>
      </c>
      <c r="C714" s="2">
        <v>14</v>
      </c>
      <c r="D714" s="4" t="str">
        <f>"2860"</f>
        <v>2860</v>
      </c>
      <c r="E714" t="str">
        <f>"Прочие кредиторы по банковской деятельности"</f>
        <v>Прочие кредиторы по банковской деятельности</v>
      </c>
      <c r="F714" s="2" t="str">
        <f>"1"</f>
        <v>1</v>
      </c>
      <c r="G714" s="2" t="str">
        <f>"4"</f>
        <v>4</v>
      </c>
      <c r="H714" s="2" t="str">
        <f>"3"</f>
        <v>3</v>
      </c>
      <c r="I714" s="1">
        <v>108680</v>
      </c>
    </row>
    <row r="715" spans="1:9" x14ac:dyDescent="0.25">
      <c r="A715" s="2">
        <v>714</v>
      </c>
      <c r="B715" s="3">
        <v>44834</v>
      </c>
      <c r="C715" s="2">
        <v>14</v>
      </c>
      <c r="D715" s="4" t="str">
        <f>"2860"</f>
        <v>2860</v>
      </c>
      <c r="E715" t="str">
        <f>"Прочие кредиторы по банковской деятельности"</f>
        <v>Прочие кредиторы по банковской деятельности</v>
      </c>
      <c r="F715" s="2" t="str">
        <f>"1"</f>
        <v>1</v>
      </c>
      <c r="G715" s="2" t="str">
        <f>"5"</f>
        <v>5</v>
      </c>
      <c r="H715" s="2" t="str">
        <f>"1"</f>
        <v>1</v>
      </c>
      <c r="I715" s="1">
        <v>117283245</v>
      </c>
    </row>
    <row r="716" spans="1:9" x14ac:dyDescent="0.25">
      <c r="A716" s="2">
        <v>715</v>
      </c>
      <c r="B716" s="3">
        <v>44834</v>
      </c>
      <c r="C716" s="2">
        <v>14</v>
      </c>
      <c r="D716" s="4" t="str">
        <f>"2861"</f>
        <v>2861</v>
      </c>
      <c r="E716" t="str">
        <f>"Резерв на отпускные выплаты"</f>
        <v>Резерв на отпускные выплаты</v>
      </c>
      <c r="F716" s="2" t="str">
        <f>""</f>
        <v/>
      </c>
      <c r="G716" s="2" t="str">
        <f>""</f>
        <v/>
      </c>
      <c r="H716" s="2" t="str">
        <f>""</f>
        <v/>
      </c>
      <c r="I716" s="1">
        <v>1942767286.9400001</v>
      </c>
    </row>
    <row r="717" spans="1:9" x14ac:dyDescent="0.25">
      <c r="A717" s="2">
        <v>716</v>
      </c>
      <c r="B717" s="3">
        <v>44834</v>
      </c>
      <c r="C717" s="2">
        <v>14</v>
      </c>
      <c r="D717" s="4" t="str">
        <f>"2863"</f>
        <v>2863</v>
      </c>
      <c r="E717" t="str">
        <f>"Обязательства по привилегированным акциям"</f>
        <v>Обязательства по привилегированным акциям</v>
      </c>
      <c r="F717" s="2" t="str">
        <f>"1"</f>
        <v>1</v>
      </c>
      <c r="G717" s="2" t="str">
        <f>"9"</f>
        <v>9</v>
      </c>
      <c r="H717" s="2" t="str">
        <f>"1"</f>
        <v>1</v>
      </c>
      <c r="I717" s="1">
        <v>0</v>
      </c>
    </row>
    <row r="718" spans="1:9" x14ac:dyDescent="0.25">
      <c r="A718" s="2">
        <v>717</v>
      </c>
      <c r="B718" s="3">
        <v>44834</v>
      </c>
      <c r="C718" s="2">
        <v>14</v>
      </c>
      <c r="D718" s="4" t="str">
        <f>"2865"</f>
        <v>2865</v>
      </c>
      <c r="E718" t="str">
        <f>"Обязательства по выпущенным электронным деньгам"</f>
        <v>Обязательства по выпущенным электронным деньгам</v>
      </c>
      <c r="F718" s="2" t="str">
        <f>"1"</f>
        <v>1</v>
      </c>
      <c r="G718" s="2" t="str">
        <f>"4"</f>
        <v>4</v>
      </c>
      <c r="H718" s="2" t="str">
        <f>"1"</f>
        <v>1</v>
      </c>
      <c r="I718" s="1">
        <v>6415483601.71</v>
      </c>
    </row>
    <row r="719" spans="1:9" x14ac:dyDescent="0.25">
      <c r="A719" s="2">
        <v>718</v>
      </c>
      <c r="B719" s="3">
        <v>44834</v>
      </c>
      <c r="C719" s="2">
        <v>14</v>
      </c>
      <c r="D719" s="4" t="str">
        <f>"2865"</f>
        <v>2865</v>
      </c>
      <c r="E719" t="str">
        <f>"Обязательства по выпущенным электронным деньгам"</f>
        <v>Обязательства по выпущенным электронным деньгам</v>
      </c>
      <c r="F719" s="2" t="str">
        <f>"1"</f>
        <v>1</v>
      </c>
      <c r="G719" s="2" t="str">
        <f>"9"</f>
        <v>9</v>
      </c>
      <c r="H719" s="2" t="str">
        <f>"1"</f>
        <v>1</v>
      </c>
      <c r="I719" s="1">
        <v>1895344898.05</v>
      </c>
    </row>
    <row r="720" spans="1:9" x14ac:dyDescent="0.25">
      <c r="A720" s="2">
        <v>719</v>
      </c>
      <c r="B720" s="3">
        <v>44834</v>
      </c>
      <c r="C720" s="2">
        <v>14</v>
      </c>
      <c r="D720" s="4" t="str">
        <f>"2865"</f>
        <v>2865</v>
      </c>
      <c r="E720" t="str">
        <f>"Обязательства по выпущенным электронным деньгам"</f>
        <v>Обязательства по выпущенным электронным деньгам</v>
      </c>
      <c r="F720" s="2" t="str">
        <f>"2"</f>
        <v>2</v>
      </c>
      <c r="G720" s="2" t="str">
        <f>"9"</f>
        <v>9</v>
      </c>
      <c r="H720" s="2" t="str">
        <f>"1"</f>
        <v>1</v>
      </c>
      <c r="I720" s="1">
        <v>1638185.64</v>
      </c>
    </row>
    <row r="721" spans="1:9" x14ac:dyDescent="0.25">
      <c r="A721" s="2">
        <v>720</v>
      </c>
      <c r="B721" s="3">
        <v>44834</v>
      </c>
      <c r="C721" s="2">
        <v>14</v>
      </c>
      <c r="D721" s="4" t="str">
        <f>"2867"</f>
        <v>2867</v>
      </c>
      <c r="E721" t="str">
        <f>"Прочие кредиторы по неосновной деятельности"</f>
        <v>Прочие кредиторы по неосновной деятельности</v>
      </c>
      <c r="F721" s="2" t="str">
        <f>"1"</f>
        <v>1</v>
      </c>
      <c r="G721" s="2" t="str">
        <f>"1"</f>
        <v>1</v>
      </c>
      <c r="H721" s="2" t="str">
        <f>"1"</f>
        <v>1</v>
      </c>
      <c r="I721" s="1">
        <v>4809.72</v>
      </c>
    </row>
    <row r="722" spans="1:9" x14ac:dyDescent="0.25">
      <c r="A722" s="2">
        <v>721</v>
      </c>
      <c r="B722" s="3">
        <v>44834</v>
      </c>
      <c r="C722" s="2">
        <v>14</v>
      </c>
      <c r="D722" s="4" t="str">
        <f>"2867"</f>
        <v>2867</v>
      </c>
      <c r="E722" t="str">
        <f>"Прочие кредиторы по неосновной деятельности"</f>
        <v>Прочие кредиторы по неосновной деятельности</v>
      </c>
      <c r="F722" s="2" t="str">
        <f>"1"</f>
        <v>1</v>
      </c>
      <c r="G722" s="2" t="str">
        <f>"6"</f>
        <v>6</v>
      </c>
      <c r="H722" s="2" t="str">
        <f>"1"</f>
        <v>1</v>
      </c>
      <c r="I722" s="1">
        <v>138000</v>
      </c>
    </row>
    <row r="723" spans="1:9" x14ac:dyDescent="0.25">
      <c r="A723" s="2">
        <v>722</v>
      </c>
      <c r="B723" s="3">
        <v>44834</v>
      </c>
      <c r="C723" s="2">
        <v>14</v>
      </c>
      <c r="D723" s="4" t="str">
        <f>"2867"</f>
        <v>2867</v>
      </c>
      <c r="E723" t="str">
        <f>"Прочие кредиторы по неосновной деятельности"</f>
        <v>Прочие кредиторы по неосновной деятельности</v>
      </c>
      <c r="F723" s="2" t="str">
        <f>"1"</f>
        <v>1</v>
      </c>
      <c r="G723" s="2" t="str">
        <f>"4"</f>
        <v>4</v>
      </c>
      <c r="H723" s="2" t="str">
        <f>"1"</f>
        <v>1</v>
      </c>
      <c r="I723" s="1">
        <v>156000</v>
      </c>
    </row>
    <row r="724" spans="1:9" x14ac:dyDescent="0.25">
      <c r="A724" s="2">
        <v>723</v>
      </c>
      <c r="B724" s="3">
        <v>44834</v>
      </c>
      <c r="C724" s="2">
        <v>14</v>
      </c>
      <c r="D724" s="4" t="str">
        <f>"2867"</f>
        <v>2867</v>
      </c>
      <c r="E724" t="str">
        <f>"Прочие кредиторы по неосновной деятельности"</f>
        <v>Прочие кредиторы по неосновной деятельности</v>
      </c>
      <c r="F724" s="2" t="str">
        <f>"1"</f>
        <v>1</v>
      </c>
      <c r="G724" s="2" t="str">
        <f>"9"</f>
        <v>9</v>
      </c>
      <c r="H724" s="2" t="str">
        <f>"1"</f>
        <v>1</v>
      </c>
      <c r="I724" s="1">
        <v>201805390</v>
      </c>
    </row>
    <row r="725" spans="1:9" x14ac:dyDescent="0.25">
      <c r="A725" s="2">
        <v>724</v>
      </c>
      <c r="B725" s="3">
        <v>44834</v>
      </c>
      <c r="C725" s="2">
        <v>14</v>
      </c>
      <c r="D725" s="4" t="str">
        <f>"2867"</f>
        <v>2867</v>
      </c>
      <c r="E725" t="str">
        <f>"Прочие кредиторы по неосновной деятельности"</f>
        <v>Прочие кредиторы по неосновной деятельности</v>
      </c>
      <c r="F725" s="2" t="str">
        <f>"1"</f>
        <v>1</v>
      </c>
      <c r="G725" s="2" t="str">
        <f>"7"</f>
        <v>7</v>
      </c>
      <c r="H725" s="2" t="str">
        <f>"1"</f>
        <v>1</v>
      </c>
      <c r="I725" s="1">
        <v>573239202.82000005</v>
      </c>
    </row>
    <row r="726" spans="1:9" x14ac:dyDescent="0.25">
      <c r="A726" s="2">
        <v>725</v>
      </c>
      <c r="B726" s="3">
        <v>44834</v>
      </c>
      <c r="C726" s="2">
        <v>14</v>
      </c>
      <c r="D726" s="4" t="str">
        <f>"2869"</f>
        <v>2869</v>
      </c>
      <c r="E726" t="str">
        <f>"Выданные гарантии"</f>
        <v>Выданные гарантии</v>
      </c>
      <c r="F726" s="2" t="str">
        <f>"2"</f>
        <v>2</v>
      </c>
      <c r="G726" s="2" t="str">
        <f>"4"</f>
        <v>4</v>
      </c>
      <c r="H726" s="2" t="str">
        <f>"2"</f>
        <v>2</v>
      </c>
      <c r="I726" s="1">
        <v>50664.74</v>
      </c>
    </row>
    <row r="727" spans="1:9" x14ac:dyDescent="0.25">
      <c r="A727" s="2">
        <v>726</v>
      </c>
      <c r="B727" s="3">
        <v>44834</v>
      </c>
      <c r="C727" s="2">
        <v>14</v>
      </c>
      <c r="D727" s="4" t="str">
        <f>"2869"</f>
        <v>2869</v>
      </c>
      <c r="E727" t="str">
        <f>"Выданные гарантии"</f>
        <v>Выданные гарантии</v>
      </c>
      <c r="F727" s="2" t="str">
        <f>"1"</f>
        <v>1</v>
      </c>
      <c r="G727" s="2" t="str">
        <f>"7"</f>
        <v>7</v>
      </c>
      <c r="H727" s="2" t="str">
        <f>"1"</f>
        <v>1</v>
      </c>
      <c r="I727" s="1">
        <v>7571479133.8999996</v>
      </c>
    </row>
    <row r="728" spans="1:9" x14ac:dyDescent="0.25">
      <c r="A728" s="2">
        <v>727</v>
      </c>
      <c r="B728" s="3">
        <v>44834</v>
      </c>
      <c r="C728" s="2">
        <v>14</v>
      </c>
      <c r="D728" s="4" t="str">
        <f>"2869"</f>
        <v>2869</v>
      </c>
      <c r="E728" t="str">
        <f>"Выданные гарантии"</f>
        <v>Выданные гарантии</v>
      </c>
      <c r="F728" s="2" t="str">
        <f>"1"</f>
        <v>1</v>
      </c>
      <c r="G728" s="2" t="str">
        <f>"7"</f>
        <v>7</v>
      </c>
      <c r="H728" s="2" t="str">
        <f>"3"</f>
        <v>3</v>
      </c>
      <c r="I728" s="1">
        <v>12190518.640000001</v>
      </c>
    </row>
    <row r="729" spans="1:9" x14ac:dyDescent="0.25">
      <c r="A729" s="2">
        <v>728</v>
      </c>
      <c r="B729" s="3">
        <v>44834</v>
      </c>
      <c r="C729" s="2">
        <v>14</v>
      </c>
      <c r="D729" s="4" t="str">
        <f>"2869"</f>
        <v>2869</v>
      </c>
      <c r="E729" t="str">
        <f>"Выданные гарантии"</f>
        <v>Выданные гарантии</v>
      </c>
      <c r="F729" s="2" t="str">
        <f>"1"</f>
        <v>1</v>
      </c>
      <c r="G729" s="2" t="str">
        <f>"9"</f>
        <v>9</v>
      </c>
      <c r="H729" s="2" t="str">
        <f>"2"</f>
        <v>2</v>
      </c>
      <c r="I729" s="1">
        <v>8814.3700000000008</v>
      </c>
    </row>
    <row r="730" spans="1:9" x14ac:dyDescent="0.25">
      <c r="A730" s="2">
        <v>729</v>
      </c>
      <c r="B730" s="3">
        <v>44834</v>
      </c>
      <c r="C730" s="2">
        <v>14</v>
      </c>
      <c r="D730" s="4" t="str">
        <f>"2869"</f>
        <v>2869</v>
      </c>
      <c r="E730" t="str">
        <f>"Выданные гарантии"</f>
        <v>Выданные гарантии</v>
      </c>
      <c r="F730" s="2" t="str">
        <f>"2"</f>
        <v>2</v>
      </c>
      <c r="G730" s="2" t="str">
        <f>"4"</f>
        <v>4</v>
      </c>
      <c r="H730" s="2" t="str">
        <f>"1"</f>
        <v>1</v>
      </c>
      <c r="I730" s="1">
        <v>2637298.91</v>
      </c>
    </row>
    <row r="731" spans="1:9" x14ac:dyDescent="0.25">
      <c r="A731" s="2">
        <v>730</v>
      </c>
      <c r="B731" s="3">
        <v>44834</v>
      </c>
      <c r="C731" s="2">
        <v>14</v>
      </c>
      <c r="D731" s="4" t="str">
        <f>"2869"</f>
        <v>2869</v>
      </c>
      <c r="E731" t="str">
        <f>"Выданные гарантии"</f>
        <v>Выданные гарантии</v>
      </c>
      <c r="F731" s="2" t="str">
        <f>"1"</f>
        <v>1</v>
      </c>
      <c r="G731" s="2" t="str">
        <f>"7"</f>
        <v>7</v>
      </c>
      <c r="H731" s="2" t="str">
        <f>"2"</f>
        <v>2</v>
      </c>
      <c r="I731" s="1">
        <v>59131658.340000004</v>
      </c>
    </row>
    <row r="732" spans="1:9" x14ac:dyDescent="0.25">
      <c r="A732" s="2">
        <v>731</v>
      </c>
      <c r="B732" s="3">
        <v>44834</v>
      </c>
      <c r="C732" s="2">
        <v>14</v>
      </c>
      <c r="D732" s="4" t="str">
        <f>"2869"</f>
        <v>2869</v>
      </c>
      <c r="E732" t="str">
        <f>"Выданные гарантии"</f>
        <v>Выданные гарантии</v>
      </c>
      <c r="F732" s="2" t="str">
        <f>"1"</f>
        <v>1</v>
      </c>
      <c r="G732" s="2" t="str">
        <f>"4"</f>
        <v>4</v>
      </c>
      <c r="H732" s="2" t="str">
        <f>"1"</f>
        <v>1</v>
      </c>
      <c r="I732" s="1">
        <v>5528.85</v>
      </c>
    </row>
    <row r="733" spans="1:9" x14ac:dyDescent="0.25">
      <c r="A733" s="2">
        <v>732</v>
      </c>
      <c r="B733" s="3">
        <v>44834</v>
      </c>
      <c r="C733" s="2">
        <v>14</v>
      </c>
      <c r="D733" s="4" t="str">
        <f>"2869"</f>
        <v>2869</v>
      </c>
      <c r="E733" t="str">
        <f>"Выданные гарантии"</f>
        <v>Выданные гарантии</v>
      </c>
      <c r="F733" s="2" t="str">
        <f>"2"</f>
        <v>2</v>
      </c>
      <c r="G733" s="2" t="str">
        <f>"7"</f>
        <v>7</v>
      </c>
      <c r="H733" s="2" t="str">
        <f>"3"</f>
        <v>3</v>
      </c>
      <c r="I733" s="1">
        <v>729429.4</v>
      </c>
    </row>
    <row r="734" spans="1:9" x14ac:dyDescent="0.25">
      <c r="A734" s="2">
        <v>733</v>
      </c>
      <c r="B734" s="3">
        <v>44834</v>
      </c>
      <c r="C734" s="2">
        <v>14</v>
      </c>
      <c r="D734" s="4" t="str">
        <f>"2869"</f>
        <v>2869</v>
      </c>
      <c r="E734" t="str">
        <f>"Выданные гарантии"</f>
        <v>Выданные гарантии</v>
      </c>
      <c r="F734" s="2" t="str">
        <f>"1"</f>
        <v>1</v>
      </c>
      <c r="G734" s="2" t="str">
        <f>"8"</f>
        <v>8</v>
      </c>
      <c r="H734" s="2" t="str">
        <f>"1"</f>
        <v>1</v>
      </c>
      <c r="I734" s="1">
        <v>155828.70000000001</v>
      </c>
    </row>
    <row r="735" spans="1:9" x14ac:dyDescent="0.25">
      <c r="A735" s="2">
        <v>734</v>
      </c>
      <c r="B735" s="3">
        <v>44834</v>
      </c>
      <c r="C735" s="2">
        <v>14</v>
      </c>
      <c r="D735" s="4" t="str">
        <f>"2869"</f>
        <v>2869</v>
      </c>
      <c r="E735" t="str">
        <f>"Выданные гарантии"</f>
        <v>Выданные гарантии</v>
      </c>
      <c r="F735" s="2" t="str">
        <f>"2"</f>
        <v>2</v>
      </c>
      <c r="G735" s="2" t="str">
        <f>"7"</f>
        <v>7</v>
      </c>
      <c r="H735" s="2" t="str">
        <f>"1"</f>
        <v>1</v>
      </c>
      <c r="I735" s="1">
        <v>3213448.64</v>
      </c>
    </row>
    <row r="736" spans="1:9" x14ac:dyDescent="0.25">
      <c r="A736" s="2">
        <v>735</v>
      </c>
      <c r="B736" s="3">
        <v>44834</v>
      </c>
      <c r="C736" s="2">
        <v>14</v>
      </c>
      <c r="D736" s="4" t="str">
        <f>"2869"</f>
        <v>2869</v>
      </c>
      <c r="E736" t="str">
        <f>"Выданные гарантии"</f>
        <v>Выданные гарантии</v>
      </c>
      <c r="F736" s="2" t="str">
        <f>"2"</f>
        <v>2</v>
      </c>
      <c r="G736" s="2" t="str">
        <f>"7"</f>
        <v>7</v>
      </c>
      <c r="H736" s="2" t="str">
        <f>"2"</f>
        <v>2</v>
      </c>
      <c r="I736" s="1">
        <v>4884227.6500000004</v>
      </c>
    </row>
    <row r="737" spans="1:9" x14ac:dyDescent="0.25">
      <c r="A737" s="2">
        <v>736</v>
      </c>
      <c r="B737" s="3">
        <v>44834</v>
      </c>
      <c r="C737" s="2">
        <v>14</v>
      </c>
      <c r="D737" s="4" t="str">
        <f>"2869"</f>
        <v>2869</v>
      </c>
      <c r="E737" t="str">
        <f>"Выданные гарантии"</f>
        <v>Выданные гарантии</v>
      </c>
      <c r="F737" s="2" t="str">
        <f>"1"</f>
        <v>1</v>
      </c>
      <c r="G737" s="2" t="str">
        <f>"5"</f>
        <v>5</v>
      </c>
      <c r="H737" s="2" t="str">
        <f>"1"</f>
        <v>1</v>
      </c>
      <c r="I737" s="1">
        <v>286017.19</v>
      </c>
    </row>
    <row r="738" spans="1:9" x14ac:dyDescent="0.25">
      <c r="A738" s="2">
        <v>737</v>
      </c>
      <c r="B738" s="3">
        <v>44834</v>
      </c>
      <c r="C738" s="2">
        <v>14</v>
      </c>
      <c r="D738" s="4" t="str">
        <f>"2869"</f>
        <v>2869</v>
      </c>
      <c r="E738" t="str">
        <f>"Выданные гарантии"</f>
        <v>Выданные гарантии</v>
      </c>
      <c r="F738" s="2" t="str">
        <f>"1"</f>
        <v>1</v>
      </c>
      <c r="G738" s="2" t="str">
        <f>"6"</f>
        <v>6</v>
      </c>
      <c r="H738" s="2" t="str">
        <f>"2"</f>
        <v>2</v>
      </c>
      <c r="I738" s="1">
        <v>18500981.620000001</v>
      </c>
    </row>
    <row r="739" spans="1:9" x14ac:dyDescent="0.25">
      <c r="A739" s="2">
        <v>738</v>
      </c>
      <c r="B739" s="3">
        <v>44834</v>
      </c>
      <c r="C739" s="2">
        <v>14</v>
      </c>
      <c r="D739" s="4" t="str">
        <f>"2869"</f>
        <v>2869</v>
      </c>
      <c r="E739" t="str">
        <f>"Выданные гарантии"</f>
        <v>Выданные гарантии</v>
      </c>
      <c r="F739" s="2" t="str">
        <f>"1"</f>
        <v>1</v>
      </c>
      <c r="G739" s="2" t="str">
        <f>"6"</f>
        <v>6</v>
      </c>
      <c r="H739" s="2" t="str">
        <f>"1"</f>
        <v>1</v>
      </c>
      <c r="I739" s="1">
        <v>533102.69999999995</v>
      </c>
    </row>
    <row r="740" spans="1:9" x14ac:dyDescent="0.25">
      <c r="A740" s="2">
        <v>739</v>
      </c>
      <c r="B740" s="3">
        <v>44834</v>
      </c>
      <c r="C740" s="2">
        <v>14</v>
      </c>
      <c r="D740" s="4" t="str">
        <f>"2869"</f>
        <v>2869</v>
      </c>
      <c r="E740" t="str">
        <f>"Выданные гарантии"</f>
        <v>Выданные гарантии</v>
      </c>
      <c r="F740" s="2" t="str">
        <f>"1"</f>
        <v>1</v>
      </c>
      <c r="G740" s="2" t="str">
        <f>"9"</f>
        <v>9</v>
      </c>
      <c r="H740" s="2" t="str">
        <f>"1"</f>
        <v>1</v>
      </c>
      <c r="I740" s="1">
        <v>2346028.33</v>
      </c>
    </row>
    <row r="741" spans="1:9" x14ac:dyDescent="0.25">
      <c r="A741" s="2">
        <v>740</v>
      </c>
      <c r="B741" s="3">
        <v>44834</v>
      </c>
      <c r="C741" s="2">
        <v>14</v>
      </c>
      <c r="D741" s="4" t="str">
        <f>"2870"</f>
        <v>2870</v>
      </c>
      <c r="E741" t="str">
        <f>"Прочие транзитные счета"</f>
        <v>Прочие транзитные счета</v>
      </c>
      <c r="F741" s="2" t="str">
        <f>"1"</f>
        <v>1</v>
      </c>
      <c r="G741" s="2" t="str">
        <f>"4"</f>
        <v>4</v>
      </c>
      <c r="H741" s="2" t="str">
        <f>"1"</f>
        <v>1</v>
      </c>
      <c r="I741" s="1">
        <v>4311368639.3299999</v>
      </c>
    </row>
    <row r="742" spans="1:9" x14ac:dyDescent="0.25">
      <c r="A742" s="2">
        <v>741</v>
      </c>
      <c r="B742" s="3">
        <v>44834</v>
      </c>
      <c r="C742" s="2">
        <v>14</v>
      </c>
      <c r="D742" s="4" t="str">
        <f>"2870"</f>
        <v>2870</v>
      </c>
      <c r="E742" t="str">
        <f>"Прочие транзитные счета"</f>
        <v>Прочие транзитные счета</v>
      </c>
      <c r="F742" s="2" t="str">
        <f>"1"</f>
        <v>1</v>
      </c>
      <c r="G742" s="2" t="str">
        <f>"4"</f>
        <v>4</v>
      </c>
      <c r="H742" s="2" t="str">
        <f>"2"</f>
        <v>2</v>
      </c>
      <c r="I742" s="1">
        <v>3486500464.5300002</v>
      </c>
    </row>
    <row r="743" spans="1:9" x14ac:dyDescent="0.25">
      <c r="A743" s="2">
        <v>742</v>
      </c>
      <c r="B743" s="3">
        <v>44834</v>
      </c>
      <c r="C743" s="2">
        <v>14</v>
      </c>
      <c r="D743" s="4" t="str">
        <f>"2870"</f>
        <v>2870</v>
      </c>
      <c r="E743" t="str">
        <f>"Прочие транзитные счета"</f>
        <v>Прочие транзитные счета</v>
      </c>
      <c r="F743" s="2" t="str">
        <f>"1"</f>
        <v>1</v>
      </c>
      <c r="G743" s="2" t="str">
        <f>"4"</f>
        <v>4</v>
      </c>
      <c r="H743" s="2" t="str">
        <f>"3"</f>
        <v>3</v>
      </c>
      <c r="I743" s="1">
        <v>531249545.54000002</v>
      </c>
    </row>
    <row r="744" spans="1:9" x14ac:dyDescent="0.25">
      <c r="A744" s="2">
        <v>743</v>
      </c>
      <c r="B744" s="3">
        <v>44834</v>
      </c>
      <c r="C744" s="2">
        <v>14</v>
      </c>
      <c r="D744" s="4" t="str">
        <f>"2870"</f>
        <v>2870</v>
      </c>
      <c r="E744" t="str">
        <f>"Прочие транзитные счета"</f>
        <v>Прочие транзитные счета</v>
      </c>
      <c r="F744" s="2" t="str">
        <f>"1"</f>
        <v>1</v>
      </c>
      <c r="G744" s="2" t="str">
        <f>"9"</f>
        <v>9</v>
      </c>
      <c r="H744" s="2" t="str">
        <f>"3"</f>
        <v>3</v>
      </c>
      <c r="I744" s="1">
        <v>962654</v>
      </c>
    </row>
    <row r="745" spans="1:9" x14ac:dyDescent="0.25">
      <c r="A745" s="2">
        <v>744</v>
      </c>
      <c r="B745" s="3">
        <v>44834</v>
      </c>
      <c r="C745" s="2">
        <v>14</v>
      </c>
      <c r="D745" s="4" t="str">
        <f>"2870"</f>
        <v>2870</v>
      </c>
      <c r="E745" t="str">
        <f>"Прочие транзитные счета"</f>
        <v>Прочие транзитные счета</v>
      </c>
      <c r="F745" s="2" t="str">
        <f>"2"</f>
        <v>2</v>
      </c>
      <c r="G745" s="2" t="str">
        <f>"7"</f>
        <v>7</v>
      </c>
      <c r="H745" s="2" t="str">
        <f>"3"</f>
        <v>3</v>
      </c>
      <c r="I745" s="1">
        <v>16353640.220000001</v>
      </c>
    </row>
    <row r="746" spans="1:9" x14ac:dyDescent="0.25">
      <c r="A746" s="2">
        <v>745</v>
      </c>
      <c r="B746" s="3">
        <v>44834</v>
      </c>
      <c r="C746" s="2">
        <v>14</v>
      </c>
      <c r="D746" s="4" t="str">
        <f>"2870"</f>
        <v>2870</v>
      </c>
      <c r="E746" t="str">
        <f>"Прочие транзитные счета"</f>
        <v>Прочие транзитные счета</v>
      </c>
      <c r="F746" s="2" t="str">
        <f>"1"</f>
        <v>1</v>
      </c>
      <c r="G746" s="2" t="str">
        <f>"7"</f>
        <v>7</v>
      </c>
      <c r="H746" s="2" t="str">
        <f>"2"</f>
        <v>2</v>
      </c>
      <c r="I746" s="1">
        <v>320345486.93000001</v>
      </c>
    </row>
    <row r="747" spans="1:9" x14ac:dyDescent="0.25">
      <c r="A747" s="2">
        <v>746</v>
      </c>
      <c r="B747" s="3">
        <v>44834</v>
      </c>
      <c r="C747" s="2">
        <v>14</v>
      </c>
      <c r="D747" s="4" t="str">
        <f>"2870"</f>
        <v>2870</v>
      </c>
      <c r="E747" t="str">
        <f>"Прочие транзитные счета"</f>
        <v>Прочие транзитные счета</v>
      </c>
      <c r="F747" s="2" t="str">
        <f>"2"</f>
        <v>2</v>
      </c>
      <c r="G747" s="2" t="str">
        <f>"7"</f>
        <v>7</v>
      </c>
      <c r="H747" s="2" t="str">
        <f>"2"</f>
        <v>2</v>
      </c>
      <c r="I747" s="1">
        <v>487467523.66000003</v>
      </c>
    </row>
    <row r="748" spans="1:9" x14ac:dyDescent="0.25">
      <c r="A748" s="2">
        <v>747</v>
      </c>
      <c r="B748" s="3">
        <v>44834</v>
      </c>
      <c r="C748" s="2">
        <v>14</v>
      </c>
      <c r="D748" s="4" t="str">
        <f>"2870"</f>
        <v>2870</v>
      </c>
      <c r="E748" t="str">
        <f>"Прочие транзитные счета"</f>
        <v>Прочие транзитные счета</v>
      </c>
      <c r="F748" s="2" t="str">
        <f>"1"</f>
        <v>1</v>
      </c>
      <c r="G748" s="2" t="str">
        <f>"7"</f>
        <v>7</v>
      </c>
      <c r="H748" s="2" t="str">
        <f>"3"</f>
        <v>3</v>
      </c>
      <c r="I748" s="1">
        <v>8037014.25</v>
      </c>
    </row>
    <row r="749" spans="1:9" x14ac:dyDescent="0.25">
      <c r="A749" s="2">
        <v>748</v>
      </c>
      <c r="B749" s="3">
        <v>44834</v>
      </c>
      <c r="C749" s="2">
        <v>14</v>
      </c>
      <c r="D749" s="4" t="str">
        <f>"2870"</f>
        <v>2870</v>
      </c>
      <c r="E749" t="str">
        <f>"Прочие транзитные счета"</f>
        <v>Прочие транзитные счета</v>
      </c>
      <c r="F749" s="2" t="str">
        <f>"1"</f>
        <v>1</v>
      </c>
      <c r="G749" s="2" t="str">
        <f>"9"</f>
        <v>9</v>
      </c>
      <c r="H749" s="2" t="str">
        <f>"1"</f>
        <v>1</v>
      </c>
      <c r="I749" s="1">
        <v>1604430027.9000001</v>
      </c>
    </row>
    <row r="750" spans="1:9" x14ac:dyDescent="0.25">
      <c r="A750" s="2">
        <v>749</v>
      </c>
      <c r="B750" s="3">
        <v>44834</v>
      </c>
      <c r="C750" s="2">
        <v>14</v>
      </c>
      <c r="D750" s="4" t="str">
        <f>"2870"</f>
        <v>2870</v>
      </c>
      <c r="E750" t="str">
        <f>"Прочие транзитные счета"</f>
        <v>Прочие транзитные счета</v>
      </c>
      <c r="F750" s="2" t="str">
        <f>"1"</f>
        <v>1</v>
      </c>
      <c r="G750" s="2" t="str">
        <f>"7"</f>
        <v>7</v>
      </c>
      <c r="H750" s="2" t="str">
        <f>"1"</f>
        <v>1</v>
      </c>
      <c r="I750" s="1">
        <v>15896818604</v>
      </c>
    </row>
    <row r="751" spans="1:9" x14ac:dyDescent="0.25">
      <c r="A751" s="2">
        <v>750</v>
      </c>
      <c r="B751" s="3">
        <v>44834</v>
      </c>
      <c r="C751" s="2">
        <v>14</v>
      </c>
      <c r="D751" s="4" t="str">
        <f>"2870"</f>
        <v>2870</v>
      </c>
      <c r="E751" t="str">
        <f>"Прочие транзитные счета"</f>
        <v>Прочие транзитные счета</v>
      </c>
      <c r="F751" s="2" t="str">
        <f>"2"</f>
        <v>2</v>
      </c>
      <c r="G751" s="2" t="str">
        <f>"4"</f>
        <v>4</v>
      </c>
      <c r="H751" s="2" t="str">
        <f>"2"</f>
        <v>2</v>
      </c>
      <c r="I751" s="1">
        <v>4204405790.75</v>
      </c>
    </row>
    <row r="752" spans="1:9" x14ac:dyDescent="0.25">
      <c r="A752" s="2">
        <v>751</v>
      </c>
      <c r="B752" s="3">
        <v>44834</v>
      </c>
      <c r="C752" s="2">
        <v>14</v>
      </c>
      <c r="D752" s="4" t="str">
        <f>"2870"</f>
        <v>2870</v>
      </c>
      <c r="E752" t="str">
        <f>"Прочие транзитные счета"</f>
        <v>Прочие транзитные счета</v>
      </c>
      <c r="F752" s="2" t="str">
        <f>"2"</f>
        <v>2</v>
      </c>
      <c r="G752" s="2" t="str">
        <f>"4"</f>
        <v>4</v>
      </c>
      <c r="H752" s="2" t="str">
        <f>"3"</f>
        <v>3</v>
      </c>
      <c r="I752" s="1">
        <v>848855618.57000005</v>
      </c>
    </row>
    <row r="753" spans="1:9" x14ac:dyDescent="0.25">
      <c r="A753" s="2">
        <v>752</v>
      </c>
      <c r="B753" s="3">
        <v>44834</v>
      </c>
      <c r="C753" s="2">
        <v>14</v>
      </c>
      <c r="D753" s="4" t="str">
        <f>"2870"</f>
        <v>2870</v>
      </c>
      <c r="E753" t="str">
        <f>"Прочие транзитные счета"</f>
        <v>Прочие транзитные счета</v>
      </c>
      <c r="F753" s="2" t="str">
        <f>"1"</f>
        <v>1</v>
      </c>
      <c r="G753" s="2" t="str">
        <f>"9"</f>
        <v>9</v>
      </c>
      <c r="H753" s="2" t="str">
        <f>"2"</f>
        <v>2</v>
      </c>
      <c r="I753" s="1">
        <v>38615841.119999997</v>
      </c>
    </row>
    <row r="754" spans="1:9" x14ac:dyDescent="0.25">
      <c r="A754" s="2">
        <v>753</v>
      </c>
      <c r="B754" s="3">
        <v>44834</v>
      </c>
      <c r="C754" s="2">
        <v>14</v>
      </c>
      <c r="D754" s="4" t="str">
        <f>"2874"</f>
        <v>2874</v>
      </c>
      <c r="E75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754" s="2" t="str">
        <f>"2"</f>
        <v>2</v>
      </c>
      <c r="G754" s="2" t="str">
        <f>""</f>
        <v/>
      </c>
      <c r="H754" s="2" t="str">
        <f>"2"</f>
        <v>2</v>
      </c>
      <c r="I754" s="1">
        <v>534529727.75</v>
      </c>
    </row>
    <row r="755" spans="1:9" x14ac:dyDescent="0.25">
      <c r="A755" s="2">
        <v>754</v>
      </c>
      <c r="B755" s="3">
        <v>44834</v>
      </c>
      <c r="C755" s="2">
        <v>14</v>
      </c>
      <c r="D755" s="4" t="str">
        <f>"2874"</f>
        <v>2874</v>
      </c>
      <c r="E75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755" s="2" t="str">
        <f>"1"</f>
        <v>1</v>
      </c>
      <c r="G755" s="2" t="str">
        <f>""</f>
        <v/>
      </c>
      <c r="H755" s="2" t="str">
        <f>"1"</f>
        <v>1</v>
      </c>
      <c r="I755" s="1">
        <v>55000</v>
      </c>
    </row>
    <row r="756" spans="1:9" x14ac:dyDescent="0.25">
      <c r="A756" s="2">
        <v>755</v>
      </c>
      <c r="B756" s="3">
        <v>44834</v>
      </c>
      <c r="C756" s="2">
        <v>14</v>
      </c>
      <c r="D756" s="4" t="str">
        <f>"2875"</f>
        <v>2875</v>
      </c>
      <c r="E75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56" s="2" t="str">
        <f>"1"</f>
        <v>1</v>
      </c>
      <c r="G756" s="2" t="str">
        <f>"9"</f>
        <v>9</v>
      </c>
      <c r="H756" s="2" t="str">
        <f>"2"</f>
        <v>2</v>
      </c>
      <c r="I756" s="1">
        <v>39862919.25</v>
      </c>
    </row>
    <row r="757" spans="1:9" x14ac:dyDescent="0.25">
      <c r="A757" s="2">
        <v>756</v>
      </c>
      <c r="B757" s="3">
        <v>44834</v>
      </c>
      <c r="C757" s="2">
        <v>14</v>
      </c>
      <c r="D757" s="4" t="str">
        <f>"2875"</f>
        <v>2875</v>
      </c>
      <c r="E75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57" s="2" t="str">
        <f>"1"</f>
        <v>1</v>
      </c>
      <c r="G757" s="2" t="str">
        <f>"5"</f>
        <v>5</v>
      </c>
      <c r="H757" s="2" t="str">
        <f>"1"</f>
        <v>1</v>
      </c>
      <c r="I757" s="1">
        <v>3823156.83</v>
      </c>
    </row>
    <row r="758" spans="1:9" x14ac:dyDescent="0.25">
      <c r="A758" s="2">
        <v>757</v>
      </c>
      <c r="B758" s="3">
        <v>44834</v>
      </c>
      <c r="C758" s="2">
        <v>14</v>
      </c>
      <c r="D758" s="4" t="str">
        <f>"2875"</f>
        <v>2875</v>
      </c>
      <c r="E75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58" s="2" t="str">
        <f>"1"</f>
        <v>1</v>
      </c>
      <c r="G758" s="2" t="str">
        <f>"6"</f>
        <v>6</v>
      </c>
      <c r="H758" s="2" t="str">
        <f>"1"</f>
        <v>1</v>
      </c>
      <c r="I758" s="1">
        <v>15682833.25</v>
      </c>
    </row>
    <row r="759" spans="1:9" x14ac:dyDescent="0.25">
      <c r="A759" s="2">
        <v>758</v>
      </c>
      <c r="B759" s="3">
        <v>44834</v>
      </c>
      <c r="C759" s="2">
        <v>14</v>
      </c>
      <c r="D759" s="4" t="str">
        <f>"2875"</f>
        <v>2875</v>
      </c>
      <c r="E75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59" s="2" t="str">
        <f>"1"</f>
        <v>1</v>
      </c>
      <c r="G759" s="2" t="str">
        <f>"5"</f>
        <v>5</v>
      </c>
      <c r="H759" s="2" t="str">
        <f>"2"</f>
        <v>2</v>
      </c>
      <c r="I759" s="1">
        <v>602532.84</v>
      </c>
    </row>
    <row r="760" spans="1:9" x14ac:dyDescent="0.25">
      <c r="A760" s="2">
        <v>759</v>
      </c>
      <c r="B760" s="3">
        <v>44834</v>
      </c>
      <c r="C760" s="2">
        <v>14</v>
      </c>
      <c r="D760" s="4" t="str">
        <f>"2875"</f>
        <v>2875</v>
      </c>
      <c r="E76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60" s="2" t="str">
        <f>"2"</f>
        <v>2</v>
      </c>
      <c r="G760" s="2" t="str">
        <f>"3"</f>
        <v>3</v>
      </c>
      <c r="H760" s="2" t="str">
        <f>"1"</f>
        <v>1</v>
      </c>
      <c r="I760" s="1">
        <v>19848.2</v>
      </c>
    </row>
    <row r="761" spans="1:9" x14ac:dyDescent="0.25">
      <c r="A761" s="2">
        <v>760</v>
      </c>
      <c r="B761" s="3">
        <v>44834</v>
      </c>
      <c r="C761" s="2">
        <v>14</v>
      </c>
      <c r="D761" s="4" t="str">
        <f>"2875"</f>
        <v>2875</v>
      </c>
      <c r="E76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61" s="2" t="str">
        <f>"2"</f>
        <v>2</v>
      </c>
      <c r="G761" s="2" t="str">
        <f>"7"</f>
        <v>7</v>
      </c>
      <c r="H761" s="2" t="str">
        <f>"2"</f>
        <v>2</v>
      </c>
      <c r="I761" s="1">
        <v>375031661.25999999</v>
      </c>
    </row>
    <row r="762" spans="1:9" x14ac:dyDescent="0.25">
      <c r="A762" s="2">
        <v>761</v>
      </c>
      <c r="B762" s="3">
        <v>44834</v>
      </c>
      <c r="C762" s="2">
        <v>14</v>
      </c>
      <c r="D762" s="4" t="str">
        <f>"2875"</f>
        <v>2875</v>
      </c>
      <c r="E76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62" s="2" t="str">
        <f>"1"</f>
        <v>1</v>
      </c>
      <c r="G762" s="2" t="str">
        <f>"7"</f>
        <v>7</v>
      </c>
      <c r="H762" s="2" t="str">
        <f>"1"</f>
        <v>1</v>
      </c>
      <c r="I762" s="1">
        <v>2100333088.46</v>
      </c>
    </row>
    <row r="763" spans="1:9" x14ac:dyDescent="0.25">
      <c r="A763" s="2">
        <v>762</v>
      </c>
      <c r="B763" s="3">
        <v>44834</v>
      </c>
      <c r="C763" s="2">
        <v>14</v>
      </c>
      <c r="D763" s="4" t="str">
        <f>"2875"</f>
        <v>2875</v>
      </c>
      <c r="E76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63" s="2" t="str">
        <f>"1"</f>
        <v>1</v>
      </c>
      <c r="G763" s="2" t="str">
        <f>"7"</f>
        <v>7</v>
      </c>
      <c r="H763" s="2" t="str">
        <f>"2"</f>
        <v>2</v>
      </c>
      <c r="I763" s="1">
        <v>1018319773.01</v>
      </c>
    </row>
    <row r="764" spans="1:9" x14ac:dyDescent="0.25">
      <c r="A764" s="2">
        <v>763</v>
      </c>
      <c r="B764" s="3">
        <v>44834</v>
      </c>
      <c r="C764" s="2">
        <v>14</v>
      </c>
      <c r="D764" s="4" t="str">
        <f>"2875"</f>
        <v>2875</v>
      </c>
      <c r="E76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64" s="2" t="str">
        <f>"1"</f>
        <v>1</v>
      </c>
      <c r="G764" s="2" t="str">
        <f>"9"</f>
        <v>9</v>
      </c>
      <c r="H764" s="2" t="str">
        <f>"1"</f>
        <v>1</v>
      </c>
      <c r="I764" s="1">
        <v>418269034.94999999</v>
      </c>
    </row>
    <row r="765" spans="1:9" x14ac:dyDescent="0.25">
      <c r="A765" s="2">
        <v>764</v>
      </c>
      <c r="B765" s="3">
        <v>44834</v>
      </c>
      <c r="C765" s="2">
        <v>14</v>
      </c>
      <c r="D765" s="4" t="str">
        <f>"2875"</f>
        <v>2875</v>
      </c>
      <c r="E76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65" s="2" t="str">
        <f>"2"</f>
        <v>2</v>
      </c>
      <c r="G765" s="2" t="str">
        <f>"9"</f>
        <v>9</v>
      </c>
      <c r="H765" s="2" t="str">
        <f>"1"</f>
        <v>1</v>
      </c>
      <c r="I765" s="1">
        <v>798632.25</v>
      </c>
    </row>
    <row r="766" spans="1:9" x14ac:dyDescent="0.25">
      <c r="A766" s="2">
        <v>765</v>
      </c>
      <c r="B766" s="3">
        <v>44834</v>
      </c>
      <c r="C766" s="2">
        <v>14</v>
      </c>
      <c r="D766" s="4" t="str">
        <f>"2875"</f>
        <v>2875</v>
      </c>
      <c r="E76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66" s="2" t="str">
        <f>"1"</f>
        <v>1</v>
      </c>
      <c r="G766" s="2" t="str">
        <f>"4"</f>
        <v>4</v>
      </c>
      <c r="H766" s="2" t="str">
        <f>"1"</f>
        <v>1</v>
      </c>
      <c r="I766" s="1">
        <v>3175.71</v>
      </c>
    </row>
    <row r="767" spans="1:9" x14ac:dyDescent="0.25">
      <c r="A767" s="2">
        <v>766</v>
      </c>
      <c r="B767" s="3">
        <v>44834</v>
      </c>
      <c r="C767" s="2">
        <v>14</v>
      </c>
      <c r="D767" s="4" t="str">
        <f>"2875"</f>
        <v>2875</v>
      </c>
      <c r="E76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67" s="2" t="str">
        <f>"2"</f>
        <v>2</v>
      </c>
      <c r="G767" s="2" t="str">
        <f>"9"</f>
        <v>9</v>
      </c>
      <c r="H767" s="2" t="str">
        <f>"2"</f>
        <v>2</v>
      </c>
      <c r="I767" s="1">
        <v>706977.9</v>
      </c>
    </row>
    <row r="768" spans="1:9" x14ac:dyDescent="0.25">
      <c r="A768" s="2">
        <v>767</v>
      </c>
      <c r="B768" s="3">
        <v>44834</v>
      </c>
      <c r="C768" s="2">
        <v>14</v>
      </c>
      <c r="D768" s="4" t="str">
        <f>"2875"</f>
        <v>2875</v>
      </c>
      <c r="E76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68" s="2" t="str">
        <f>"1"</f>
        <v>1</v>
      </c>
      <c r="G768" s="2" t="str">
        <f>"4"</f>
        <v>4</v>
      </c>
      <c r="H768" s="2" t="str">
        <f>"2"</f>
        <v>2</v>
      </c>
      <c r="I768" s="1">
        <v>3407.7</v>
      </c>
    </row>
    <row r="769" spans="1:9" x14ac:dyDescent="0.25">
      <c r="A769" s="2">
        <v>768</v>
      </c>
      <c r="B769" s="3">
        <v>44834</v>
      </c>
      <c r="C769" s="2">
        <v>14</v>
      </c>
      <c r="D769" s="4" t="str">
        <f>"2875"</f>
        <v>2875</v>
      </c>
      <c r="E76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69" s="2" t="str">
        <f>"1"</f>
        <v>1</v>
      </c>
      <c r="G769" s="2" t="str">
        <f>"8"</f>
        <v>8</v>
      </c>
      <c r="H769" s="2" t="str">
        <f>"1"</f>
        <v>1</v>
      </c>
      <c r="I769" s="1">
        <v>49082.64</v>
      </c>
    </row>
    <row r="770" spans="1:9" x14ac:dyDescent="0.25">
      <c r="A770" s="2">
        <v>769</v>
      </c>
      <c r="B770" s="3">
        <v>44834</v>
      </c>
      <c r="C770" s="2">
        <v>14</v>
      </c>
      <c r="D770" s="4" t="str">
        <f>"2875"</f>
        <v>2875</v>
      </c>
      <c r="E77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70" s="2" t="str">
        <f>"1"</f>
        <v>1</v>
      </c>
      <c r="G770" s="2" t="str">
        <f>"3"</f>
        <v>3</v>
      </c>
      <c r="H770" s="2" t="str">
        <f>"1"</f>
        <v>1</v>
      </c>
      <c r="I770" s="1">
        <v>138750</v>
      </c>
    </row>
    <row r="771" spans="1:9" x14ac:dyDescent="0.25">
      <c r="A771" s="2">
        <v>770</v>
      </c>
      <c r="B771" s="3">
        <v>44834</v>
      </c>
      <c r="C771" s="2">
        <v>14</v>
      </c>
      <c r="D771" s="4" t="str">
        <f>"2875"</f>
        <v>2875</v>
      </c>
      <c r="E77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71" s="2" t="str">
        <f>"1"</f>
        <v>1</v>
      </c>
      <c r="G771" s="2" t="str">
        <f>"7"</f>
        <v>7</v>
      </c>
      <c r="H771" s="2" t="str">
        <f>"3"</f>
        <v>3</v>
      </c>
      <c r="I771" s="1">
        <v>3709519909.98</v>
      </c>
    </row>
    <row r="772" spans="1:9" x14ac:dyDescent="0.25">
      <c r="A772" s="2">
        <v>771</v>
      </c>
      <c r="B772" s="3">
        <v>44834</v>
      </c>
      <c r="C772" s="2">
        <v>14</v>
      </c>
      <c r="D772" s="4" t="str">
        <f>"2875"</f>
        <v>2875</v>
      </c>
      <c r="E77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72" s="2" t="str">
        <f>"2"</f>
        <v>2</v>
      </c>
      <c r="G772" s="2" t="str">
        <f>"4"</f>
        <v>4</v>
      </c>
      <c r="H772" s="2" t="str">
        <f>"1"</f>
        <v>1</v>
      </c>
      <c r="I772" s="1">
        <v>15878.56</v>
      </c>
    </row>
    <row r="773" spans="1:9" x14ac:dyDescent="0.25">
      <c r="A773" s="2">
        <v>772</v>
      </c>
      <c r="B773" s="3">
        <v>44834</v>
      </c>
      <c r="C773" s="2">
        <v>14</v>
      </c>
      <c r="D773" s="4" t="str">
        <f>"2880"</f>
        <v>2880</v>
      </c>
      <c r="E773" t="str">
        <f>"Обязательства по секьюритизируемым активам"</f>
        <v>Обязательства по секьюритизируемым активам</v>
      </c>
      <c r="F773" s="2" t="str">
        <f>"1"</f>
        <v>1</v>
      </c>
      <c r="G773" s="2" t="str">
        <f>""</f>
        <v/>
      </c>
      <c r="H773" s="2" t="str">
        <f>"1"</f>
        <v>1</v>
      </c>
      <c r="I773" s="1">
        <v>92354262492.679993</v>
      </c>
    </row>
    <row r="774" spans="1:9" x14ac:dyDescent="0.25">
      <c r="A774" s="2">
        <v>773</v>
      </c>
      <c r="B774" s="3">
        <v>44834</v>
      </c>
      <c r="C774" s="2">
        <v>14</v>
      </c>
      <c r="D774" s="4" t="str">
        <f>"2894"</f>
        <v>2894</v>
      </c>
      <c r="E774" t="str">
        <f>"Обязательства по операциям спот"</f>
        <v>Обязательства по операциям спот</v>
      </c>
      <c r="F774" s="2" t="str">
        <f>"2"</f>
        <v>2</v>
      </c>
      <c r="G774" s="2" t="str">
        <f>"4"</f>
        <v>4</v>
      </c>
      <c r="H774" s="2" t="str">
        <f>"1"</f>
        <v>1</v>
      </c>
      <c r="I774" s="1">
        <v>773792965.22000003</v>
      </c>
    </row>
    <row r="775" spans="1:9" x14ac:dyDescent="0.25">
      <c r="A775" s="2">
        <v>774</v>
      </c>
      <c r="B775" s="3">
        <v>44834</v>
      </c>
      <c r="C775" s="2">
        <v>14</v>
      </c>
      <c r="D775" s="4" t="str">
        <f>"2894"</f>
        <v>2894</v>
      </c>
      <c r="E775" t="str">
        <f>"Обязательства по операциям спот"</f>
        <v>Обязательства по операциям спот</v>
      </c>
      <c r="F775" s="2" t="str">
        <f>"1"</f>
        <v>1</v>
      </c>
      <c r="G775" s="2" t="str">
        <f>"5"</f>
        <v>5</v>
      </c>
      <c r="H775" s="2" t="str">
        <f>"1"</f>
        <v>1</v>
      </c>
      <c r="I775" s="1">
        <v>91547126.939999998</v>
      </c>
    </row>
    <row r="776" spans="1:9" x14ac:dyDescent="0.25">
      <c r="A776" s="2">
        <v>775</v>
      </c>
      <c r="B776" s="3">
        <v>44834</v>
      </c>
      <c r="C776" s="2">
        <v>14</v>
      </c>
      <c r="D776" s="4" t="str">
        <f>"2894"</f>
        <v>2894</v>
      </c>
      <c r="E776" t="str">
        <f>"Обязательства по операциям спот"</f>
        <v>Обязательства по операциям спот</v>
      </c>
      <c r="F776" s="2" t="str">
        <f>"2"</f>
        <v>2</v>
      </c>
      <c r="G776" s="2" t="str">
        <f>"4"</f>
        <v>4</v>
      </c>
      <c r="H776" s="2" t="str">
        <f>"3"</f>
        <v>3</v>
      </c>
      <c r="I776" s="1">
        <v>29030100000</v>
      </c>
    </row>
    <row r="777" spans="1:9" x14ac:dyDescent="0.25">
      <c r="A777" s="2">
        <v>776</v>
      </c>
      <c r="B777" s="3">
        <v>44834</v>
      </c>
      <c r="C777" s="2">
        <v>14</v>
      </c>
      <c r="D777" s="4" t="str">
        <f>"2894"</f>
        <v>2894</v>
      </c>
      <c r="E777" t="str">
        <f>"Обязательства по операциям спот"</f>
        <v>Обязательства по операциям спот</v>
      </c>
      <c r="F777" s="2" t="str">
        <f>"2"</f>
        <v>2</v>
      </c>
      <c r="G777" s="2" t="str">
        <f>"4"</f>
        <v>4</v>
      </c>
      <c r="H777" s="2" t="str">
        <f>"2"</f>
        <v>2</v>
      </c>
      <c r="I777" s="1">
        <v>11660581250</v>
      </c>
    </row>
    <row r="778" spans="1:9" x14ac:dyDescent="0.25">
      <c r="A778" s="2">
        <v>777</v>
      </c>
      <c r="B778" s="3">
        <v>44834</v>
      </c>
      <c r="C778" s="2">
        <v>14</v>
      </c>
      <c r="D778" s="4" t="str">
        <f>"2894"</f>
        <v>2894</v>
      </c>
      <c r="E778" t="str">
        <f>"Обязательства по операциям спот"</f>
        <v>Обязательства по операциям спот</v>
      </c>
      <c r="F778" s="2" t="str">
        <f>"1"</f>
        <v>1</v>
      </c>
      <c r="G778" s="2" t="str">
        <f>"4"</f>
        <v>4</v>
      </c>
      <c r="H778" s="2" t="str">
        <f>"1"</f>
        <v>1</v>
      </c>
      <c r="I778" s="1">
        <v>18360000</v>
      </c>
    </row>
    <row r="779" spans="1:9" x14ac:dyDescent="0.25">
      <c r="A779" s="2">
        <v>778</v>
      </c>
      <c r="B779" s="3">
        <v>44834</v>
      </c>
      <c r="C779" s="2">
        <v>14</v>
      </c>
      <c r="D779" s="4" t="str">
        <f>"2895"</f>
        <v>2895</v>
      </c>
      <c r="E779" t="str">
        <f>"Обязательства по операциям своп"</f>
        <v>Обязательства по операциям своп</v>
      </c>
      <c r="F779" s="2" t="str">
        <f>"2"</f>
        <v>2</v>
      </c>
      <c r="G779" s="2" t="str">
        <f>"4"</f>
        <v>4</v>
      </c>
      <c r="H779" s="2" t="str">
        <f>"1"</f>
        <v>1</v>
      </c>
      <c r="I779" s="1">
        <v>7186776407.8599997</v>
      </c>
    </row>
    <row r="780" spans="1:9" x14ac:dyDescent="0.25">
      <c r="A780" s="2">
        <v>779</v>
      </c>
      <c r="B780" s="3">
        <v>44834</v>
      </c>
      <c r="C780" s="2">
        <v>14</v>
      </c>
      <c r="D780" s="4" t="str">
        <f>"2895"</f>
        <v>2895</v>
      </c>
      <c r="E780" t="str">
        <f>"Обязательства по операциям своп"</f>
        <v>Обязательства по операциям своп</v>
      </c>
      <c r="F780" s="2" t="str">
        <f>"2"</f>
        <v>2</v>
      </c>
      <c r="G780" s="2" t="str">
        <f>"3"</f>
        <v>3</v>
      </c>
      <c r="H780" s="2" t="str">
        <f>"1"</f>
        <v>1</v>
      </c>
      <c r="I780" s="1">
        <v>18442836.030000001</v>
      </c>
    </row>
    <row r="781" spans="1:9" x14ac:dyDescent="0.25">
      <c r="A781" s="2">
        <v>780</v>
      </c>
      <c r="B781" s="3">
        <v>44834</v>
      </c>
      <c r="C781" s="2">
        <v>14</v>
      </c>
      <c r="D781" s="4" t="str">
        <f>"3001"</f>
        <v>3001</v>
      </c>
      <c r="E781" t="str">
        <f>"Уставный капитал – простые акции"</f>
        <v>Уставный капитал – простые акции</v>
      </c>
      <c r="F781" s="2" t="str">
        <f>""</f>
        <v/>
      </c>
      <c r="G781" s="2" t="str">
        <f>""</f>
        <v/>
      </c>
      <c r="H781" s="2" t="str">
        <f>""</f>
        <v/>
      </c>
      <c r="I781" s="1">
        <v>212689578336.25</v>
      </c>
    </row>
    <row r="782" spans="1:9" x14ac:dyDescent="0.25">
      <c r="A782" s="2">
        <v>781</v>
      </c>
      <c r="B782" s="3">
        <v>44834</v>
      </c>
      <c r="C782" s="2">
        <v>14</v>
      </c>
      <c r="D782" s="4" t="str">
        <f>"3003"</f>
        <v>3003</v>
      </c>
      <c r="E782" t="str">
        <f>"Выкупленные простые акции"</f>
        <v>Выкупленные простые акции</v>
      </c>
      <c r="F782" s="2" t="str">
        <f>""</f>
        <v/>
      </c>
      <c r="G782" s="2" t="str">
        <f>""</f>
        <v/>
      </c>
      <c r="H782" s="2" t="str">
        <f>""</f>
        <v/>
      </c>
      <c r="I782" s="1">
        <v>-260598046647.04999</v>
      </c>
    </row>
    <row r="783" spans="1:9" x14ac:dyDescent="0.25">
      <c r="A783" s="2">
        <v>782</v>
      </c>
      <c r="B783" s="3">
        <v>44834</v>
      </c>
      <c r="C783" s="2">
        <v>14</v>
      </c>
      <c r="D783" s="4" t="str">
        <f>"3101"</f>
        <v>3101</v>
      </c>
      <c r="E783" t="str">
        <f>"Дополнительный оплаченный капитал"</f>
        <v>Дополнительный оплаченный капитал</v>
      </c>
      <c r="F783" s="2" t="str">
        <f>""</f>
        <v/>
      </c>
      <c r="G783" s="2" t="str">
        <f>""</f>
        <v/>
      </c>
      <c r="H783" s="2" t="str">
        <f>""</f>
        <v/>
      </c>
      <c r="I783" s="1">
        <v>1767734997.3199999</v>
      </c>
    </row>
    <row r="784" spans="1:9" x14ac:dyDescent="0.25">
      <c r="A784" s="2">
        <v>783</v>
      </c>
      <c r="B784" s="3">
        <v>44834</v>
      </c>
      <c r="C784" s="2">
        <v>14</v>
      </c>
      <c r="D784" s="4" t="str">
        <f>"3510"</f>
        <v>3510</v>
      </c>
      <c r="E784" t="str">
        <f>"Резервный капитал"</f>
        <v>Резервный капитал</v>
      </c>
      <c r="F784" s="2" t="str">
        <f>""</f>
        <v/>
      </c>
      <c r="G784" s="2" t="str">
        <f>""</f>
        <v/>
      </c>
      <c r="H784" s="2" t="str">
        <f>""</f>
        <v/>
      </c>
      <c r="I784" s="1">
        <v>53761496727.209999</v>
      </c>
    </row>
    <row r="785" spans="1:9" x14ac:dyDescent="0.25">
      <c r="A785" s="2">
        <v>784</v>
      </c>
      <c r="B785" s="3">
        <v>44834</v>
      </c>
      <c r="C785" s="2">
        <v>14</v>
      </c>
      <c r="D785" s="4" t="str">
        <f>"3540"</f>
        <v>3540</v>
      </c>
      <c r="E785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785" s="2" t="str">
        <f>""</f>
        <v/>
      </c>
      <c r="G785" s="2" t="str">
        <f>""</f>
        <v/>
      </c>
      <c r="H785" s="2" t="str">
        <f>""</f>
        <v/>
      </c>
      <c r="I785" s="1">
        <v>20794733055.189999</v>
      </c>
    </row>
    <row r="786" spans="1:9" x14ac:dyDescent="0.25">
      <c r="A786" s="2">
        <v>785</v>
      </c>
      <c r="B786" s="3">
        <v>44834</v>
      </c>
      <c r="C786" s="2">
        <v>14</v>
      </c>
      <c r="D786" s="4" t="str">
        <f>"3561"</f>
        <v>3561</v>
      </c>
      <c r="E786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786" s="2" t="str">
        <f>"1"</f>
        <v>1</v>
      </c>
      <c r="G786" s="2" t="str">
        <f>""</f>
        <v/>
      </c>
      <c r="H786" s="2" t="str">
        <f>"1"</f>
        <v>1</v>
      </c>
      <c r="I786" s="1">
        <v>90103066016.270004</v>
      </c>
    </row>
    <row r="787" spans="1:9" x14ac:dyDescent="0.25">
      <c r="A787" s="2">
        <v>786</v>
      </c>
      <c r="B787" s="3">
        <v>44834</v>
      </c>
      <c r="C787" s="2">
        <v>14</v>
      </c>
      <c r="D787" s="4" t="str">
        <f>"3561"</f>
        <v>3561</v>
      </c>
      <c r="E78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787" s="2" t="str">
        <f>"2"</f>
        <v>2</v>
      </c>
      <c r="G787" s="2" t="str">
        <f>""</f>
        <v/>
      </c>
      <c r="H787" s="2" t="str">
        <f>"1"</f>
        <v>1</v>
      </c>
      <c r="I787" s="1">
        <v>-1832668972.3499999</v>
      </c>
    </row>
    <row r="788" spans="1:9" x14ac:dyDescent="0.25">
      <c r="A788" s="2">
        <v>787</v>
      </c>
      <c r="B788" s="3">
        <v>44834</v>
      </c>
      <c r="C788" s="2">
        <v>14</v>
      </c>
      <c r="D788" s="4" t="str">
        <f>"3561"</f>
        <v>3561</v>
      </c>
      <c r="E78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788" s="2" t="str">
        <f>"1"</f>
        <v>1</v>
      </c>
      <c r="G788" s="2" t="str">
        <f>""</f>
        <v/>
      </c>
      <c r="H788" s="2" t="str">
        <f>"2"</f>
        <v>2</v>
      </c>
      <c r="I788" s="1">
        <v>-48342111381.099998</v>
      </c>
    </row>
    <row r="789" spans="1:9" x14ac:dyDescent="0.25">
      <c r="A789" s="2">
        <v>788</v>
      </c>
      <c r="B789" s="3">
        <v>44834</v>
      </c>
      <c r="C789" s="2">
        <v>14</v>
      </c>
      <c r="D789" s="4" t="str">
        <f>"3561"</f>
        <v>3561</v>
      </c>
      <c r="E78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789" s="2" t="str">
        <f>"1"</f>
        <v>1</v>
      </c>
      <c r="G789" s="2" t="str">
        <f>""</f>
        <v/>
      </c>
      <c r="H789" s="2" t="str">
        <f>"3"</f>
        <v>3</v>
      </c>
      <c r="I789" s="1">
        <v>-2123241055.6600001</v>
      </c>
    </row>
    <row r="790" spans="1:9" x14ac:dyDescent="0.25">
      <c r="A790" s="2">
        <v>789</v>
      </c>
      <c r="B790" s="3">
        <v>44834</v>
      </c>
      <c r="C790" s="2">
        <v>14</v>
      </c>
      <c r="D790" s="4" t="str">
        <f>"3561"</f>
        <v>3561</v>
      </c>
      <c r="E79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790" s="2" t="str">
        <f>"2"</f>
        <v>2</v>
      </c>
      <c r="G790" s="2" t="str">
        <f>""</f>
        <v/>
      </c>
      <c r="H790" s="2" t="str">
        <f>"2"</f>
        <v>2</v>
      </c>
      <c r="I790" s="1">
        <v>-10703385290.690001</v>
      </c>
    </row>
    <row r="791" spans="1:9" x14ac:dyDescent="0.25">
      <c r="A791" s="2">
        <v>790</v>
      </c>
      <c r="B791" s="3">
        <v>44834</v>
      </c>
      <c r="C791" s="2">
        <v>14</v>
      </c>
      <c r="D791" s="4" t="str">
        <f>"3562"</f>
        <v>3562</v>
      </c>
      <c r="E79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791" s="2" t="str">
        <f>"2"</f>
        <v>2</v>
      </c>
      <c r="G791" s="2" t="str">
        <f>""</f>
        <v/>
      </c>
      <c r="H791" s="2" t="str">
        <f>"1"</f>
        <v>1</v>
      </c>
      <c r="I791" s="1">
        <v>16764881.49</v>
      </c>
    </row>
    <row r="792" spans="1:9" x14ac:dyDescent="0.25">
      <c r="A792" s="2">
        <v>791</v>
      </c>
      <c r="B792" s="3">
        <v>44834</v>
      </c>
      <c r="C792" s="2">
        <v>14</v>
      </c>
      <c r="D792" s="4" t="str">
        <f>"3562"</f>
        <v>3562</v>
      </c>
      <c r="E79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792" s="2" t="str">
        <f>"1"</f>
        <v>1</v>
      </c>
      <c r="G792" s="2" t="str">
        <f>""</f>
        <v/>
      </c>
      <c r="H792" s="2" t="str">
        <f>"1"</f>
        <v>1</v>
      </c>
      <c r="I792" s="1">
        <v>378679430.44999999</v>
      </c>
    </row>
    <row r="793" spans="1:9" x14ac:dyDescent="0.25">
      <c r="A793" s="2">
        <v>792</v>
      </c>
      <c r="B793" s="3">
        <v>44834</v>
      </c>
      <c r="C793" s="2">
        <v>14</v>
      </c>
      <c r="D793" s="4" t="str">
        <f>"3562"</f>
        <v>3562</v>
      </c>
      <c r="E79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793" s="2" t="str">
        <f>"1"</f>
        <v>1</v>
      </c>
      <c r="G793" s="2" t="str">
        <f>""</f>
        <v/>
      </c>
      <c r="H793" s="2" t="str">
        <f>"2"</f>
        <v>2</v>
      </c>
      <c r="I793" s="1">
        <v>509041403.89999998</v>
      </c>
    </row>
    <row r="794" spans="1:9" x14ac:dyDescent="0.25">
      <c r="A794" s="2">
        <v>793</v>
      </c>
      <c r="B794" s="3">
        <v>44834</v>
      </c>
      <c r="C794" s="2">
        <v>14</v>
      </c>
      <c r="D794" s="4" t="str">
        <f>"3562"</f>
        <v>3562</v>
      </c>
      <c r="E79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794" s="2" t="str">
        <f>"2"</f>
        <v>2</v>
      </c>
      <c r="G794" s="2" t="str">
        <f>""</f>
        <v/>
      </c>
      <c r="H794" s="2" t="str">
        <f>"2"</f>
        <v>2</v>
      </c>
      <c r="I794" s="1">
        <v>54009632.960000001</v>
      </c>
    </row>
    <row r="795" spans="1:9" x14ac:dyDescent="0.25">
      <c r="A795" s="2">
        <v>794</v>
      </c>
      <c r="B795" s="3">
        <v>44834</v>
      </c>
      <c r="C795" s="2">
        <v>14</v>
      </c>
      <c r="D795" s="4" t="str">
        <f>"3562"</f>
        <v>3562</v>
      </c>
      <c r="E79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795" s="2" t="str">
        <f>"1"</f>
        <v>1</v>
      </c>
      <c r="G795" s="2" t="str">
        <f>""</f>
        <v/>
      </c>
      <c r="H795" s="2" t="str">
        <f>"3"</f>
        <v>3</v>
      </c>
      <c r="I795" s="1">
        <v>89938612.609999999</v>
      </c>
    </row>
    <row r="796" spans="1:9" x14ac:dyDescent="0.25">
      <c r="A796" s="2">
        <v>795</v>
      </c>
      <c r="B796" s="3">
        <v>44834</v>
      </c>
      <c r="C796" s="2">
        <v>14</v>
      </c>
      <c r="D796" s="4" t="str">
        <f>"3580"</f>
        <v>3580</v>
      </c>
      <c r="E796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796" s="2" t="str">
        <f>""</f>
        <v/>
      </c>
      <c r="G796" s="2" t="str">
        <f>""</f>
        <v/>
      </c>
      <c r="H796" s="2" t="str">
        <f>""</f>
        <v/>
      </c>
      <c r="I796" s="1">
        <v>1415522472156.29</v>
      </c>
    </row>
    <row r="797" spans="1:9" x14ac:dyDescent="0.25">
      <c r="A797" s="2">
        <v>796</v>
      </c>
      <c r="B797" s="3">
        <v>44834</v>
      </c>
      <c r="C797" s="2">
        <v>14</v>
      </c>
      <c r="D797" s="4" t="str">
        <f>"3599"</f>
        <v>3599</v>
      </c>
      <c r="E797" t="str">
        <f>"Нераспределенная чистая прибыль (непокрытый убыток)"</f>
        <v>Нераспределенная чистая прибыль (непокрытый убыток)</v>
      </c>
      <c r="F797" s="2" t="str">
        <f>""</f>
        <v/>
      </c>
      <c r="G797" s="2" t="str">
        <f>""</f>
        <v/>
      </c>
      <c r="H797" s="2" t="str">
        <f>""</f>
        <v/>
      </c>
      <c r="I797" s="1">
        <v>375312237378.09998</v>
      </c>
    </row>
    <row r="798" spans="1:9" x14ac:dyDescent="0.25">
      <c r="A798" s="2">
        <v>797</v>
      </c>
      <c r="B798" s="3">
        <v>44834</v>
      </c>
      <c r="C798" s="2">
        <v>14</v>
      </c>
      <c r="D798" s="4" t="str">
        <f>"4052"</f>
        <v>4052</v>
      </c>
      <c r="E798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798" s="2" t="str">
        <f>""</f>
        <v/>
      </c>
      <c r="G798" s="2" t="str">
        <f>""</f>
        <v/>
      </c>
      <c r="H798" s="2" t="str">
        <f>""</f>
        <v/>
      </c>
      <c r="I798" s="1">
        <v>807482897.64999998</v>
      </c>
    </row>
    <row r="799" spans="1:9" x14ac:dyDescent="0.25">
      <c r="A799" s="2">
        <v>798</v>
      </c>
      <c r="B799" s="3">
        <v>44834</v>
      </c>
      <c r="C799" s="2">
        <v>14</v>
      </c>
      <c r="D799" s="4" t="str">
        <f>"4091"</f>
        <v>4091</v>
      </c>
      <c r="E799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799" s="2" t="str">
        <f>""</f>
        <v/>
      </c>
      <c r="G799" s="2" t="str">
        <f>""</f>
        <v/>
      </c>
      <c r="H799" s="2" t="str">
        <f>""</f>
        <v/>
      </c>
      <c r="I799" s="1">
        <v>585641576.12</v>
      </c>
    </row>
    <row r="800" spans="1:9" x14ac:dyDescent="0.25">
      <c r="A800" s="2">
        <v>799</v>
      </c>
      <c r="B800" s="3">
        <v>44834</v>
      </c>
      <c r="C800" s="2">
        <v>14</v>
      </c>
      <c r="D800" s="4" t="str">
        <f>"4101"</f>
        <v>4101</v>
      </c>
      <c r="E800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800" s="2" t="str">
        <f>""</f>
        <v/>
      </c>
      <c r="G800" s="2" t="str">
        <f>""</f>
        <v/>
      </c>
      <c r="H800" s="2" t="str">
        <f>""</f>
        <v/>
      </c>
      <c r="I800" s="1">
        <v>3469236111.02</v>
      </c>
    </row>
    <row r="801" spans="1:9" x14ac:dyDescent="0.25">
      <c r="A801" s="2">
        <v>800</v>
      </c>
      <c r="B801" s="3">
        <v>44834</v>
      </c>
      <c r="C801" s="2">
        <v>14</v>
      </c>
      <c r="D801" s="4" t="str">
        <f>"4103"</f>
        <v>4103</v>
      </c>
      <c r="E80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801" s="2" t="str">
        <f>""</f>
        <v/>
      </c>
      <c r="G801" s="2" t="str">
        <f>""</f>
        <v/>
      </c>
      <c r="H801" s="2" t="str">
        <f>""</f>
        <v/>
      </c>
      <c r="I801" s="1">
        <v>8364560835.2700005</v>
      </c>
    </row>
    <row r="802" spans="1:9" x14ac:dyDescent="0.25">
      <c r="A802" s="2">
        <v>801</v>
      </c>
      <c r="B802" s="3">
        <v>44834</v>
      </c>
      <c r="C802" s="2">
        <v>14</v>
      </c>
      <c r="D802" s="4" t="str">
        <f>"4251"</f>
        <v>4251</v>
      </c>
      <c r="E802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802" s="2" t="str">
        <f>""</f>
        <v/>
      </c>
      <c r="G802" s="2" t="str">
        <f>""</f>
        <v/>
      </c>
      <c r="H802" s="2" t="str">
        <f>""</f>
        <v/>
      </c>
      <c r="I802" s="1">
        <v>1224455232.0699999</v>
      </c>
    </row>
    <row r="803" spans="1:9" x14ac:dyDescent="0.25">
      <c r="A803" s="2">
        <v>802</v>
      </c>
      <c r="B803" s="3">
        <v>44834</v>
      </c>
      <c r="C803" s="2">
        <v>14</v>
      </c>
      <c r="D803" s="4" t="str">
        <f>"4253"</f>
        <v>4253</v>
      </c>
      <c r="E803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803" s="2" t="str">
        <f>""</f>
        <v/>
      </c>
      <c r="G803" s="2" t="str">
        <f>""</f>
        <v/>
      </c>
      <c r="H803" s="2" t="str">
        <f>""</f>
        <v/>
      </c>
      <c r="I803" s="1">
        <v>1177426876.23</v>
      </c>
    </row>
    <row r="804" spans="1:9" x14ac:dyDescent="0.25">
      <c r="A804" s="2">
        <v>803</v>
      </c>
      <c r="B804" s="3">
        <v>44834</v>
      </c>
      <c r="C804" s="2">
        <v>14</v>
      </c>
      <c r="D804" s="4" t="str">
        <f>"4254"</f>
        <v>4254</v>
      </c>
      <c r="E804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804" s="2" t="str">
        <f>""</f>
        <v/>
      </c>
      <c r="G804" s="2" t="str">
        <f>""</f>
        <v/>
      </c>
      <c r="H804" s="2" t="str">
        <f>""</f>
        <v/>
      </c>
      <c r="I804" s="1">
        <v>1417915899.1700001</v>
      </c>
    </row>
    <row r="805" spans="1:9" x14ac:dyDescent="0.25">
      <c r="A805" s="2">
        <v>804</v>
      </c>
      <c r="B805" s="3">
        <v>44834</v>
      </c>
      <c r="C805" s="2">
        <v>14</v>
      </c>
      <c r="D805" s="4" t="str">
        <f>"4255"</f>
        <v>4255</v>
      </c>
      <c r="E805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805" s="2" t="str">
        <f>""</f>
        <v/>
      </c>
      <c r="G805" s="2" t="str">
        <f>""</f>
        <v/>
      </c>
      <c r="H805" s="2" t="str">
        <f>""</f>
        <v/>
      </c>
      <c r="I805" s="1">
        <v>642726971.54999995</v>
      </c>
    </row>
    <row r="806" spans="1:9" x14ac:dyDescent="0.25">
      <c r="A806" s="2">
        <v>805</v>
      </c>
      <c r="B806" s="3">
        <v>44834</v>
      </c>
      <c r="C806" s="2">
        <v>14</v>
      </c>
      <c r="D806" s="4" t="str">
        <f>"4265"</f>
        <v>4265</v>
      </c>
      <c r="E806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806" s="2" t="str">
        <f>""</f>
        <v/>
      </c>
      <c r="G806" s="2" t="str">
        <f>""</f>
        <v/>
      </c>
      <c r="H806" s="2" t="str">
        <f>""</f>
        <v/>
      </c>
      <c r="I806" s="1">
        <v>223244177.19999999</v>
      </c>
    </row>
    <row r="807" spans="1:9" x14ac:dyDescent="0.25">
      <c r="A807" s="2">
        <v>806</v>
      </c>
      <c r="B807" s="3">
        <v>44834</v>
      </c>
      <c r="C807" s="2">
        <v>14</v>
      </c>
      <c r="D807" s="4" t="str">
        <f>"4301"</f>
        <v>4301</v>
      </c>
      <c r="E807" t="str">
        <f>"Доходы, связанные с получением вознаграждения по займам овердрафт, предоставленным другим банкам"</f>
        <v>Доходы, связанные с получением вознаграждения по займам овердрафт, предоставленным другим банкам</v>
      </c>
      <c r="F807" s="2" t="str">
        <f>""</f>
        <v/>
      </c>
      <c r="G807" s="2" t="str">
        <f>""</f>
        <v/>
      </c>
      <c r="H807" s="2" t="str">
        <f>""</f>
        <v/>
      </c>
      <c r="I807" s="1">
        <v>40764789.009999998</v>
      </c>
    </row>
    <row r="808" spans="1:9" x14ac:dyDescent="0.25">
      <c r="A808" s="2">
        <v>807</v>
      </c>
      <c r="B808" s="3">
        <v>44834</v>
      </c>
      <c r="C808" s="2">
        <v>14</v>
      </c>
      <c r="D808" s="4" t="str">
        <f>"4302"</f>
        <v>4302</v>
      </c>
      <c r="E808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808" s="2" t="str">
        <f>""</f>
        <v/>
      </c>
      <c r="G808" s="2" t="str">
        <f>""</f>
        <v/>
      </c>
      <c r="H808" s="2" t="str">
        <f>""</f>
        <v/>
      </c>
      <c r="I808" s="1">
        <v>206694467.49000001</v>
      </c>
    </row>
    <row r="809" spans="1:9" x14ac:dyDescent="0.25">
      <c r="A809" s="2">
        <v>808</v>
      </c>
      <c r="B809" s="3">
        <v>44834</v>
      </c>
      <c r="C809" s="2">
        <v>14</v>
      </c>
      <c r="D809" s="4" t="str">
        <f>"4304"</f>
        <v>4304</v>
      </c>
      <c r="E809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F809" s="2" t="str">
        <f>""</f>
        <v/>
      </c>
      <c r="G809" s="2" t="str">
        <f>""</f>
        <v/>
      </c>
      <c r="H809" s="2" t="str">
        <f>""</f>
        <v/>
      </c>
      <c r="I809" s="1">
        <v>1118454219.3099999</v>
      </c>
    </row>
    <row r="810" spans="1:9" x14ac:dyDescent="0.25">
      <c r="A810" s="2">
        <v>809</v>
      </c>
      <c r="B810" s="3">
        <v>44834</v>
      </c>
      <c r="C810" s="2">
        <v>14</v>
      </c>
      <c r="D810" s="4" t="str">
        <f>"4306"</f>
        <v>4306</v>
      </c>
      <c r="E810" t="str">
        <f>"Доходы, связанные с получением вознаграждения по просроченной задолженности других банков по займам"</f>
        <v>Доходы, связанные с получением вознаграждения по просроченной задолженности других банков по займам</v>
      </c>
      <c r="F810" s="2" t="str">
        <f>""</f>
        <v/>
      </c>
      <c r="G810" s="2" t="str">
        <f>""</f>
        <v/>
      </c>
      <c r="H810" s="2" t="str">
        <f>""</f>
        <v/>
      </c>
      <c r="I810" s="1">
        <v>11555.04</v>
      </c>
    </row>
    <row r="811" spans="1:9" x14ac:dyDescent="0.25">
      <c r="A811" s="2">
        <v>810</v>
      </c>
      <c r="B811" s="3">
        <v>44834</v>
      </c>
      <c r="C811" s="2">
        <v>14</v>
      </c>
      <c r="D811" s="4" t="str">
        <f>"4312"</f>
        <v>4312</v>
      </c>
      <c r="E811" t="str">
        <f>"Доходы по амортизации дисконта по займам, предоставленным другим банкам"</f>
        <v>Доходы по амортизации дисконта по займам, предоставленным другим банкам</v>
      </c>
      <c r="F811" s="2" t="str">
        <f>""</f>
        <v/>
      </c>
      <c r="G811" s="2" t="str">
        <f>""</f>
        <v/>
      </c>
      <c r="H811" s="2" t="str">
        <f>""</f>
        <v/>
      </c>
      <c r="I811" s="1">
        <v>44280790.460000001</v>
      </c>
    </row>
    <row r="812" spans="1:9" x14ac:dyDescent="0.25">
      <c r="A812" s="2">
        <v>811</v>
      </c>
      <c r="B812" s="3">
        <v>44834</v>
      </c>
      <c r="C812" s="2">
        <v>14</v>
      </c>
      <c r="D812" s="4" t="str">
        <f>"4401"</f>
        <v>4401</v>
      </c>
      <c r="E812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812" s="2" t="str">
        <f>""</f>
        <v/>
      </c>
      <c r="G812" s="2" t="str">
        <f>""</f>
        <v/>
      </c>
      <c r="H812" s="2" t="str">
        <f>""</f>
        <v/>
      </c>
      <c r="I812" s="1">
        <v>141885567.96000001</v>
      </c>
    </row>
    <row r="813" spans="1:9" x14ac:dyDescent="0.25">
      <c r="A813" s="2">
        <v>812</v>
      </c>
      <c r="B813" s="3">
        <v>44834</v>
      </c>
      <c r="C813" s="2">
        <v>14</v>
      </c>
      <c r="D813" s="4" t="str">
        <f>"4403"</f>
        <v>4403</v>
      </c>
      <c r="E813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813" s="2" t="str">
        <f>""</f>
        <v/>
      </c>
      <c r="G813" s="2" t="str">
        <f>""</f>
        <v/>
      </c>
      <c r="H813" s="2" t="str">
        <f>""</f>
        <v/>
      </c>
      <c r="I813" s="1">
        <v>211605166744.14999</v>
      </c>
    </row>
    <row r="814" spans="1:9" x14ac:dyDescent="0.25">
      <c r="A814" s="2">
        <v>813</v>
      </c>
      <c r="B814" s="3">
        <v>44834</v>
      </c>
      <c r="C814" s="2">
        <v>14</v>
      </c>
      <c r="D814" s="4" t="str">
        <f>"4407"</f>
        <v>4407</v>
      </c>
      <c r="E814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814" s="2" t="str">
        <f>""</f>
        <v/>
      </c>
      <c r="G814" s="2" t="str">
        <f>""</f>
        <v/>
      </c>
      <c r="H814" s="2" t="str">
        <f>""</f>
        <v/>
      </c>
      <c r="I814" s="1">
        <v>35455538.670000002</v>
      </c>
    </row>
    <row r="815" spans="1:9" x14ac:dyDescent="0.25">
      <c r="A815" s="2">
        <v>814</v>
      </c>
      <c r="B815" s="3">
        <v>44834</v>
      </c>
      <c r="C815" s="2">
        <v>14</v>
      </c>
      <c r="D815" s="4" t="str">
        <f>"4411"</f>
        <v>4411</v>
      </c>
      <c r="E815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815" s="2" t="str">
        <f>""</f>
        <v/>
      </c>
      <c r="G815" s="2" t="str">
        <f>""</f>
        <v/>
      </c>
      <c r="H815" s="2" t="str">
        <f>""</f>
        <v/>
      </c>
      <c r="I815" s="1">
        <v>131446716360.34</v>
      </c>
    </row>
    <row r="816" spans="1:9" x14ac:dyDescent="0.25">
      <c r="A816" s="2">
        <v>815</v>
      </c>
      <c r="B816" s="3">
        <v>44834</v>
      </c>
      <c r="C816" s="2">
        <v>14</v>
      </c>
      <c r="D816" s="4" t="str">
        <f>"4417"</f>
        <v>4417</v>
      </c>
      <c r="E816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816" s="2" t="str">
        <f>""</f>
        <v/>
      </c>
      <c r="G816" s="2" t="str">
        <f>""</f>
        <v/>
      </c>
      <c r="H816" s="2" t="str">
        <f>""</f>
        <v/>
      </c>
      <c r="I816" s="1">
        <v>316083523168.23999</v>
      </c>
    </row>
    <row r="817" spans="1:9" x14ac:dyDescent="0.25">
      <c r="A817" s="2">
        <v>816</v>
      </c>
      <c r="B817" s="3">
        <v>44834</v>
      </c>
      <c r="C817" s="2">
        <v>14</v>
      </c>
      <c r="D817" s="4" t="str">
        <f>"4424"</f>
        <v>4424</v>
      </c>
      <c r="E817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817" s="2" t="str">
        <f>""</f>
        <v/>
      </c>
      <c r="G817" s="2" t="str">
        <f>""</f>
        <v/>
      </c>
      <c r="H817" s="2" t="str">
        <f>""</f>
        <v/>
      </c>
      <c r="I817" s="1">
        <v>3654426849.02</v>
      </c>
    </row>
    <row r="818" spans="1:9" x14ac:dyDescent="0.25">
      <c r="A818" s="2">
        <v>817</v>
      </c>
      <c r="B818" s="3">
        <v>44834</v>
      </c>
      <c r="C818" s="2">
        <v>14</v>
      </c>
      <c r="D818" s="4" t="str">
        <f>"4429"</f>
        <v>4429</v>
      </c>
      <c r="E818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818" s="2" t="str">
        <f>""</f>
        <v/>
      </c>
      <c r="G818" s="2" t="str">
        <f>""</f>
        <v/>
      </c>
      <c r="H818" s="2" t="str">
        <f>""</f>
        <v/>
      </c>
      <c r="I818" s="1">
        <v>723174290.59000003</v>
      </c>
    </row>
    <row r="819" spans="1:9" x14ac:dyDescent="0.25">
      <c r="A819" s="2">
        <v>818</v>
      </c>
      <c r="B819" s="3">
        <v>44834</v>
      </c>
      <c r="C819" s="2">
        <v>14</v>
      </c>
      <c r="D819" s="4" t="str">
        <f>"4434"</f>
        <v>4434</v>
      </c>
      <c r="E819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819" s="2" t="str">
        <f>""</f>
        <v/>
      </c>
      <c r="G819" s="2" t="str">
        <f>""</f>
        <v/>
      </c>
      <c r="H819" s="2" t="str">
        <f>""</f>
        <v/>
      </c>
      <c r="I819" s="1">
        <v>16224344949.24</v>
      </c>
    </row>
    <row r="820" spans="1:9" x14ac:dyDescent="0.25">
      <c r="A820" s="2">
        <v>819</v>
      </c>
      <c r="B820" s="3">
        <v>44834</v>
      </c>
      <c r="C820" s="2">
        <v>14</v>
      </c>
      <c r="D820" s="4" t="str">
        <f>"4440"</f>
        <v>4440</v>
      </c>
      <c r="E820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820" s="2" t="str">
        <f>""</f>
        <v/>
      </c>
      <c r="G820" s="2" t="str">
        <f>""</f>
        <v/>
      </c>
      <c r="H820" s="2" t="str">
        <f>""</f>
        <v/>
      </c>
      <c r="I820" s="1">
        <v>44647248.390000001</v>
      </c>
    </row>
    <row r="821" spans="1:9" x14ac:dyDescent="0.25">
      <c r="A821" s="2">
        <v>820</v>
      </c>
      <c r="B821" s="3">
        <v>44834</v>
      </c>
      <c r="C821" s="2">
        <v>14</v>
      </c>
      <c r="D821" s="4" t="str">
        <f>"4452"</f>
        <v>4452</v>
      </c>
      <c r="E82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821" s="2" t="str">
        <f>""</f>
        <v/>
      </c>
      <c r="G821" s="2" t="str">
        <f>""</f>
        <v/>
      </c>
      <c r="H821" s="2" t="str">
        <f>""</f>
        <v/>
      </c>
      <c r="I821" s="1">
        <v>70982425280.600006</v>
      </c>
    </row>
    <row r="822" spans="1:9" x14ac:dyDescent="0.25">
      <c r="A822" s="2">
        <v>821</v>
      </c>
      <c r="B822" s="3">
        <v>44834</v>
      </c>
      <c r="C822" s="2">
        <v>14</v>
      </c>
      <c r="D822" s="4" t="str">
        <f>"4453"</f>
        <v>4453</v>
      </c>
      <c r="E822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822" s="2" t="str">
        <f>""</f>
        <v/>
      </c>
      <c r="G822" s="2" t="str">
        <f>""</f>
        <v/>
      </c>
      <c r="H822" s="2" t="str">
        <f>""</f>
        <v/>
      </c>
      <c r="I822" s="1">
        <v>5859300587.29</v>
      </c>
    </row>
    <row r="823" spans="1:9" x14ac:dyDescent="0.25">
      <c r="A823" s="2">
        <v>822</v>
      </c>
      <c r="B823" s="3">
        <v>44834</v>
      </c>
      <c r="C823" s="2">
        <v>14</v>
      </c>
      <c r="D823" s="4" t="str">
        <f>"4454"</f>
        <v>4454</v>
      </c>
      <c r="E823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823" s="2" t="str">
        <f>""</f>
        <v/>
      </c>
      <c r="G823" s="2" t="str">
        <f>""</f>
        <v/>
      </c>
      <c r="H823" s="2" t="str">
        <f>""</f>
        <v/>
      </c>
      <c r="I823" s="1">
        <v>1623019.81</v>
      </c>
    </row>
    <row r="824" spans="1:9" x14ac:dyDescent="0.25">
      <c r="A824" s="2">
        <v>823</v>
      </c>
      <c r="B824" s="3">
        <v>44834</v>
      </c>
      <c r="C824" s="2">
        <v>14</v>
      </c>
      <c r="D824" s="4" t="str">
        <f>"4465"</f>
        <v>4465</v>
      </c>
      <c r="E824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824" s="2" t="str">
        <f>""</f>
        <v/>
      </c>
      <c r="G824" s="2" t="str">
        <f>""</f>
        <v/>
      </c>
      <c r="H824" s="2" t="str">
        <f>""</f>
        <v/>
      </c>
      <c r="I824" s="1">
        <v>1018179438.8099999</v>
      </c>
    </row>
    <row r="825" spans="1:9" x14ac:dyDescent="0.25">
      <c r="A825" s="2">
        <v>824</v>
      </c>
      <c r="B825" s="3">
        <v>44834</v>
      </c>
      <c r="C825" s="2">
        <v>14</v>
      </c>
      <c r="D825" s="4" t="str">
        <f>"4475"</f>
        <v>4475</v>
      </c>
      <c r="E825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F825" s="2" t="str">
        <f>""</f>
        <v/>
      </c>
      <c r="G825" s="2" t="str">
        <f>""</f>
        <v/>
      </c>
      <c r="H825" s="2" t="str">
        <f>""</f>
        <v/>
      </c>
      <c r="I825" s="1">
        <v>2383654887.5999999</v>
      </c>
    </row>
    <row r="826" spans="1:9" x14ac:dyDescent="0.25">
      <c r="A826" s="2">
        <v>825</v>
      </c>
      <c r="B826" s="3">
        <v>44834</v>
      </c>
      <c r="C826" s="2">
        <v>14</v>
      </c>
      <c r="D826" s="4" t="str">
        <f>"4476"</f>
        <v>4476</v>
      </c>
      <c r="E826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826" s="2" t="str">
        <f>""</f>
        <v/>
      </c>
      <c r="G826" s="2" t="str">
        <f>""</f>
        <v/>
      </c>
      <c r="H826" s="2" t="str">
        <f>""</f>
        <v/>
      </c>
      <c r="I826" s="1">
        <v>1190729981.46</v>
      </c>
    </row>
    <row r="827" spans="1:9" x14ac:dyDescent="0.25">
      <c r="A827" s="2">
        <v>826</v>
      </c>
      <c r="B827" s="3">
        <v>44834</v>
      </c>
      <c r="C827" s="2">
        <v>14</v>
      </c>
      <c r="D827" s="4" t="str">
        <f>"4481"</f>
        <v>4481</v>
      </c>
      <c r="E827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827" s="2" t="str">
        <f>""</f>
        <v/>
      </c>
      <c r="G827" s="2" t="str">
        <f>""</f>
        <v/>
      </c>
      <c r="H827" s="2" t="str">
        <f>""</f>
        <v/>
      </c>
      <c r="I827" s="1">
        <v>68695840869.690002</v>
      </c>
    </row>
    <row r="828" spans="1:9" x14ac:dyDescent="0.25">
      <c r="A828" s="2">
        <v>827</v>
      </c>
      <c r="B828" s="3">
        <v>44834</v>
      </c>
      <c r="C828" s="2">
        <v>14</v>
      </c>
      <c r="D828" s="4" t="str">
        <f>"4482"</f>
        <v>4482</v>
      </c>
      <c r="E828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828" s="2" t="str">
        <f>""</f>
        <v/>
      </c>
      <c r="G828" s="2" t="str">
        <f>""</f>
        <v/>
      </c>
      <c r="H828" s="2" t="str">
        <f>""</f>
        <v/>
      </c>
      <c r="I828" s="1">
        <v>41721980.729999997</v>
      </c>
    </row>
    <row r="829" spans="1:9" x14ac:dyDescent="0.25">
      <c r="A829" s="2">
        <v>828</v>
      </c>
      <c r="B829" s="3">
        <v>44834</v>
      </c>
      <c r="C829" s="2">
        <v>14</v>
      </c>
      <c r="D829" s="4" t="str">
        <f>"4492"</f>
        <v>4492</v>
      </c>
      <c r="E829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829" s="2" t="str">
        <f>""</f>
        <v/>
      </c>
      <c r="G829" s="2" t="str">
        <f>""</f>
        <v/>
      </c>
      <c r="H829" s="2" t="str">
        <f>""</f>
        <v/>
      </c>
      <c r="I829" s="1">
        <v>1533104183.4300001</v>
      </c>
    </row>
    <row r="830" spans="1:9" x14ac:dyDescent="0.25">
      <c r="A830" s="2">
        <v>829</v>
      </c>
      <c r="B830" s="3">
        <v>44834</v>
      </c>
      <c r="C830" s="2">
        <v>14</v>
      </c>
      <c r="D830" s="4" t="str">
        <f>"4510"</f>
        <v>4510</v>
      </c>
      <c r="E830" t="str">
        <f>"Доходы по купле-продаже ценных бумаг"</f>
        <v>Доходы по купле-продаже ценных бумаг</v>
      </c>
      <c r="F830" s="2" t="str">
        <f>""</f>
        <v/>
      </c>
      <c r="G830" s="2" t="str">
        <f>""</f>
        <v/>
      </c>
      <c r="H830" s="2" t="str">
        <f>""</f>
        <v/>
      </c>
      <c r="I830" s="1">
        <v>597446367.55999994</v>
      </c>
    </row>
    <row r="831" spans="1:9" x14ac:dyDescent="0.25">
      <c r="A831" s="2">
        <v>830</v>
      </c>
      <c r="B831" s="3">
        <v>44834</v>
      </c>
      <c r="C831" s="2">
        <v>14</v>
      </c>
      <c r="D831" s="4" t="str">
        <f>"4530"</f>
        <v>4530</v>
      </c>
      <c r="E831" t="str">
        <f>"Доходы по купле-продаже иностранной валюты"</f>
        <v>Доходы по купле-продаже иностранной валюты</v>
      </c>
      <c r="F831" s="2" t="str">
        <f>""</f>
        <v/>
      </c>
      <c r="G831" s="2" t="str">
        <f>""</f>
        <v/>
      </c>
      <c r="H831" s="2" t="str">
        <f>""</f>
        <v/>
      </c>
      <c r="I831" s="1">
        <v>229291892024.39001</v>
      </c>
    </row>
    <row r="832" spans="1:9" x14ac:dyDescent="0.25">
      <c r="A832" s="2">
        <v>831</v>
      </c>
      <c r="B832" s="3">
        <v>44834</v>
      </c>
      <c r="C832" s="2">
        <v>14</v>
      </c>
      <c r="D832" s="4" t="str">
        <f>"4540"</f>
        <v>4540</v>
      </c>
      <c r="E832" t="str">
        <f>"Доходы от продажи аффинированных драгоценных металлов"</f>
        <v>Доходы от продажи аффинированных драгоценных металлов</v>
      </c>
      <c r="F832" s="2" t="str">
        <f>""</f>
        <v/>
      </c>
      <c r="G832" s="2" t="str">
        <f>""</f>
        <v/>
      </c>
      <c r="H832" s="2" t="str">
        <f>""</f>
        <v/>
      </c>
      <c r="I832" s="1">
        <v>5019101287.0299997</v>
      </c>
    </row>
    <row r="833" spans="1:9" x14ac:dyDescent="0.25">
      <c r="A833" s="2">
        <v>832</v>
      </c>
      <c r="B833" s="3">
        <v>44834</v>
      </c>
      <c r="C833" s="2">
        <v>14</v>
      </c>
      <c r="D833" s="4" t="str">
        <f>"4570"</f>
        <v>4570</v>
      </c>
      <c r="E833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833" s="2" t="str">
        <f>""</f>
        <v/>
      </c>
      <c r="G833" s="2" t="str">
        <f>""</f>
        <v/>
      </c>
      <c r="H833" s="2" t="str">
        <f>""</f>
        <v/>
      </c>
      <c r="I833" s="1">
        <v>143505817.69999999</v>
      </c>
    </row>
    <row r="834" spans="1:9" x14ac:dyDescent="0.25">
      <c r="A834" s="2">
        <v>833</v>
      </c>
      <c r="B834" s="3">
        <v>44834</v>
      </c>
      <c r="C834" s="2">
        <v>14</v>
      </c>
      <c r="D834" s="4" t="str">
        <f>"4593"</f>
        <v>4593</v>
      </c>
      <c r="E834" t="str">
        <f>"Доходы от переоценки операций своп"</f>
        <v>Доходы от переоценки операций своп</v>
      </c>
      <c r="F834" s="2" t="str">
        <f>""</f>
        <v/>
      </c>
      <c r="G834" s="2" t="str">
        <f>""</f>
        <v/>
      </c>
      <c r="H834" s="2" t="str">
        <f>""</f>
        <v/>
      </c>
      <c r="I834" s="1">
        <v>155193160577.37</v>
      </c>
    </row>
    <row r="835" spans="1:9" x14ac:dyDescent="0.25">
      <c r="A835" s="2">
        <v>834</v>
      </c>
      <c r="B835" s="3">
        <v>44834</v>
      </c>
      <c r="C835" s="2">
        <v>14</v>
      </c>
      <c r="D835" s="4" t="str">
        <f>"4601"</f>
        <v>4601</v>
      </c>
      <c r="E835" t="str">
        <f>"Комиссионные доходы за услуги по переводным операциям"</f>
        <v>Комиссионные доходы за услуги по переводным операциям</v>
      </c>
      <c r="F835" s="2" t="str">
        <f>""</f>
        <v/>
      </c>
      <c r="G835" s="2" t="str">
        <f>""</f>
        <v/>
      </c>
      <c r="H835" s="2" t="str">
        <f>""</f>
        <v/>
      </c>
      <c r="I835" s="1">
        <v>25871028884.990002</v>
      </c>
    </row>
    <row r="836" spans="1:9" x14ac:dyDescent="0.25">
      <c r="A836" s="2">
        <v>835</v>
      </c>
      <c r="B836" s="3">
        <v>44834</v>
      </c>
      <c r="C836" s="2">
        <v>14</v>
      </c>
      <c r="D836" s="4" t="str">
        <f>"4602"</f>
        <v>4602</v>
      </c>
      <c r="E836" t="str">
        <f>"Комиссионные доходы за агентские услуги"</f>
        <v>Комиссионные доходы за агентские услуги</v>
      </c>
      <c r="F836" s="2" t="str">
        <f>""</f>
        <v/>
      </c>
      <c r="G836" s="2" t="str">
        <f>""</f>
        <v/>
      </c>
      <c r="H836" s="2" t="str">
        <f>""</f>
        <v/>
      </c>
      <c r="I836" s="1">
        <v>4696760232.8299999</v>
      </c>
    </row>
    <row r="837" spans="1:9" x14ac:dyDescent="0.25">
      <c r="A837" s="2">
        <v>836</v>
      </c>
      <c r="B837" s="3">
        <v>44834</v>
      </c>
      <c r="C837" s="2">
        <v>14</v>
      </c>
      <c r="D837" s="4" t="str">
        <f>"4606"</f>
        <v>4606</v>
      </c>
      <c r="E837" t="str">
        <f>"Комиссионные доходы за услуги по операциям с гарантиями"</f>
        <v>Комиссионные доходы за услуги по операциям с гарантиями</v>
      </c>
      <c r="F837" s="2" t="str">
        <f>""</f>
        <v/>
      </c>
      <c r="G837" s="2" t="str">
        <f>""</f>
        <v/>
      </c>
      <c r="H837" s="2" t="str">
        <f>""</f>
        <v/>
      </c>
      <c r="I837" s="1">
        <v>8874174502.1000004</v>
      </c>
    </row>
    <row r="838" spans="1:9" x14ac:dyDescent="0.25">
      <c r="A838" s="2">
        <v>837</v>
      </c>
      <c r="B838" s="3">
        <v>44834</v>
      </c>
      <c r="C838" s="2">
        <v>14</v>
      </c>
      <c r="D838" s="4" t="str">
        <f>"4607"</f>
        <v>4607</v>
      </c>
      <c r="E838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838" s="2" t="str">
        <f>""</f>
        <v/>
      </c>
      <c r="G838" s="2" t="str">
        <f>""</f>
        <v/>
      </c>
      <c r="H838" s="2" t="str">
        <f>""</f>
        <v/>
      </c>
      <c r="I838" s="1">
        <v>3042139933.4699998</v>
      </c>
    </row>
    <row r="839" spans="1:9" x14ac:dyDescent="0.25">
      <c r="A839" s="2">
        <v>838</v>
      </c>
      <c r="B839" s="3">
        <v>44834</v>
      </c>
      <c r="C839" s="2">
        <v>14</v>
      </c>
      <c r="D839" s="4" t="str">
        <f>"4608"</f>
        <v>4608</v>
      </c>
      <c r="E839" t="str">
        <f>"Прочие комиссионные доходы"</f>
        <v>Прочие комиссионные доходы</v>
      </c>
      <c r="F839" s="2" t="str">
        <f>""</f>
        <v/>
      </c>
      <c r="G839" s="2" t="str">
        <f>""</f>
        <v/>
      </c>
      <c r="H839" s="2" t="str">
        <f>""</f>
        <v/>
      </c>
      <c r="I839" s="1">
        <v>3749397606.6399999</v>
      </c>
    </row>
    <row r="840" spans="1:9" x14ac:dyDescent="0.25">
      <c r="A840" s="2">
        <v>839</v>
      </c>
      <c r="B840" s="3">
        <v>44834</v>
      </c>
      <c r="C840" s="2">
        <v>14</v>
      </c>
      <c r="D840" s="4" t="str">
        <f>"4609"</f>
        <v>4609</v>
      </c>
      <c r="E840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840" s="2" t="str">
        <f>""</f>
        <v/>
      </c>
      <c r="G840" s="2" t="str">
        <f>""</f>
        <v/>
      </c>
      <c r="H840" s="2" t="str">
        <f>""</f>
        <v/>
      </c>
      <c r="I840" s="1">
        <v>198882047.41999999</v>
      </c>
    </row>
    <row r="841" spans="1:9" x14ac:dyDescent="0.25">
      <c r="A841" s="2">
        <v>840</v>
      </c>
      <c r="B841" s="3">
        <v>44834</v>
      </c>
      <c r="C841" s="2">
        <v>14</v>
      </c>
      <c r="D841" s="4" t="str">
        <f>"4611"</f>
        <v>4611</v>
      </c>
      <c r="E841" t="str">
        <f>"Комиссионные доходы за услуги по кассовым операциям"</f>
        <v>Комиссионные доходы за услуги по кассовым операциям</v>
      </c>
      <c r="F841" s="2" t="str">
        <f>""</f>
        <v/>
      </c>
      <c r="G841" s="2" t="str">
        <f>""</f>
        <v/>
      </c>
      <c r="H841" s="2" t="str">
        <f>""</f>
        <v/>
      </c>
      <c r="I841" s="1">
        <v>9000927671.7999992</v>
      </c>
    </row>
    <row r="842" spans="1:9" x14ac:dyDescent="0.25">
      <c r="A842" s="2">
        <v>841</v>
      </c>
      <c r="B842" s="3">
        <v>44834</v>
      </c>
      <c r="C842" s="2">
        <v>14</v>
      </c>
      <c r="D842" s="4" t="str">
        <f>"4612"</f>
        <v>4612</v>
      </c>
      <c r="E842" t="str">
        <f>"Комиссионные доходы по документарным расчетам"</f>
        <v>Комиссионные доходы по документарным расчетам</v>
      </c>
      <c r="F842" s="2" t="str">
        <f>""</f>
        <v/>
      </c>
      <c r="G842" s="2" t="str">
        <f>""</f>
        <v/>
      </c>
      <c r="H842" s="2" t="str">
        <f>""</f>
        <v/>
      </c>
      <c r="I842" s="1">
        <v>731466429.09000003</v>
      </c>
    </row>
    <row r="843" spans="1:9" x14ac:dyDescent="0.25">
      <c r="A843" s="2">
        <v>842</v>
      </c>
      <c r="B843" s="3">
        <v>44834</v>
      </c>
      <c r="C843" s="2">
        <v>14</v>
      </c>
      <c r="D843" s="4" t="str">
        <f>"4617"</f>
        <v>4617</v>
      </c>
      <c r="E843" t="str">
        <f>"Комиссионные доходы за услуги по сейфовым операциям"</f>
        <v>Комиссионные доходы за услуги по сейфовым операциям</v>
      </c>
      <c r="F843" s="2" t="str">
        <f>""</f>
        <v/>
      </c>
      <c r="G843" s="2" t="str">
        <f>""</f>
        <v/>
      </c>
      <c r="H843" s="2" t="str">
        <f>""</f>
        <v/>
      </c>
      <c r="I843" s="1">
        <v>339621369.13999999</v>
      </c>
    </row>
    <row r="844" spans="1:9" x14ac:dyDescent="0.25">
      <c r="A844" s="2">
        <v>843</v>
      </c>
      <c r="B844" s="3">
        <v>44834</v>
      </c>
      <c r="C844" s="2">
        <v>14</v>
      </c>
      <c r="D844" s="4" t="str">
        <f>"4619"</f>
        <v>4619</v>
      </c>
      <c r="E844" t="str">
        <f>"Комиссионные доходы за обслуживание платежных карточек"</f>
        <v>Комиссионные доходы за обслуживание платежных карточек</v>
      </c>
      <c r="F844" s="2" t="str">
        <f>""</f>
        <v/>
      </c>
      <c r="G844" s="2" t="str">
        <f>""</f>
        <v/>
      </c>
      <c r="H844" s="2" t="str">
        <f>""</f>
        <v/>
      </c>
      <c r="I844" s="1">
        <v>75251987954.110001</v>
      </c>
    </row>
    <row r="845" spans="1:9" x14ac:dyDescent="0.25">
      <c r="A845" s="2">
        <v>844</v>
      </c>
      <c r="B845" s="3">
        <v>44834</v>
      </c>
      <c r="C845" s="2">
        <v>14</v>
      </c>
      <c r="D845" s="4" t="str">
        <f>"4703"</f>
        <v>4703</v>
      </c>
      <c r="E845" t="str">
        <f>"Доход от переоценки иностранной валюты"</f>
        <v>Доход от переоценки иностранной валюты</v>
      </c>
      <c r="F845" s="2" t="str">
        <f>""</f>
        <v/>
      </c>
      <c r="G845" s="2" t="str">
        <f>""</f>
        <v/>
      </c>
      <c r="H845" s="2" t="str">
        <f>""</f>
        <v/>
      </c>
      <c r="I845" s="1">
        <v>31799000976957.199</v>
      </c>
    </row>
    <row r="846" spans="1:9" x14ac:dyDescent="0.25">
      <c r="A846" s="2">
        <v>845</v>
      </c>
      <c r="B846" s="3">
        <v>44834</v>
      </c>
      <c r="C846" s="2">
        <v>14</v>
      </c>
      <c r="D846" s="4" t="str">
        <f>"4704"</f>
        <v>4704</v>
      </c>
      <c r="E846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846" s="2" t="str">
        <f>""</f>
        <v/>
      </c>
      <c r="G846" s="2" t="str">
        <f>""</f>
        <v/>
      </c>
      <c r="H846" s="2" t="str">
        <f>""</f>
        <v/>
      </c>
      <c r="I846" s="1">
        <v>88078183788.179993</v>
      </c>
    </row>
    <row r="847" spans="1:9" x14ac:dyDescent="0.25">
      <c r="A847" s="2">
        <v>846</v>
      </c>
      <c r="B847" s="3">
        <v>44834</v>
      </c>
      <c r="C847" s="2">
        <v>14</v>
      </c>
      <c r="D847" s="4" t="str">
        <f>"4711"</f>
        <v>4711</v>
      </c>
      <c r="E847" t="str">
        <f>"Доходы от восстановления убытка от обесценения основных средств и активов в форме права пользования"</f>
        <v>Доходы от восстановления убытка от обесценения основных средств и активов в форме права пользования</v>
      </c>
      <c r="F847" s="2" t="str">
        <f>""</f>
        <v/>
      </c>
      <c r="G847" s="2" t="str">
        <f>""</f>
        <v/>
      </c>
      <c r="H847" s="2" t="str">
        <f>""</f>
        <v/>
      </c>
      <c r="I847" s="1">
        <v>17712779.899999999</v>
      </c>
    </row>
    <row r="848" spans="1:9" x14ac:dyDescent="0.25">
      <c r="A848" s="2">
        <v>847</v>
      </c>
      <c r="B848" s="3">
        <v>44834</v>
      </c>
      <c r="C848" s="2">
        <v>14</v>
      </c>
      <c r="D848" s="4" t="str">
        <f>"4733"</f>
        <v>4733</v>
      </c>
      <c r="E848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848" s="2" t="str">
        <f>""</f>
        <v/>
      </c>
      <c r="G848" s="2" t="str">
        <f>""</f>
        <v/>
      </c>
      <c r="H848" s="2" t="str">
        <f>""</f>
        <v/>
      </c>
      <c r="I848" s="1">
        <v>46708391.909999996</v>
      </c>
    </row>
    <row r="849" spans="1:9" x14ac:dyDescent="0.25">
      <c r="A849" s="2">
        <v>848</v>
      </c>
      <c r="B849" s="3">
        <v>44834</v>
      </c>
      <c r="C849" s="2">
        <v>14</v>
      </c>
      <c r="D849" s="4" t="str">
        <f>"4852"</f>
        <v>4852</v>
      </c>
      <c r="E849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849" s="2" t="str">
        <f>""</f>
        <v/>
      </c>
      <c r="G849" s="2" t="str">
        <f>""</f>
        <v/>
      </c>
      <c r="H849" s="2" t="str">
        <f>""</f>
        <v/>
      </c>
      <c r="I849" s="1">
        <v>75014391.439999998</v>
      </c>
    </row>
    <row r="850" spans="1:9" x14ac:dyDescent="0.25">
      <c r="A850" s="2">
        <v>849</v>
      </c>
      <c r="B850" s="3">
        <v>44834</v>
      </c>
      <c r="C850" s="2">
        <v>14</v>
      </c>
      <c r="D850" s="4" t="str">
        <f>"4854"</f>
        <v>4854</v>
      </c>
      <c r="E850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850" s="2" t="str">
        <f>""</f>
        <v/>
      </c>
      <c r="G850" s="2" t="str">
        <f>""</f>
        <v/>
      </c>
      <c r="H850" s="2" t="str">
        <f>""</f>
        <v/>
      </c>
      <c r="I850" s="1">
        <v>16274071976.530001</v>
      </c>
    </row>
    <row r="851" spans="1:9" x14ac:dyDescent="0.25">
      <c r="A851" s="2">
        <v>850</v>
      </c>
      <c r="B851" s="3">
        <v>44834</v>
      </c>
      <c r="C851" s="2">
        <v>14</v>
      </c>
      <c r="D851" s="4" t="str">
        <f>"4872"</f>
        <v>4872</v>
      </c>
      <c r="E851" t="str">
        <f>"Доходы, связанные с изменением доли участия в уставном капитале ассоциированных организаций"</f>
        <v>Доходы, связанные с изменением доли участия в уставном капитале ассоциированных организаций</v>
      </c>
      <c r="F851" s="2" t="str">
        <f>""</f>
        <v/>
      </c>
      <c r="G851" s="2" t="str">
        <f>""</f>
        <v/>
      </c>
      <c r="H851" s="2" t="str">
        <f>""</f>
        <v/>
      </c>
      <c r="I851" s="1">
        <v>7258583000</v>
      </c>
    </row>
    <row r="852" spans="1:9" x14ac:dyDescent="0.25">
      <c r="A852" s="2">
        <v>851</v>
      </c>
      <c r="B852" s="3">
        <v>44834</v>
      </c>
      <c r="C852" s="2">
        <v>14</v>
      </c>
      <c r="D852" s="4" t="str">
        <f>"4892"</f>
        <v>4892</v>
      </c>
      <c r="E852" t="str">
        <f>"Доходы по операциям форвард"</f>
        <v>Доходы по операциям форвард</v>
      </c>
      <c r="F852" s="2" t="str">
        <f>""</f>
        <v/>
      </c>
      <c r="G852" s="2" t="str">
        <f>""</f>
        <v/>
      </c>
      <c r="H852" s="2" t="str">
        <f>""</f>
        <v/>
      </c>
      <c r="I852" s="1">
        <v>5358256687.1700001</v>
      </c>
    </row>
    <row r="853" spans="1:9" x14ac:dyDescent="0.25">
      <c r="A853" s="2">
        <v>852</v>
      </c>
      <c r="B853" s="3">
        <v>44834</v>
      </c>
      <c r="C853" s="2">
        <v>14</v>
      </c>
      <c r="D853" s="4" t="str">
        <f>"4895"</f>
        <v>4895</v>
      </c>
      <c r="E853" t="str">
        <f>"Доходы по операциям своп"</f>
        <v>Доходы по операциям своп</v>
      </c>
      <c r="F853" s="2" t="str">
        <f>""</f>
        <v/>
      </c>
      <c r="G853" s="2" t="str">
        <f>""</f>
        <v/>
      </c>
      <c r="H853" s="2" t="str">
        <f>""</f>
        <v/>
      </c>
      <c r="I853" s="1">
        <v>234733640047.22</v>
      </c>
    </row>
    <row r="854" spans="1:9" x14ac:dyDescent="0.25">
      <c r="A854" s="2">
        <v>853</v>
      </c>
      <c r="B854" s="3">
        <v>44834</v>
      </c>
      <c r="C854" s="2">
        <v>14</v>
      </c>
      <c r="D854" s="4" t="str">
        <f>"4900"</f>
        <v>4900</v>
      </c>
      <c r="E854" t="str">
        <f>"Неустойка (штраф, пеня)"</f>
        <v>Неустойка (штраф, пеня)</v>
      </c>
      <c r="F854" s="2" t="str">
        <f>""</f>
        <v/>
      </c>
      <c r="G854" s="2" t="str">
        <f>""</f>
        <v/>
      </c>
      <c r="H854" s="2" t="str">
        <f>""</f>
        <v/>
      </c>
      <c r="I854" s="1">
        <v>520710</v>
      </c>
    </row>
    <row r="855" spans="1:9" x14ac:dyDescent="0.25">
      <c r="A855" s="2">
        <v>854</v>
      </c>
      <c r="B855" s="3">
        <v>44834</v>
      </c>
      <c r="C855" s="2">
        <v>14</v>
      </c>
      <c r="D855" s="4" t="str">
        <f>"4921"</f>
        <v>4921</v>
      </c>
      <c r="E855" t="str">
        <f>"Прочие доходы от банковской деятельности"</f>
        <v>Прочие доходы от банковской деятельности</v>
      </c>
      <c r="F855" s="2" t="str">
        <f>""</f>
        <v/>
      </c>
      <c r="G855" s="2" t="str">
        <f>""</f>
        <v/>
      </c>
      <c r="H855" s="2" t="str">
        <f>""</f>
        <v/>
      </c>
      <c r="I855" s="1">
        <v>6691913347.1199999</v>
      </c>
    </row>
    <row r="856" spans="1:9" x14ac:dyDescent="0.25">
      <c r="A856" s="2">
        <v>855</v>
      </c>
      <c r="B856" s="3">
        <v>44834</v>
      </c>
      <c r="C856" s="2">
        <v>14</v>
      </c>
      <c r="D856" s="4" t="str">
        <f>"4922"</f>
        <v>4922</v>
      </c>
      <c r="E856" t="str">
        <f>"Прочие доходы от неосновной деятельности"</f>
        <v>Прочие доходы от неосновной деятельности</v>
      </c>
      <c r="F856" s="2" t="str">
        <f>""</f>
        <v/>
      </c>
      <c r="G856" s="2" t="str">
        <f>""</f>
        <v/>
      </c>
      <c r="H856" s="2" t="str">
        <f>""</f>
        <v/>
      </c>
      <c r="I856" s="1">
        <v>916687705.77999997</v>
      </c>
    </row>
    <row r="857" spans="1:9" x14ac:dyDescent="0.25">
      <c r="A857" s="2">
        <v>856</v>
      </c>
      <c r="B857" s="3">
        <v>44834</v>
      </c>
      <c r="C857" s="2">
        <v>14</v>
      </c>
      <c r="D857" s="4" t="str">
        <f>"4951"</f>
        <v>4951</v>
      </c>
      <c r="E857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857" s="2" t="str">
        <f>""</f>
        <v/>
      </c>
      <c r="G857" s="2" t="str">
        <f>""</f>
        <v/>
      </c>
      <c r="H857" s="2" t="str">
        <f>""</f>
        <v/>
      </c>
      <c r="I857" s="1">
        <v>351371593.16000003</v>
      </c>
    </row>
    <row r="858" spans="1:9" x14ac:dyDescent="0.25">
      <c r="A858" s="2">
        <v>857</v>
      </c>
      <c r="B858" s="3">
        <v>44834</v>
      </c>
      <c r="C858" s="2">
        <v>14</v>
      </c>
      <c r="D858" s="4" t="str">
        <f>"4952"</f>
        <v>4952</v>
      </c>
      <c r="E858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858" s="2" t="str">
        <f>""</f>
        <v/>
      </c>
      <c r="G858" s="2" t="str">
        <f>""</f>
        <v/>
      </c>
      <c r="H858" s="2" t="str">
        <f>""</f>
        <v/>
      </c>
      <c r="I858" s="1">
        <v>210380593.24000001</v>
      </c>
    </row>
    <row r="859" spans="1:9" x14ac:dyDescent="0.25">
      <c r="A859" s="2">
        <v>858</v>
      </c>
      <c r="B859" s="3">
        <v>44834</v>
      </c>
      <c r="C859" s="2">
        <v>14</v>
      </c>
      <c r="D859" s="4" t="str">
        <f>"4953"</f>
        <v>4953</v>
      </c>
      <c r="E859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859" s="2" t="str">
        <f>""</f>
        <v/>
      </c>
      <c r="G859" s="2" t="str">
        <f>""</f>
        <v/>
      </c>
      <c r="H859" s="2" t="str">
        <f>""</f>
        <v/>
      </c>
      <c r="I859" s="1">
        <v>13067498680.719999</v>
      </c>
    </row>
    <row r="860" spans="1:9" x14ac:dyDescent="0.25">
      <c r="A860" s="2">
        <v>859</v>
      </c>
      <c r="B860" s="3">
        <v>44834</v>
      </c>
      <c r="C860" s="2">
        <v>14</v>
      </c>
      <c r="D860" s="4" t="str">
        <f>"4954"</f>
        <v>4954</v>
      </c>
      <c r="E860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860" s="2" t="str">
        <f>""</f>
        <v/>
      </c>
      <c r="G860" s="2" t="str">
        <f>""</f>
        <v/>
      </c>
      <c r="H860" s="2" t="str">
        <f>""</f>
        <v/>
      </c>
      <c r="I860" s="1">
        <v>881674142.51999998</v>
      </c>
    </row>
    <row r="861" spans="1:9" x14ac:dyDescent="0.25">
      <c r="A861" s="2">
        <v>860</v>
      </c>
      <c r="B861" s="3">
        <v>44834</v>
      </c>
      <c r="C861" s="2">
        <v>14</v>
      </c>
      <c r="D861" s="4" t="str">
        <f>"4955"</f>
        <v>4955</v>
      </c>
      <c r="E86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861" s="2" t="str">
        <f>""</f>
        <v/>
      </c>
      <c r="G861" s="2" t="str">
        <f>""</f>
        <v/>
      </c>
      <c r="H861" s="2" t="str">
        <f>""</f>
        <v/>
      </c>
      <c r="I861" s="1">
        <v>230302161697.92999</v>
      </c>
    </row>
    <row r="862" spans="1:9" x14ac:dyDescent="0.25">
      <c r="A862" s="2">
        <v>861</v>
      </c>
      <c r="B862" s="3">
        <v>44834</v>
      </c>
      <c r="C862" s="2">
        <v>14</v>
      </c>
      <c r="D862" s="4" t="str">
        <f>"4956"</f>
        <v>4956</v>
      </c>
      <c r="E86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862" s="2" t="str">
        <f>""</f>
        <v/>
      </c>
      <c r="G862" s="2" t="str">
        <f>""</f>
        <v/>
      </c>
      <c r="H862" s="2" t="str">
        <f>""</f>
        <v/>
      </c>
      <c r="I862" s="1">
        <v>9612779.8399999999</v>
      </c>
    </row>
    <row r="863" spans="1:9" x14ac:dyDescent="0.25">
      <c r="A863" s="2">
        <v>862</v>
      </c>
      <c r="B863" s="3">
        <v>44834</v>
      </c>
      <c r="C863" s="2">
        <v>14</v>
      </c>
      <c r="D863" s="4" t="str">
        <f>"4957"</f>
        <v>4957</v>
      </c>
      <c r="E863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863" s="2" t="str">
        <f>""</f>
        <v/>
      </c>
      <c r="G863" s="2" t="str">
        <f>""</f>
        <v/>
      </c>
      <c r="H863" s="2" t="str">
        <f>""</f>
        <v/>
      </c>
      <c r="I863" s="1">
        <v>609825506.88</v>
      </c>
    </row>
    <row r="864" spans="1:9" x14ac:dyDescent="0.25">
      <c r="A864" s="2">
        <v>863</v>
      </c>
      <c r="B864" s="3">
        <v>44834</v>
      </c>
      <c r="C864" s="2">
        <v>14</v>
      </c>
      <c r="D864" s="4" t="str">
        <f>"4958"</f>
        <v>4958</v>
      </c>
      <c r="E86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864" s="2" t="str">
        <f>""</f>
        <v/>
      </c>
      <c r="G864" s="2" t="str">
        <f>""</f>
        <v/>
      </c>
      <c r="H864" s="2" t="str">
        <f>""</f>
        <v/>
      </c>
      <c r="I864" s="1">
        <v>20636494452.080002</v>
      </c>
    </row>
    <row r="865" spans="1:9" x14ac:dyDescent="0.25">
      <c r="A865" s="2">
        <v>864</v>
      </c>
      <c r="B865" s="3">
        <v>44834</v>
      </c>
      <c r="C865" s="2">
        <v>14</v>
      </c>
      <c r="D865" s="4" t="str">
        <f>"4959"</f>
        <v>4959</v>
      </c>
      <c r="E865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865" s="2" t="str">
        <f>""</f>
        <v/>
      </c>
      <c r="G865" s="2" t="str">
        <f>""</f>
        <v/>
      </c>
      <c r="H865" s="2" t="str">
        <f>""</f>
        <v/>
      </c>
      <c r="I865" s="1">
        <v>15756871890.040001</v>
      </c>
    </row>
    <row r="866" spans="1:9" x14ac:dyDescent="0.25">
      <c r="A866" s="2">
        <v>865</v>
      </c>
      <c r="B866" s="3">
        <v>44834</v>
      </c>
      <c r="C866" s="2">
        <v>14</v>
      </c>
      <c r="D866" s="4" t="str">
        <f>"4960"</f>
        <v>4960</v>
      </c>
      <c r="E866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866" s="2" t="str">
        <f>""</f>
        <v/>
      </c>
      <c r="G866" s="2" t="str">
        <f>""</f>
        <v/>
      </c>
      <c r="H866" s="2" t="str">
        <f>""</f>
        <v/>
      </c>
      <c r="I866" s="1">
        <v>2542280.09</v>
      </c>
    </row>
    <row r="867" spans="1:9" x14ac:dyDescent="0.25">
      <c r="A867" s="2">
        <v>866</v>
      </c>
      <c r="B867" s="3">
        <v>44834</v>
      </c>
      <c r="C867" s="2">
        <v>14</v>
      </c>
      <c r="D867" s="4" t="str">
        <f>"4961"</f>
        <v>4961</v>
      </c>
      <c r="E867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867" s="2" t="str">
        <f>""</f>
        <v/>
      </c>
      <c r="G867" s="2" t="str">
        <f>""</f>
        <v/>
      </c>
      <c r="H867" s="2" t="str">
        <f>""</f>
        <v/>
      </c>
      <c r="I867" s="1">
        <v>1397405292.8399999</v>
      </c>
    </row>
    <row r="868" spans="1:9" x14ac:dyDescent="0.25">
      <c r="A868" s="2">
        <v>867</v>
      </c>
      <c r="B868" s="3">
        <v>44834</v>
      </c>
      <c r="C868" s="2">
        <v>14</v>
      </c>
      <c r="D868" s="4" t="str">
        <f>"4962"</f>
        <v>4962</v>
      </c>
      <c r="E868" t="str">
        <f>"Доходы от восстановления резервов (провизий) по инвестициям в субординированный долг"</f>
        <v>Доходы от восстановления резервов (провизий) по инвестициям в субординированный долг</v>
      </c>
      <c r="F868" s="2" t="str">
        <f>""</f>
        <v/>
      </c>
      <c r="G868" s="2" t="str">
        <f>""</f>
        <v/>
      </c>
      <c r="H868" s="2" t="str">
        <f>""</f>
        <v/>
      </c>
      <c r="I868" s="1">
        <v>45090307.460000001</v>
      </c>
    </row>
    <row r="869" spans="1:9" x14ac:dyDescent="0.25">
      <c r="A869" s="2">
        <v>868</v>
      </c>
      <c r="B869" s="3">
        <v>44834</v>
      </c>
      <c r="C869" s="2">
        <v>14</v>
      </c>
      <c r="D869" s="4" t="str">
        <f>"4963"</f>
        <v>4963</v>
      </c>
      <c r="E869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869" s="2" t="str">
        <f>""</f>
        <v/>
      </c>
      <c r="G869" s="2" t="str">
        <f>""</f>
        <v/>
      </c>
      <c r="H869" s="2" t="str">
        <f>""</f>
        <v/>
      </c>
      <c r="I869" s="1">
        <v>6400264458.2200003</v>
      </c>
    </row>
    <row r="870" spans="1:9" x14ac:dyDescent="0.25">
      <c r="A870" s="2">
        <v>869</v>
      </c>
      <c r="B870" s="3">
        <v>44834</v>
      </c>
      <c r="C870" s="2">
        <v>14</v>
      </c>
      <c r="D870" s="4" t="str">
        <f>"5036"</f>
        <v>5036</v>
      </c>
      <c r="E870" t="str">
        <f>"Расходы,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Казахстан"</f>
        <v>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</v>
      </c>
      <c r="F870" s="2" t="str">
        <f>""</f>
        <v/>
      </c>
      <c r="G870" s="2" t="str">
        <f>""</f>
        <v/>
      </c>
      <c r="H870" s="2" t="str">
        <f>""</f>
        <v/>
      </c>
      <c r="I870" s="1">
        <v>1475000.01</v>
      </c>
    </row>
    <row r="871" spans="1:9" x14ac:dyDescent="0.25">
      <c r="A871" s="2">
        <v>870</v>
      </c>
      <c r="B871" s="3">
        <v>44834</v>
      </c>
      <c r="C871" s="2">
        <v>14</v>
      </c>
      <c r="D871" s="4" t="str">
        <f>"5056"</f>
        <v>5056</v>
      </c>
      <c r="E87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871" s="2" t="str">
        <f>""</f>
        <v/>
      </c>
      <c r="G871" s="2" t="str">
        <f>""</f>
        <v/>
      </c>
      <c r="H871" s="2" t="str">
        <f>""</f>
        <v/>
      </c>
      <c r="I871" s="1">
        <v>717231011.02999997</v>
      </c>
    </row>
    <row r="872" spans="1:9" x14ac:dyDescent="0.25">
      <c r="A872" s="2">
        <v>871</v>
      </c>
      <c r="B872" s="3">
        <v>44834</v>
      </c>
      <c r="C872" s="2">
        <v>14</v>
      </c>
      <c r="D872" s="4" t="str">
        <f>"5064"</f>
        <v>5064</v>
      </c>
      <c r="E872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872" s="2" t="str">
        <f>""</f>
        <v/>
      </c>
      <c r="G872" s="2" t="str">
        <f>""</f>
        <v/>
      </c>
      <c r="H872" s="2" t="str">
        <f>""</f>
        <v/>
      </c>
      <c r="I872" s="1">
        <v>265567172.38</v>
      </c>
    </row>
    <row r="873" spans="1:9" x14ac:dyDescent="0.25">
      <c r="A873" s="2">
        <v>872</v>
      </c>
      <c r="B873" s="3">
        <v>44834</v>
      </c>
      <c r="C873" s="2">
        <v>14</v>
      </c>
      <c r="D873" s="4" t="str">
        <f>"5066"</f>
        <v>5066</v>
      </c>
      <c r="E873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873" s="2" t="str">
        <f>""</f>
        <v/>
      </c>
      <c r="G873" s="2" t="str">
        <f>""</f>
        <v/>
      </c>
      <c r="H873" s="2" t="str">
        <f>""</f>
        <v/>
      </c>
      <c r="I873" s="1">
        <v>1512461333.0899999</v>
      </c>
    </row>
    <row r="874" spans="1:9" x14ac:dyDescent="0.25">
      <c r="A874" s="2">
        <v>873</v>
      </c>
      <c r="B874" s="3">
        <v>44834</v>
      </c>
      <c r="C874" s="2">
        <v>14</v>
      </c>
      <c r="D874" s="4" t="str">
        <f>"5071"</f>
        <v>5071</v>
      </c>
      <c r="E874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F874" s="2" t="str">
        <f>""</f>
        <v/>
      </c>
      <c r="G874" s="2" t="str">
        <f>""</f>
        <v/>
      </c>
      <c r="H874" s="2" t="str">
        <f>""</f>
        <v/>
      </c>
      <c r="I874" s="1">
        <v>4528678.9800000004</v>
      </c>
    </row>
    <row r="875" spans="1:9" x14ac:dyDescent="0.25">
      <c r="A875" s="2">
        <v>874</v>
      </c>
      <c r="B875" s="3">
        <v>44834</v>
      </c>
      <c r="C875" s="2">
        <v>14</v>
      </c>
      <c r="D875" s="4" t="str">
        <f>"5091"</f>
        <v>5091</v>
      </c>
      <c r="E875" t="str">
        <f>"Другие расходы, связанные с выплатой вознаграждения по операциям с другими банками"</f>
        <v>Другие расходы, связанные с выплатой вознаграждения по операциям с другими банками</v>
      </c>
      <c r="F875" s="2" t="str">
        <f>""</f>
        <v/>
      </c>
      <c r="G875" s="2" t="str">
        <f>""</f>
        <v/>
      </c>
      <c r="H875" s="2" t="str">
        <f>""</f>
        <v/>
      </c>
      <c r="I875" s="1">
        <v>2739624306.27</v>
      </c>
    </row>
    <row r="876" spans="1:9" x14ac:dyDescent="0.25">
      <c r="A876" s="2">
        <v>875</v>
      </c>
      <c r="B876" s="3">
        <v>44834</v>
      </c>
      <c r="C876" s="2">
        <v>14</v>
      </c>
      <c r="D876" s="4" t="str">
        <f>"5124"</f>
        <v>5124</v>
      </c>
      <c r="E876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876" s="2" t="str">
        <f>""</f>
        <v/>
      </c>
      <c r="G876" s="2" t="str">
        <f>""</f>
        <v/>
      </c>
      <c r="H876" s="2" t="str">
        <f>""</f>
        <v/>
      </c>
      <c r="I876" s="1">
        <v>1782863202.5799999</v>
      </c>
    </row>
    <row r="877" spans="1:9" x14ac:dyDescent="0.25">
      <c r="A877" s="2">
        <v>876</v>
      </c>
      <c r="B877" s="3">
        <v>44834</v>
      </c>
      <c r="C877" s="2">
        <v>14</v>
      </c>
      <c r="D877" s="4" t="str">
        <f>"5126"</f>
        <v>5126</v>
      </c>
      <c r="E877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877" s="2" t="str">
        <f>""</f>
        <v/>
      </c>
      <c r="G877" s="2" t="str">
        <f>""</f>
        <v/>
      </c>
      <c r="H877" s="2" t="str">
        <f>""</f>
        <v/>
      </c>
      <c r="I877" s="1">
        <v>1321422021.99</v>
      </c>
    </row>
    <row r="878" spans="1:9" x14ac:dyDescent="0.25">
      <c r="A878" s="2">
        <v>877</v>
      </c>
      <c r="B878" s="3">
        <v>44834</v>
      </c>
      <c r="C878" s="2">
        <v>14</v>
      </c>
      <c r="D878" s="4" t="str">
        <f>"5203"</f>
        <v>5203</v>
      </c>
      <c r="E878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878" s="2" t="str">
        <f>""</f>
        <v/>
      </c>
      <c r="G878" s="2" t="str">
        <f>""</f>
        <v/>
      </c>
      <c r="H878" s="2" t="str">
        <f>""</f>
        <v/>
      </c>
      <c r="I878" s="1">
        <v>8378878040.9799995</v>
      </c>
    </row>
    <row r="879" spans="1:9" x14ac:dyDescent="0.25">
      <c r="A879" s="2">
        <v>878</v>
      </c>
      <c r="B879" s="3">
        <v>44834</v>
      </c>
      <c r="C879" s="2">
        <v>14</v>
      </c>
      <c r="D879" s="4" t="str">
        <f>"5215"</f>
        <v>5215</v>
      </c>
      <c r="E879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879" s="2" t="str">
        <f>""</f>
        <v/>
      </c>
      <c r="G879" s="2" t="str">
        <f>""</f>
        <v/>
      </c>
      <c r="H879" s="2" t="str">
        <f>""</f>
        <v/>
      </c>
      <c r="I879" s="1">
        <v>236001359425.94</v>
      </c>
    </row>
    <row r="880" spans="1:9" x14ac:dyDescent="0.25">
      <c r="A880" s="2">
        <v>879</v>
      </c>
      <c r="B880" s="3">
        <v>44834</v>
      </c>
      <c r="C880" s="2">
        <v>14</v>
      </c>
      <c r="D880" s="4" t="str">
        <f>"5217"</f>
        <v>5217</v>
      </c>
      <c r="E880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880" s="2" t="str">
        <f>""</f>
        <v/>
      </c>
      <c r="G880" s="2" t="str">
        <f>""</f>
        <v/>
      </c>
      <c r="H880" s="2" t="str">
        <f>""</f>
        <v/>
      </c>
      <c r="I880" s="1">
        <v>20946070251.41</v>
      </c>
    </row>
    <row r="881" spans="1:9" x14ac:dyDescent="0.25">
      <c r="A881" s="2">
        <v>880</v>
      </c>
      <c r="B881" s="3">
        <v>44834</v>
      </c>
      <c r="C881" s="2">
        <v>14</v>
      </c>
      <c r="D881" s="4" t="str">
        <f>"5218"</f>
        <v>5218</v>
      </c>
      <c r="E88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881" s="2" t="str">
        <f>""</f>
        <v/>
      </c>
      <c r="G881" s="2" t="str">
        <f>""</f>
        <v/>
      </c>
      <c r="H881" s="2" t="str">
        <f>""</f>
        <v/>
      </c>
      <c r="I881" s="1">
        <v>42335556774.290001</v>
      </c>
    </row>
    <row r="882" spans="1:9" x14ac:dyDescent="0.25">
      <c r="A882" s="2">
        <v>881</v>
      </c>
      <c r="B882" s="3">
        <v>44834</v>
      </c>
      <c r="C882" s="2">
        <v>14</v>
      </c>
      <c r="D882" s="4" t="str">
        <f>"5219"</f>
        <v>5219</v>
      </c>
      <c r="E882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882" s="2" t="str">
        <f>""</f>
        <v/>
      </c>
      <c r="G882" s="2" t="str">
        <f>""</f>
        <v/>
      </c>
      <c r="H882" s="2" t="str">
        <f>""</f>
        <v/>
      </c>
      <c r="I882" s="1">
        <v>816260253.77999997</v>
      </c>
    </row>
    <row r="883" spans="1:9" x14ac:dyDescent="0.25">
      <c r="A883" s="2">
        <v>882</v>
      </c>
      <c r="B883" s="3">
        <v>44834</v>
      </c>
      <c r="C883" s="2">
        <v>14</v>
      </c>
      <c r="D883" s="4" t="str">
        <f>"5220"</f>
        <v>5220</v>
      </c>
      <c r="E883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883" s="2" t="str">
        <f>""</f>
        <v/>
      </c>
      <c r="G883" s="2" t="str">
        <f>""</f>
        <v/>
      </c>
      <c r="H883" s="2" t="str">
        <f>""</f>
        <v/>
      </c>
      <c r="I883" s="1">
        <v>2511688020.7800002</v>
      </c>
    </row>
    <row r="884" spans="1:9" x14ac:dyDescent="0.25">
      <c r="A884" s="2">
        <v>883</v>
      </c>
      <c r="B884" s="3">
        <v>44834</v>
      </c>
      <c r="C884" s="2">
        <v>14</v>
      </c>
      <c r="D884" s="4" t="str">
        <f>"5223"</f>
        <v>5223</v>
      </c>
      <c r="E884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884" s="2" t="str">
        <f>""</f>
        <v/>
      </c>
      <c r="G884" s="2" t="str">
        <f>""</f>
        <v/>
      </c>
      <c r="H884" s="2" t="str">
        <f>""</f>
        <v/>
      </c>
      <c r="I884" s="1">
        <v>1579651470.9100001</v>
      </c>
    </row>
    <row r="885" spans="1:9" x14ac:dyDescent="0.25">
      <c r="A885" s="2">
        <v>884</v>
      </c>
      <c r="B885" s="3">
        <v>44834</v>
      </c>
      <c r="C885" s="2">
        <v>14</v>
      </c>
      <c r="D885" s="4" t="str">
        <f>"5227"</f>
        <v>5227</v>
      </c>
      <c r="E885" t="str">
        <f>"Процентные расходы по обязательствам по аренде"</f>
        <v>Процентные расходы по обязательствам по аренде</v>
      </c>
      <c r="F885" s="2" t="str">
        <f>""</f>
        <v/>
      </c>
      <c r="G885" s="2" t="str">
        <f>""</f>
        <v/>
      </c>
      <c r="H885" s="2" t="str">
        <f>""</f>
        <v/>
      </c>
      <c r="I885" s="1">
        <v>298933729.43000001</v>
      </c>
    </row>
    <row r="886" spans="1:9" x14ac:dyDescent="0.25">
      <c r="A886" s="2">
        <v>885</v>
      </c>
      <c r="B886" s="3">
        <v>44834</v>
      </c>
      <c r="C886" s="2">
        <v>14</v>
      </c>
      <c r="D886" s="4" t="str">
        <f>"5236"</f>
        <v>5236</v>
      </c>
      <c r="E886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886" s="2" t="str">
        <f>""</f>
        <v/>
      </c>
      <c r="G886" s="2" t="str">
        <f>""</f>
        <v/>
      </c>
      <c r="H886" s="2" t="str">
        <f>""</f>
        <v/>
      </c>
      <c r="I886" s="1">
        <v>3902770672.6100001</v>
      </c>
    </row>
    <row r="887" spans="1:9" x14ac:dyDescent="0.25">
      <c r="A887" s="2">
        <v>886</v>
      </c>
      <c r="B887" s="3">
        <v>44834</v>
      </c>
      <c r="C887" s="2">
        <v>14</v>
      </c>
      <c r="D887" s="4" t="str">
        <f>"5250"</f>
        <v>5250</v>
      </c>
      <c r="E887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F887" s="2" t="str">
        <f>""</f>
        <v/>
      </c>
      <c r="G887" s="2" t="str">
        <f>""</f>
        <v/>
      </c>
      <c r="H887" s="2" t="str">
        <f>""</f>
        <v/>
      </c>
      <c r="I887" s="1">
        <v>43408700141.769997</v>
      </c>
    </row>
    <row r="888" spans="1:9" x14ac:dyDescent="0.25">
      <c r="A888" s="2">
        <v>887</v>
      </c>
      <c r="B888" s="3">
        <v>44834</v>
      </c>
      <c r="C888" s="2">
        <v>14</v>
      </c>
      <c r="D888" s="4" t="str">
        <f>"5301"</f>
        <v>5301</v>
      </c>
      <c r="E888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888" s="2" t="str">
        <f>""</f>
        <v/>
      </c>
      <c r="G888" s="2" t="str">
        <f>""</f>
        <v/>
      </c>
      <c r="H888" s="2" t="str">
        <f>""</f>
        <v/>
      </c>
      <c r="I888" s="1">
        <v>15392045861.68</v>
      </c>
    </row>
    <row r="889" spans="1:9" x14ac:dyDescent="0.25">
      <c r="A889" s="2">
        <v>888</v>
      </c>
      <c r="B889" s="3">
        <v>44834</v>
      </c>
      <c r="C889" s="2">
        <v>14</v>
      </c>
      <c r="D889" s="4" t="str">
        <f>"5306"</f>
        <v>5306</v>
      </c>
      <c r="E889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889" s="2" t="str">
        <f>""</f>
        <v/>
      </c>
      <c r="G889" s="2" t="str">
        <f>""</f>
        <v/>
      </c>
      <c r="H889" s="2" t="str">
        <f>""</f>
        <v/>
      </c>
      <c r="I889" s="1">
        <v>13993775250.620001</v>
      </c>
    </row>
    <row r="890" spans="1:9" x14ac:dyDescent="0.25">
      <c r="A890" s="2">
        <v>889</v>
      </c>
      <c r="B890" s="3">
        <v>44834</v>
      </c>
      <c r="C890" s="2">
        <v>14</v>
      </c>
      <c r="D890" s="4" t="str">
        <f>"5307"</f>
        <v>5307</v>
      </c>
      <c r="E890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890" s="2" t="str">
        <f>""</f>
        <v/>
      </c>
      <c r="G890" s="2" t="str">
        <f>""</f>
        <v/>
      </c>
      <c r="H890" s="2" t="str">
        <f>""</f>
        <v/>
      </c>
      <c r="I890" s="1">
        <v>1194693602.8</v>
      </c>
    </row>
    <row r="891" spans="1:9" x14ac:dyDescent="0.25">
      <c r="A891" s="2">
        <v>890</v>
      </c>
      <c r="B891" s="3">
        <v>44834</v>
      </c>
      <c r="C891" s="2">
        <v>14</v>
      </c>
      <c r="D891" s="4" t="str">
        <f>"5308"</f>
        <v>5308</v>
      </c>
      <c r="E89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891" s="2" t="str">
        <f>""</f>
        <v/>
      </c>
      <c r="G891" s="2" t="str">
        <f>""</f>
        <v/>
      </c>
      <c r="H891" s="2" t="str">
        <f>""</f>
        <v/>
      </c>
      <c r="I891" s="1">
        <v>182374.94</v>
      </c>
    </row>
    <row r="892" spans="1:9" x14ac:dyDescent="0.25">
      <c r="A892" s="2">
        <v>891</v>
      </c>
      <c r="B892" s="3">
        <v>44834</v>
      </c>
      <c r="C892" s="2">
        <v>14</v>
      </c>
      <c r="D892" s="4" t="str">
        <f>"5309"</f>
        <v>5309</v>
      </c>
      <c r="E892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F892" s="2" t="str">
        <f>""</f>
        <v/>
      </c>
      <c r="G892" s="2" t="str">
        <f>""</f>
        <v/>
      </c>
      <c r="H892" s="2" t="str">
        <f>""</f>
        <v/>
      </c>
      <c r="I892" s="1">
        <v>152851539.63999999</v>
      </c>
    </row>
    <row r="893" spans="1:9" x14ac:dyDescent="0.25">
      <c r="A893" s="2">
        <v>892</v>
      </c>
      <c r="B893" s="3">
        <v>44834</v>
      </c>
      <c r="C893" s="2">
        <v>14</v>
      </c>
      <c r="D893" s="4" t="str">
        <f>"5404"</f>
        <v>5404</v>
      </c>
      <c r="E893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893" s="2" t="str">
        <f>""</f>
        <v/>
      </c>
      <c r="G893" s="2" t="str">
        <f>""</f>
        <v/>
      </c>
      <c r="H893" s="2" t="str">
        <f>""</f>
        <v/>
      </c>
      <c r="I893" s="1">
        <v>116899143.3</v>
      </c>
    </row>
    <row r="894" spans="1:9" x14ac:dyDescent="0.25">
      <c r="A894" s="2">
        <v>893</v>
      </c>
      <c r="B894" s="3">
        <v>44834</v>
      </c>
      <c r="C894" s="2">
        <v>14</v>
      </c>
      <c r="D894" s="4" t="str">
        <f>"5406"</f>
        <v>5406</v>
      </c>
      <c r="E894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894" s="2" t="str">
        <f>""</f>
        <v/>
      </c>
      <c r="G894" s="2" t="str">
        <f>""</f>
        <v/>
      </c>
      <c r="H894" s="2" t="str">
        <f>""</f>
        <v/>
      </c>
      <c r="I894" s="1">
        <v>7206478863.75</v>
      </c>
    </row>
    <row r="895" spans="1:9" x14ac:dyDescent="0.25">
      <c r="A895" s="2">
        <v>894</v>
      </c>
      <c r="B895" s="3">
        <v>44834</v>
      </c>
      <c r="C895" s="2">
        <v>14</v>
      </c>
      <c r="D895" s="4" t="str">
        <f>"5451"</f>
        <v>5451</v>
      </c>
      <c r="E895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895" s="2" t="str">
        <f>""</f>
        <v/>
      </c>
      <c r="G895" s="2" t="str">
        <f>""</f>
        <v/>
      </c>
      <c r="H895" s="2" t="str">
        <f>""</f>
        <v/>
      </c>
      <c r="I895" s="1">
        <v>295563336.69999999</v>
      </c>
    </row>
    <row r="896" spans="1:9" x14ac:dyDescent="0.25">
      <c r="A896" s="2">
        <v>895</v>
      </c>
      <c r="B896" s="3">
        <v>44834</v>
      </c>
      <c r="C896" s="2">
        <v>14</v>
      </c>
      <c r="D896" s="4" t="str">
        <f>"5452"</f>
        <v>5452</v>
      </c>
      <c r="E896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896" s="2" t="str">
        <f>""</f>
        <v/>
      </c>
      <c r="G896" s="2" t="str">
        <f>""</f>
        <v/>
      </c>
      <c r="H896" s="2" t="str">
        <f>""</f>
        <v/>
      </c>
      <c r="I896" s="1">
        <v>155431200.91999999</v>
      </c>
    </row>
    <row r="897" spans="1:9" x14ac:dyDescent="0.25">
      <c r="A897" s="2">
        <v>896</v>
      </c>
      <c r="B897" s="3">
        <v>44834</v>
      </c>
      <c r="C897" s="2">
        <v>14</v>
      </c>
      <c r="D897" s="4" t="str">
        <f>"5453"</f>
        <v>5453</v>
      </c>
      <c r="E897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897" s="2" t="str">
        <f>""</f>
        <v/>
      </c>
      <c r="G897" s="2" t="str">
        <f>""</f>
        <v/>
      </c>
      <c r="H897" s="2" t="str">
        <f>""</f>
        <v/>
      </c>
      <c r="I897" s="1">
        <v>14544195007.389999</v>
      </c>
    </row>
    <row r="898" spans="1:9" x14ac:dyDescent="0.25">
      <c r="A898" s="2">
        <v>897</v>
      </c>
      <c r="B898" s="3">
        <v>44834</v>
      </c>
      <c r="C898" s="2">
        <v>14</v>
      </c>
      <c r="D898" s="4" t="str">
        <f>"5455"</f>
        <v>5455</v>
      </c>
      <c r="E898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898" s="2" t="str">
        <f>""</f>
        <v/>
      </c>
      <c r="G898" s="2" t="str">
        <f>""</f>
        <v/>
      </c>
      <c r="H898" s="2" t="str">
        <f>""</f>
        <v/>
      </c>
      <c r="I898" s="1">
        <v>301712165952.97998</v>
      </c>
    </row>
    <row r="899" spans="1:9" x14ac:dyDescent="0.25">
      <c r="A899" s="2">
        <v>898</v>
      </c>
      <c r="B899" s="3">
        <v>44834</v>
      </c>
      <c r="C899" s="2">
        <v>14</v>
      </c>
      <c r="D899" s="4" t="str">
        <f>"5456"</f>
        <v>5456</v>
      </c>
      <c r="E899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899" s="2" t="str">
        <f>""</f>
        <v/>
      </c>
      <c r="G899" s="2" t="str">
        <f>""</f>
        <v/>
      </c>
      <c r="H899" s="2" t="str">
        <f>""</f>
        <v/>
      </c>
      <c r="I899" s="1">
        <v>15342455.789999999</v>
      </c>
    </row>
    <row r="900" spans="1:9" x14ac:dyDescent="0.25">
      <c r="A900" s="2">
        <v>899</v>
      </c>
      <c r="B900" s="3">
        <v>44834</v>
      </c>
      <c r="C900" s="2">
        <v>14</v>
      </c>
      <c r="D900" s="4" t="str">
        <f>"5457"</f>
        <v>5457</v>
      </c>
      <c r="E900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900" s="2" t="str">
        <f>""</f>
        <v/>
      </c>
      <c r="G900" s="2" t="str">
        <f>""</f>
        <v/>
      </c>
      <c r="H900" s="2" t="str">
        <f>""</f>
        <v/>
      </c>
      <c r="I900" s="1">
        <v>758364993.99000001</v>
      </c>
    </row>
    <row r="901" spans="1:9" x14ac:dyDescent="0.25">
      <c r="A901" s="2">
        <v>900</v>
      </c>
      <c r="B901" s="3">
        <v>44834</v>
      </c>
      <c r="C901" s="2">
        <v>14</v>
      </c>
      <c r="D901" s="4" t="str">
        <f>"5458"</f>
        <v>5458</v>
      </c>
      <c r="E901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901" s="2" t="str">
        <f>""</f>
        <v/>
      </c>
      <c r="G901" s="2" t="str">
        <f>""</f>
        <v/>
      </c>
      <c r="H901" s="2" t="str">
        <f>""</f>
        <v/>
      </c>
      <c r="I901" s="1">
        <v>1364262222.1400001</v>
      </c>
    </row>
    <row r="902" spans="1:9" x14ac:dyDescent="0.25">
      <c r="A902" s="2">
        <v>901</v>
      </c>
      <c r="B902" s="3">
        <v>44834</v>
      </c>
      <c r="C902" s="2">
        <v>14</v>
      </c>
      <c r="D902" s="4" t="str">
        <f>"5459"</f>
        <v>5459</v>
      </c>
      <c r="E902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902" s="2" t="str">
        <f>""</f>
        <v/>
      </c>
      <c r="G902" s="2" t="str">
        <f>""</f>
        <v/>
      </c>
      <c r="H902" s="2" t="str">
        <f>""</f>
        <v/>
      </c>
      <c r="I902" s="1">
        <v>15963691908.879999</v>
      </c>
    </row>
    <row r="903" spans="1:9" x14ac:dyDescent="0.25">
      <c r="A903" s="2">
        <v>902</v>
      </c>
      <c r="B903" s="3">
        <v>44834</v>
      </c>
      <c r="C903" s="2">
        <v>14</v>
      </c>
      <c r="D903" s="4" t="str">
        <f>"5461"</f>
        <v>5461</v>
      </c>
      <c r="E903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903" s="2" t="str">
        <f>""</f>
        <v/>
      </c>
      <c r="G903" s="2" t="str">
        <f>""</f>
        <v/>
      </c>
      <c r="H903" s="2" t="str">
        <f>""</f>
        <v/>
      </c>
      <c r="I903" s="1">
        <v>8002134802.2700005</v>
      </c>
    </row>
    <row r="904" spans="1:9" x14ac:dyDescent="0.25">
      <c r="A904" s="2">
        <v>903</v>
      </c>
      <c r="B904" s="3">
        <v>44834</v>
      </c>
      <c r="C904" s="2">
        <v>14</v>
      </c>
      <c r="D904" s="4" t="str">
        <f>"5462"</f>
        <v>5462</v>
      </c>
      <c r="E904" t="str">
        <f>"Расходы на формирование резервов (провизий) по инвестициям в субординированный долг"</f>
        <v>Расходы на формирование резервов (провизий) по инвестициям в субординированный долг</v>
      </c>
      <c r="F904" s="2" t="str">
        <f>""</f>
        <v/>
      </c>
      <c r="G904" s="2" t="str">
        <f>""</f>
        <v/>
      </c>
      <c r="H904" s="2" t="str">
        <f>""</f>
        <v/>
      </c>
      <c r="I904" s="1">
        <v>44472502.649999999</v>
      </c>
    </row>
    <row r="905" spans="1:9" x14ac:dyDescent="0.25">
      <c r="A905" s="2">
        <v>904</v>
      </c>
      <c r="B905" s="3">
        <v>44834</v>
      </c>
      <c r="C905" s="2">
        <v>14</v>
      </c>
      <c r="D905" s="4" t="str">
        <f>"5464"</f>
        <v>5464</v>
      </c>
      <c r="E905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905" s="2" t="str">
        <f>""</f>
        <v/>
      </c>
      <c r="G905" s="2" t="str">
        <f>""</f>
        <v/>
      </c>
      <c r="H905" s="2" t="str">
        <f>""</f>
        <v/>
      </c>
      <c r="I905" s="1">
        <v>843524963.05999994</v>
      </c>
    </row>
    <row r="906" spans="1:9" x14ac:dyDescent="0.25">
      <c r="A906" s="2">
        <v>905</v>
      </c>
      <c r="B906" s="3">
        <v>44834</v>
      </c>
      <c r="C906" s="2">
        <v>14</v>
      </c>
      <c r="D906" s="4" t="str">
        <f>"5465"</f>
        <v>5465</v>
      </c>
      <c r="E906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906" s="2" t="str">
        <f>""</f>
        <v/>
      </c>
      <c r="G906" s="2" t="str">
        <f>""</f>
        <v/>
      </c>
      <c r="H906" s="2" t="str">
        <f>""</f>
        <v/>
      </c>
      <c r="I906" s="1">
        <v>21147440411.849998</v>
      </c>
    </row>
    <row r="907" spans="1:9" x14ac:dyDescent="0.25">
      <c r="A907" s="2">
        <v>906</v>
      </c>
      <c r="B907" s="3">
        <v>44834</v>
      </c>
      <c r="C907" s="2">
        <v>14</v>
      </c>
      <c r="D907" s="4" t="str">
        <f>"5469"</f>
        <v>5469</v>
      </c>
      <c r="E907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907" s="2" t="str">
        <f>""</f>
        <v/>
      </c>
      <c r="G907" s="2" t="str">
        <f>""</f>
        <v/>
      </c>
      <c r="H907" s="2" t="str">
        <f>""</f>
        <v/>
      </c>
      <c r="I907" s="1">
        <v>113728.62</v>
      </c>
    </row>
    <row r="908" spans="1:9" x14ac:dyDescent="0.25">
      <c r="A908" s="2">
        <v>907</v>
      </c>
      <c r="B908" s="3">
        <v>44834</v>
      </c>
      <c r="C908" s="2">
        <v>14</v>
      </c>
      <c r="D908" s="4" t="str">
        <f>"5510"</f>
        <v>5510</v>
      </c>
      <c r="E908" t="str">
        <f>"Расходы по купле-продаже ценных бумаг"</f>
        <v>Расходы по купле-продаже ценных бумаг</v>
      </c>
      <c r="F908" s="2" t="str">
        <f>""</f>
        <v/>
      </c>
      <c r="G908" s="2" t="str">
        <f>""</f>
        <v/>
      </c>
      <c r="H908" s="2" t="str">
        <f>""</f>
        <v/>
      </c>
      <c r="I908" s="1">
        <v>310357353.31</v>
      </c>
    </row>
    <row r="909" spans="1:9" x14ac:dyDescent="0.25">
      <c r="A909" s="2">
        <v>908</v>
      </c>
      <c r="B909" s="3">
        <v>44834</v>
      </c>
      <c r="C909" s="2">
        <v>14</v>
      </c>
      <c r="D909" s="4" t="str">
        <f>"5530"</f>
        <v>5530</v>
      </c>
      <c r="E909" t="str">
        <f>"Расходы по купле-продаже иностранной валюты"</f>
        <v>Расходы по купле-продаже иностранной валюты</v>
      </c>
      <c r="F909" s="2" t="str">
        <f>""</f>
        <v/>
      </c>
      <c r="G909" s="2" t="str">
        <f>""</f>
        <v/>
      </c>
      <c r="H909" s="2" t="str">
        <f>""</f>
        <v/>
      </c>
      <c r="I909" s="1">
        <v>103117696098.00999</v>
      </c>
    </row>
    <row r="910" spans="1:9" x14ac:dyDescent="0.25">
      <c r="A910" s="2">
        <v>909</v>
      </c>
      <c r="B910" s="3">
        <v>44834</v>
      </c>
      <c r="C910" s="2">
        <v>14</v>
      </c>
      <c r="D910" s="4" t="str">
        <f>"5540"</f>
        <v>5540</v>
      </c>
      <c r="E910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910" s="2" t="str">
        <f>""</f>
        <v/>
      </c>
      <c r="G910" s="2" t="str">
        <f>""</f>
        <v/>
      </c>
      <c r="H910" s="2" t="str">
        <f>""</f>
        <v/>
      </c>
      <c r="I910" s="1">
        <v>4529744634.4899998</v>
      </c>
    </row>
    <row r="911" spans="1:9" x14ac:dyDescent="0.25">
      <c r="A911" s="2">
        <v>910</v>
      </c>
      <c r="B911" s="3">
        <v>44834</v>
      </c>
      <c r="C911" s="2">
        <v>14</v>
      </c>
      <c r="D911" s="4" t="str">
        <f>"5570"</f>
        <v>5570</v>
      </c>
      <c r="E91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911" s="2" t="str">
        <f>""</f>
        <v/>
      </c>
      <c r="G911" s="2" t="str">
        <f>""</f>
        <v/>
      </c>
      <c r="H911" s="2" t="str">
        <f>""</f>
        <v/>
      </c>
      <c r="I911" s="1">
        <v>66554274.659999996</v>
      </c>
    </row>
    <row r="912" spans="1:9" x14ac:dyDescent="0.25">
      <c r="A912" s="2">
        <v>911</v>
      </c>
      <c r="B912" s="3">
        <v>44834</v>
      </c>
      <c r="C912" s="2">
        <v>14</v>
      </c>
      <c r="D912" s="4" t="str">
        <f>"5593"</f>
        <v>5593</v>
      </c>
      <c r="E912" t="str">
        <f>"Расходы от переоценки операций своп"</f>
        <v>Расходы от переоценки операций своп</v>
      </c>
      <c r="F912" s="2" t="str">
        <f>""</f>
        <v/>
      </c>
      <c r="G912" s="2" t="str">
        <f>""</f>
        <v/>
      </c>
      <c r="H912" s="2" t="str">
        <f>""</f>
        <v/>
      </c>
      <c r="I912" s="1">
        <v>161193481649.98999</v>
      </c>
    </row>
    <row r="913" spans="1:9" x14ac:dyDescent="0.25">
      <c r="A913" s="2">
        <v>912</v>
      </c>
      <c r="B913" s="3">
        <v>44834</v>
      </c>
      <c r="C913" s="2">
        <v>14</v>
      </c>
      <c r="D913" s="4" t="str">
        <f>"5601"</f>
        <v>5601</v>
      </c>
      <c r="E91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913" s="2" t="str">
        <f>""</f>
        <v/>
      </c>
      <c r="G913" s="2" t="str">
        <f>""</f>
        <v/>
      </c>
      <c r="H913" s="2" t="str">
        <f>""</f>
        <v/>
      </c>
      <c r="I913" s="1">
        <v>5517564795.3500004</v>
      </c>
    </row>
    <row r="914" spans="1:9" x14ac:dyDescent="0.25">
      <c r="A914" s="2">
        <v>913</v>
      </c>
      <c r="B914" s="3">
        <v>44834</v>
      </c>
      <c r="C914" s="2">
        <v>14</v>
      </c>
      <c r="D914" s="4" t="str">
        <f>"5602"</f>
        <v>5602</v>
      </c>
      <c r="E914" t="str">
        <f>"Комиссионные расходы по полученным агентским услугам"</f>
        <v>Комиссионные расходы по полученным агентским услугам</v>
      </c>
      <c r="F914" s="2" t="str">
        <f>""</f>
        <v/>
      </c>
      <c r="G914" s="2" t="str">
        <f>""</f>
        <v/>
      </c>
      <c r="H914" s="2" t="str">
        <f>""</f>
        <v/>
      </c>
      <c r="I914" s="1">
        <v>1972460923.0799999</v>
      </c>
    </row>
    <row r="915" spans="1:9" x14ac:dyDescent="0.25">
      <c r="A915" s="2">
        <v>914</v>
      </c>
      <c r="B915" s="3">
        <v>44834</v>
      </c>
      <c r="C915" s="2">
        <v>14</v>
      </c>
      <c r="D915" s="4" t="str">
        <f>"5606"</f>
        <v>5606</v>
      </c>
      <c r="E915" t="str">
        <f>"Комиссионные расходы по полученным услугам по гарантиям"</f>
        <v>Комиссионные расходы по полученным услугам по гарантиям</v>
      </c>
      <c r="F915" s="2" t="str">
        <f>""</f>
        <v/>
      </c>
      <c r="G915" s="2" t="str">
        <f>""</f>
        <v/>
      </c>
      <c r="H915" s="2" t="str">
        <f>""</f>
        <v/>
      </c>
      <c r="I915" s="1">
        <v>215787</v>
      </c>
    </row>
    <row r="916" spans="1:9" x14ac:dyDescent="0.25">
      <c r="A916" s="2">
        <v>915</v>
      </c>
      <c r="B916" s="3">
        <v>44834</v>
      </c>
      <c r="C916" s="2">
        <v>14</v>
      </c>
      <c r="D916" s="4" t="str">
        <f>"5608"</f>
        <v>5608</v>
      </c>
      <c r="E916" t="str">
        <f>"Прочие комиссионные расходы"</f>
        <v>Прочие комиссионные расходы</v>
      </c>
      <c r="F916" s="2" t="str">
        <f>""</f>
        <v/>
      </c>
      <c r="G916" s="2" t="str">
        <f>""</f>
        <v/>
      </c>
      <c r="H916" s="2" t="str">
        <f>""</f>
        <v/>
      </c>
      <c r="I916" s="1">
        <v>55496785788.510002</v>
      </c>
    </row>
    <row r="917" spans="1:9" x14ac:dyDescent="0.25">
      <c r="A917" s="2">
        <v>916</v>
      </c>
      <c r="B917" s="3">
        <v>44834</v>
      </c>
      <c r="C917" s="2">
        <v>14</v>
      </c>
      <c r="D917" s="4" t="str">
        <f>"5609"</f>
        <v>5609</v>
      </c>
      <c r="E917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917" s="2" t="str">
        <f>""</f>
        <v/>
      </c>
      <c r="G917" s="2" t="str">
        <f>""</f>
        <v/>
      </c>
      <c r="H917" s="2" t="str">
        <f>""</f>
        <v/>
      </c>
      <c r="I917" s="1">
        <v>666684810.17999995</v>
      </c>
    </row>
    <row r="918" spans="1:9" x14ac:dyDescent="0.25">
      <c r="A918" s="2">
        <v>917</v>
      </c>
      <c r="B918" s="3">
        <v>44834</v>
      </c>
      <c r="C918" s="2">
        <v>14</v>
      </c>
      <c r="D918" s="4" t="str">
        <f>"5611"</f>
        <v>5611</v>
      </c>
      <c r="E918" t="str">
        <f>"Комиссионные расходы за услуги по кассовым операциям"</f>
        <v>Комиссионные расходы за услуги по кассовым операциям</v>
      </c>
      <c r="F918" s="2" t="str">
        <f>""</f>
        <v/>
      </c>
      <c r="G918" s="2" t="str">
        <f>""</f>
        <v/>
      </c>
      <c r="H918" s="2" t="str">
        <f>""</f>
        <v/>
      </c>
      <c r="I918" s="1">
        <v>879537838.42999995</v>
      </c>
    </row>
    <row r="919" spans="1:9" x14ac:dyDescent="0.25">
      <c r="A919" s="2">
        <v>918</v>
      </c>
      <c r="B919" s="3">
        <v>44834</v>
      </c>
      <c r="C919" s="2">
        <v>14</v>
      </c>
      <c r="D919" s="4" t="str">
        <f>"5703"</f>
        <v>5703</v>
      </c>
      <c r="E919" t="str">
        <f>"Расходы от переоценки иностранной валюты"</f>
        <v>Расходы от переоценки иностранной валюты</v>
      </c>
      <c r="F919" s="2" t="str">
        <f>""</f>
        <v/>
      </c>
      <c r="G919" s="2" t="str">
        <f>""</f>
        <v/>
      </c>
      <c r="H919" s="2" t="str">
        <f>""</f>
        <v/>
      </c>
      <c r="I919" s="1">
        <v>31822097488670.398</v>
      </c>
    </row>
    <row r="920" spans="1:9" x14ac:dyDescent="0.25">
      <c r="A920" s="2">
        <v>919</v>
      </c>
      <c r="B920" s="3">
        <v>44834</v>
      </c>
      <c r="C920" s="2">
        <v>14</v>
      </c>
      <c r="D920" s="4" t="str">
        <f>"5704"</f>
        <v>5704</v>
      </c>
      <c r="E920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920" s="2" t="str">
        <f>""</f>
        <v/>
      </c>
      <c r="G920" s="2" t="str">
        <f>""</f>
        <v/>
      </c>
      <c r="H920" s="2" t="str">
        <f>""</f>
        <v/>
      </c>
      <c r="I920" s="1">
        <v>88557813331.929993</v>
      </c>
    </row>
    <row r="921" spans="1:9" x14ac:dyDescent="0.25">
      <c r="A921" s="2">
        <v>920</v>
      </c>
      <c r="B921" s="3">
        <v>44834</v>
      </c>
      <c r="C921" s="2">
        <v>14</v>
      </c>
      <c r="D921" s="4" t="str">
        <f>"5711"</f>
        <v>5711</v>
      </c>
      <c r="E921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921" s="2" t="str">
        <f>""</f>
        <v/>
      </c>
      <c r="G921" s="2" t="str">
        <f>""</f>
        <v/>
      </c>
      <c r="H921" s="2" t="str">
        <f>""</f>
        <v/>
      </c>
      <c r="I921" s="1">
        <v>3286974.18</v>
      </c>
    </row>
    <row r="922" spans="1:9" x14ac:dyDescent="0.25">
      <c r="A922" s="2">
        <v>921</v>
      </c>
      <c r="B922" s="3">
        <v>44834</v>
      </c>
      <c r="C922" s="2">
        <v>14</v>
      </c>
      <c r="D922" s="4" t="str">
        <f>"5721"</f>
        <v>5721</v>
      </c>
      <c r="E922" t="str">
        <f>"Расходы по оплате труда"</f>
        <v>Расходы по оплате труда</v>
      </c>
      <c r="F922" s="2" t="str">
        <f>""</f>
        <v/>
      </c>
      <c r="G922" s="2" t="str">
        <f>""</f>
        <v/>
      </c>
      <c r="H922" s="2" t="str">
        <f>""</f>
        <v/>
      </c>
      <c r="I922" s="1">
        <v>53395276236.139999</v>
      </c>
    </row>
    <row r="923" spans="1:9" x14ac:dyDescent="0.25">
      <c r="A923" s="2">
        <v>922</v>
      </c>
      <c r="B923" s="3">
        <v>44834</v>
      </c>
      <c r="C923" s="2">
        <v>14</v>
      </c>
      <c r="D923" s="4" t="str">
        <f>"5722"</f>
        <v>5722</v>
      </c>
      <c r="E923" t="str">
        <f>"Социальные отчисления"</f>
        <v>Социальные отчисления</v>
      </c>
      <c r="F923" s="2" t="str">
        <f>""</f>
        <v/>
      </c>
      <c r="G923" s="2" t="str">
        <f>""</f>
        <v/>
      </c>
      <c r="H923" s="2" t="str">
        <f>""</f>
        <v/>
      </c>
      <c r="I923" s="1">
        <v>2055584106</v>
      </c>
    </row>
    <row r="924" spans="1:9" x14ac:dyDescent="0.25">
      <c r="A924" s="2">
        <v>923</v>
      </c>
      <c r="B924" s="3">
        <v>44834</v>
      </c>
      <c r="C924" s="2">
        <v>14</v>
      </c>
      <c r="D924" s="4" t="str">
        <f>"5729"</f>
        <v>5729</v>
      </c>
      <c r="E924" t="str">
        <f>"Прочие выплаты"</f>
        <v>Прочие выплаты</v>
      </c>
      <c r="F924" s="2" t="str">
        <f>""</f>
        <v/>
      </c>
      <c r="G924" s="2" t="str">
        <f>""</f>
        <v/>
      </c>
      <c r="H924" s="2" t="str">
        <f>""</f>
        <v/>
      </c>
      <c r="I924" s="1">
        <v>407871296.77999997</v>
      </c>
    </row>
    <row r="925" spans="1:9" x14ac:dyDescent="0.25">
      <c r="A925" s="2">
        <v>924</v>
      </c>
      <c r="B925" s="3">
        <v>44834</v>
      </c>
      <c r="C925" s="2">
        <v>14</v>
      </c>
      <c r="D925" s="4" t="str">
        <f>"5733"</f>
        <v>5733</v>
      </c>
      <c r="E925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925" s="2" t="str">
        <f>""</f>
        <v/>
      </c>
      <c r="G925" s="2" t="str">
        <f>""</f>
        <v/>
      </c>
      <c r="H925" s="2" t="str">
        <f>""</f>
        <v/>
      </c>
      <c r="I925" s="1">
        <v>1424004500.4400001</v>
      </c>
    </row>
    <row r="926" spans="1:9" x14ac:dyDescent="0.25">
      <c r="A926" s="2">
        <v>925</v>
      </c>
      <c r="B926" s="3">
        <v>44834</v>
      </c>
      <c r="C926" s="2">
        <v>14</v>
      </c>
      <c r="D926" s="4" t="str">
        <f>"5741"</f>
        <v>5741</v>
      </c>
      <c r="E926" t="str">
        <f>"Транспортные расходы"</f>
        <v>Транспортные расходы</v>
      </c>
      <c r="F926" s="2" t="str">
        <f>""</f>
        <v/>
      </c>
      <c r="G926" s="2" t="str">
        <f>""</f>
        <v/>
      </c>
      <c r="H926" s="2" t="str">
        <f>""</f>
        <v/>
      </c>
      <c r="I926" s="1">
        <v>134616997.44999999</v>
      </c>
    </row>
    <row r="927" spans="1:9" x14ac:dyDescent="0.25">
      <c r="A927" s="2">
        <v>926</v>
      </c>
      <c r="B927" s="3">
        <v>44834</v>
      </c>
      <c r="C927" s="2">
        <v>14</v>
      </c>
      <c r="D927" s="4" t="str">
        <f>"5742"</f>
        <v>5742</v>
      </c>
      <c r="E927" t="str">
        <f>"Административные расходы"</f>
        <v>Административные расходы</v>
      </c>
      <c r="F927" s="2" t="str">
        <f>""</f>
        <v/>
      </c>
      <c r="G927" s="2" t="str">
        <f>""</f>
        <v/>
      </c>
      <c r="H927" s="2" t="str">
        <f>""</f>
        <v/>
      </c>
      <c r="I927" s="1">
        <v>6980678936.3100004</v>
      </c>
    </row>
    <row r="928" spans="1:9" x14ac:dyDescent="0.25">
      <c r="A928" s="2">
        <v>927</v>
      </c>
      <c r="B928" s="3">
        <v>44834</v>
      </c>
      <c r="C928" s="2">
        <v>14</v>
      </c>
      <c r="D928" s="4" t="str">
        <f>"5743"</f>
        <v>5743</v>
      </c>
      <c r="E928" t="str">
        <f>"Расходы на инкассацию"</f>
        <v>Расходы на инкассацию</v>
      </c>
      <c r="F928" s="2" t="str">
        <f>""</f>
        <v/>
      </c>
      <c r="G928" s="2" t="str">
        <f>""</f>
        <v/>
      </c>
      <c r="H928" s="2" t="str">
        <f>""</f>
        <v/>
      </c>
      <c r="I928" s="1">
        <v>3471331940.7399998</v>
      </c>
    </row>
    <row r="929" spans="1:9" x14ac:dyDescent="0.25">
      <c r="A929" s="2">
        <v>928</v>
      </c>
      <c r="B929" s="3">
        <v>44834</v>
      </c>
      <c r="C929" s="2">
        <v>14</v>
      </c>
      <c r="D929" s="4" t="str">
        <f>"5744"</f>
        <v>5744</v>
      </c>
      <c r="E929" t="str">
        <f>"Расходы на ремонт"</f>
        <v>Расходы на ремонт</v>
      </c>
      <c r="F929" s="2" t="str">
        <f>""</f>
        <v/>
      </c>
      <c r="G929" s="2" t="str">
        <f>""</f>
        <v/>
      </c>
      <c r="H929" s="2" t="str">
        <f>""</f>
        <v/>
      </c>
      <c r="I929" s="1">
        <v>3743718130.96</v>
      </c>
    </row>
    <row r="930" spans="1:9" x14ac:dyDescent="0.25">
      <c r="A930" s="2">
        <v>929</v>
      </c>
      <c r="B930" s="3">
        <v>44834</v>
      </c>
      <c r="C930" s="2">
        <v>14</v>
      </c>
      <c r="D930" s="4" t="str">
        <f>"5745"</f>
        <v>5745</v>
      </c>
      <c r="E930" t="str">
        <f>"Расходы на рекламу"</f>
        <v>Расходы на рекламу</v>
      </c>
      <c r="F930" s="2" t="str">
        <f>""</f>
        <v/>
      </c>
      <c r="G930" s="2" t="str">
        <f>""</f>
        <v/>
      </c>
      <c r="H930" s="2" t="str">
        <f>""</f>
        <v/>
      </c>
      <c r="I930" s="1">
        <v>9804512535.9500008</v>
      </c>
    </row>
    <row r="931" spans="1:9" x14ac:dyDescent="0.25">
      <c r="A931" s="2">
        <v>930</v>
      </c>
      <c r="B931" s="3">
        <v>44834</v>
      </c>
      <c r="C931" s="2">
        <v>14</v>
      </c>
      <c r="D931" s="4" t="str">
        <f>"5746"</f>
        <v>5746</v>
      </c>
      <c r="E931" t="str">
        <f>"Расходы на охрану и сигнализацию"</f>
        <v>Расходы на охрану и сигнализацию</v>
      </c>
      <c r="F931" s="2" t="str">
        <f>""</f>
        <v/>
      </c>
      <c r="G931" s="2" t="str">
        <f>""</f>
        <v/>
      </c>
      <c r="H931" s="2" t="str">
        <f>""</f>
        <v/>
      </c>
      <c r="I931" s="1">
        <v>3767807757.0999999</v>
      </c>
    </row>
    <row r="932" spans="1:9" x14ac:dyDescent="0.25">
      <c r="A932" s="2">
        <v>931</v>
      </c>
      <c r="B932" s="3">
        <v>44834</v>
      </c>
      <c r="C932" s="2">
        <v>14</v>
      </c>
      <c r="D932" s="4" t="str">
        <f>"5747"</f>
        <v>5747</v>
      </c>
      <c r="E932" t="str">
        <f>"Представительские расходы"</f>
        <v>Представительские расходы</v>
      </c>
      <c r="F932" s="2" t="str">
        <f>""</f>
        <v/>
      </c>
      <c r="G932" s="2" t="str">
        <f>""</f>
        <v/>
      </c>
      <c r="H932" s="2" t="str">
        <f>""</f>
        <v/>
      </c>
      <c r="I932" s="1">
        <v>83547805.430000007</v>
      </c>
    </row>
    <row r="933" spans="1:9" x14ac:dyDescent="0.25">
      <c r="A933" s="2">
        <v>932</v>
      </c>
      <c r="B933" s="3">
        <v>44834</v>
      </c>
      <c r="C933" s="2">
        <v>14</v>
      </c>
      <c r="D933" s="4" t="str">
        <f>"5749"</f>
        <v>5749</v>
      </c>
      <c r="E933" t="str">
        <f>"Расходы на служебные командировки"</f>
        <v>Расходы на служебные командировки</v>
      </c>
      <c r="F933" s="2" t="str">
        <f>""</f>
        <v/>
      </c>
      <c r="G933" s="2" t="str">
        <f>""</f>
        <v/>
      </c>
      <c r="H933" s="2" t="str">
        <f>""</f>
        <v/>
      </c>
      <c r="I933" s="1">
        <v>353761519.5</v>
      </c>
    </row>
    <row r="934" spans="1:9" x14ac:dyDescent="0.25">
      <c r="A934" s="2">
        <v>933</v>
      </c>
      <c r="B934" s="3">
        <v>44834</v>
      </c>
      <c r="C934" s="2">
        <v>14</v>
      </c>
      <c r="D934" s="4" t="str">
        <f>"5750"</f>
        <v>5750</v>
      </c>
      <c r="E934" t="str">
        <f>"Расходы по аудиту и консультационным услугам"</f>
        <v>Расходы по аудиту и консультационным услугам</v>
      </c>
      <c r="F934" s="2" t="str">
        <f>""</f>
        <v/>
      </c>
      <c r="G934" s="2" t="str">
        <f>""</f>
        <v/>
      </c>
      <c r="H934" s="2" t="str">
        <f>""</f>
        <v/>
      </c>
      <c r="I934" s="1">
        <v>808422467.47000003</v>
      </c>
    </row>
    <row r="935" spans="1:9" x14ac:dyDescent="0.25">
      <c r="A935" s="2">
        <v>934</v>
      </c>
      <c r="B935" s="3">
        <v>44834</v>
      </c>
      <c r="C935" s="2">
        <v>14</v>
      </c>
      <c r="D935" s="4" t="str">
        <f>"5752"</f>
        <v>5752</v>
      </c>
      <c r="E935" t="str">
        <f>"Расходы по страхованию"</f>
        <v>Расходы по страхованию</v>
      </c>
      <c r="F935" s="2" t="str">
        <f>""</f>
        <v/>
      </c>
      <c r="G935" s="2" t="str">
        <f>""</f>
        <v/>
      </c>
      <c r="H935" s="2" t="str">
        <f>""</f>
        <v/>
      </c>
      <c r="I935" s="1">
        <v>852718936.58000004</v>
      </c>
    </row>
    <row r="936" spans="1:9" x14ac:dyDescent="0.25">
      <c r="A936" s="2">
        <v>935</v>
      </c>
      <c r="B936" s="3">
        <v>44834</v>
      </c>
      <c r="C936" s="2">
        <v>14</v>
      </c>
      <c r="D936" s="4" t="str">
        <f>"5753"</f>
        <v>5753</v>
      </c>
      <c r="E936" t="str">
        <f>"Расходы по услугам связи"</f>
        <v>Расходы по услугам связи</v>
      </c>
      <c r="F936" s="2" t="str">
        <f>""</f>
        <v/>
      </c>
      <c r="G936" s="2" t="str">
        <f>""</f>
        <v/>
      </c>
      <c r="H936" s="2" t="str">
        <f>""</f>
        <v/>
      </c>
      <c r="I936" s="1">
        <v>4889620788.6800003</v>
      </c>
    </row>
    <row r="937" spans="1:9" x14ac:dyDescent="0.25">
      <c r="A937" s="2">
        <v>936</v>
      </c>
      <c r="B937" s="3">
        <v>44834</v>
      </c>
      <c r="C937" s="2">
        <v>14</v>
      </c>
      <c r="D937" s="4" t="str">
        <f>"5754"</f>
        <v>5754</v>
      </c>
      <c r="E93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937" s="2" t="str">
        <f>""</f>
        <v/>
      </c>
      <c r="G937" s="2" t="str">
        <f>""</f>
        <v/>
      </c>
      <c r="H937" s="2" t="str">
        <f>""</f>
        <v/>
      </c>
      <c r="I937" s="1">
        <v>4164200513</v>
      </c>
    </row>
    <row r="938" spans="1:9" x14ac:dyDescent="0.25">
      <c r="A938" s="2">
        <v>937</v>
      </c>
      <c r="B938" s="3">
        <v>44834</v>
      </c>
      <c r="C938" s="2">
        <v>14</v>
      </c>
      <c r="D938" s="4" t="str">
        <f>"5761"</f>
        <v>5761</v>
      </c>
      <c r="E938" t="str">
        <f>"Налог на добавленную стоимость"</f>
        <v>Налог на добавленную стоимость</v>
      </c>
      <c r="F938" s="2" t="str">
        <f>""</f>
        <v/>
      </c>
      <c r="G938" s="2" t="str">
        <f>""</f>
        <v/>
      </c>
      <c r="H938" s="2" t="str">
        <f>""</f>
        <v/>
      </c>
      <c r="I938" s="1">
        <v>3849920586.54</v>
      </c>
    </row>
    <row r="939" spans="1:9" x14ac:dyDescent="0.25">
      <c r="A939" s="2">
        <v>938</v>
      </c>
      <c r="B939" s="3">
        <v>44834</v>
      </c>
      <c r="C939" s="2">
        <v>14</v>
      </c>
      <c r="D939" s="4" t="str">
        <f>"5763"</f>
        <v>5763</v>
      </c>
      <c r="E939" t="str">
        <f>"Социальный налог"</f>
        <v>Социальный налог</v>
      </c>
      <c r="F939" s="2" t="str">
        <f>""</f>
        <v/>
      </c>
      <c r="G939" s="2" t="str">
        <f>""</f>
        <v/>
      </c>
      <c r="H939" s="2" t="str">
        <f>""</f>
        <v/>
      </c>
      <c r="I939" s="1">
        <v>3695298160.4699998</v>
      </c>
    </row>
    <row r="940" spans="1:9" x14ac:dyDescent="0.25">
      <c r="A940" s="2">
        <v>939</v>
      </c>
      <c r="B940" s="3">
        <v>44834</v>
      </c>
      <c r="C940" s="2">
        <v>14</v>
      </c>
      <c r="D940" s="4" t="str">
        <f>"5764"</f>
        <v>5764</v>
      </c>
      <c r="E940" t="str">
        <f>"Земельный налог"</f>
        <v>Земельный налог</v>
      </c>
      <c r="F940" s="2" t="str">
        <f>""</f>
        <v/>
      </c>
      <c r="G940" s="2" t="str">
        <f>""</f>
        <v/>
      </c>
      <c r="H940" s="2" t="str">
        <f>""</f>
        <v/>
      </c>
      <c r="I940" s="1">
        <v>41201117.350000001</v>
      </c>
    </row>
    <row r="941" spans="1:9" x14ac:dyDescent="0.25">
      <c r="A941" s="2">
        <v>940</v>
      </c>
      <c r="B941" s="3">
        <v>44834</v>
      </c>
      <c r="C941" s="2">
        <v>14</v>
      </c>
      <c r="D941" s="4" t="str">
        <f>"5765"</f>
        <v>5765</v>
      </c>
      <c r="E941" t="str">
        <f>"Налог на имущество юридических лиц"</f>
        <v>Налог на имущество юридических лиц</v>
      </c>
      <c r="F941" s="2" t="str">
        <f>""</f>
        <v/>
      </c>
      <c r="G941" s="2" t="str">
        <f>""</f>
        <v/>
      </c>
      <c r="H941" s="2" t="str">
        <f>""</f>
        <v/>
      </c>
      <c r="I941" s="1">
        <v>1427559456.5599999</v>
      </c>
    </row>
    <row r="942" spans="1:9" x14ac:dyDescent="0.25">
      <c r="A942" s="2">
        <v>941</v>
      </c>
      <c r="B942" s="3">
        <v>44834</v>
      </c>
      <c r="C942" s="2">
        <v>14</v>
      </c>
      <c r="D942" s="4" t="str">
        <f>"5766"</f>
        <v>5766</v>
      </c>
      <c r="E942" t="str">
        <f>"Налог на транспортные средства"</f>
        <v>Налог на транспортные средства</v>
      </c>
      <c r="F942" s="2" t="str">
        <f>""</f>
        <v/>
      </c>
      <c r="G942" s="2" t="str">
        <f>""</f>
        <v/>
      </c>
      <c r="H942" s="2" t="str">
        <f>""</f>
        <v/>
      </c>
      <c r="I942" s="1">
        <v>13434215.220000001</v>
      </c>
    </row>
    <row r="943" spans="1:9" x14ac:dyDescent="0.25">
      <c r="A943" s="2">
        <v>942</v>
      </c>
      <c r="B943" s="3">
        <v>44834</v>
      </c>
      <c r="C943" s="2">
        <v>14</v>
      </c>
      <c r="D943" s="4" t="str">
        <f>"5768"</f>
        <v>5768</v>
      </c>
      <c r="E943" t="str">
        <f>"Прочие налоги и обязательные платежи в бюджет"</f>
        <v>Прочие налоги и обязательные платежи в бюджет</v>
      </c>
      <c r="F943" s="2" t="str">
        <f>""</f>
        <v/>
      </c>
      <c r="G943" s="2" t="str">
        <f>""</f>
        <v/>
      </c>
      <c r="H943" s="2" t="str">
        <f>""</f>
        <v/>
      </c>
      <c r="I943" s="1">
        <v>589052019.26999998</v>
      </c>
    </row>
    <row r="944" spans="1:9" x14ac:dyDescent="0.25">
      <c r="A944" s="2">
        <v>943</v>
      </c>
      <c r="B944" s="3">
        <v>44834</v>
      </c>
      <c r="C944" s="2">
        <v>14</v>
      </c>
      <c r="D944" s="4" t="str">
        <f>"5781"</f>
        <v>5781</v>
      </c>
      <c r="E944" t="str">
        <f>"Расходы по амортизации зданий и сооружений"</f>
        <v>Расходы по амортизации зданий и сооружений</v>
      </c>
      <c r="F944" s="2" t="str">
        <f>""</f>
        <v/>
      </c>
      <c r="G944" s="2" t="str">
        <f>""</f>
        <v/>
      </c>
      <c r="H944" s="2" t="str">
        <f>""</f>
        <v/>
      </c>
      <c r="I944" s="1">
        <v>1233446135.2</v>
      </c>
    </row>
    <row r="945" spans="1:9" x14ac:dyDescent="0.25">
      <c r="A945" s="2">
        <v>944</v>
      </c>
      <c r="B945" s="3">
        <v>44834</v>
      </c>
      <c r="C945" s="2">
        <v>14</v>
      </c>
      <c r="D945" s="4" t="str">
        <f>"5782"</f>
        <v>5782</v>
      </c>
      <c r="E945" t="str">
        <f>"Расходы по амортизации компьютерного оборудования"</f>
        <v>Расходы по амортизации компьютерного оборудования</v>
      </c>
      <c r="F945" s="2" t="str">
        <f>""</f>
        <v/>
      </c>
      <c r="G945" s="2" t="str">
        <f>""</f>
        <v/>
      </c>
      <c r="H945" s="2" t="str">
        <f>""</f>
        <v/>
      </c>
      <c r="I945" s="1">
        <v>1505935652.1600001</v>
      </c>
    </row>
    <row r="946" spans="1:9" x14ac:dyDescent="0.25">
      <c r="A946" s="2">
        <v>945</v>
      </c>
      <c r="B946" s="3">
        <v>44834</v>
      </c>
      <c r="C946" s="2">
        <v>14</v>
      </c>
      <c r="D946" s="4" t="str">
        <f>"5783"</f>
        <v>5783</v>
      </c>
      <c r="E946" t="str">
        <f>"Расходы по амортизации прочих основных средств"</f>
        <v>Расходы по амортизации прочих основных средств</v>
      </c>
      <c r="F946" s="2" t="str">
        <f>""</f>
        <v/>
      </c>
      <c r="G946" s="2" t="str">
        <f>""</f>
        <v/>
      </c>
      <c r="H946" s="2" t="str">
        <f>""</f>
        <v/>
      </c>
      <c r="I946" s="1">
        <v>3671981602.5500002</v>
      </c>
    </row>
    <row r="947" spans="1:9" x14ac:dyDescent="0.25">
      <c r="A947" s="2">
        <v>946</v>
      </c>
      <c r="B947" s="3">
        <v>44834</v>
      </c>
      <c r="C947" s="2">
        <v>14</v>
      </c>
      <c r="D947" s="4" t="str">
        <f>"5784"</f>
        <v>5784</v>
      </c>
      <c r="E947" t="str">
        <f>"Расходы по амортизации активов в форме права пользования"</f>
        <v>Расходы по амортизации активов в форме права пользования</v>
      </c>
      <c r="F947" s="2" t="str">
        <f>""</f>
        <v/>
      </c>
      <c r="G947" s="2" t="str">
        <f>""</f>
        <v/>
      </c>
      <c r="H947" s="2" t="str">
        <f>""</f>
        <v/>
      </c>
      <c r="I947" s="1">
        <v>1023023046.17</v>
      </c>
    </row>
    <row r="948" spans="1:9" x14ac:dyDescent="0.25">
      <c r="A948" s="2">
        <v>947</v>
      </c>
      <c r="B948" s="3">
        <v>44834</v>
      </c>
      <c r="C948" s="2">
        <v>14</v>
      </c>
      <c r="D948" s="4" t="str">
        <f>"5786"</f>
        <v>5786</v>
      </c>
      <c r="E948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948" s="2" t="str">
        <f>""</f>
        <v/>
      </c>
      <c r="G948" s="2" t="str">
        <f>""</f>
        <v/>
      </c>
      <c r="H948" s="2" t="str">
        <f>""</f>
        <v/>
      </c>
      <c r="I948" s="1">
        <v>1518894.9</v>
      </c>
    </row>
    <row r="949" spans="1:9" x14ac:dyDescent="0.25">
      <c r="A949" s="2">
        <v>948</v>
      </c>
      <c r="B949" s="3">
        <v>44834</v>
      </c>
      <c r="C949" s="2">
        <v>14</v>
      </c>
      <c r="D949" s="4" t="str">
        <f>"5787"</f>
        <v>5787</v>
      </c>
      <c r="E949" t="str">
        <f>"Расходы по амортизации транспортных средств"</f>
        <v>Расходы по амортизации транспортных средств</v>
      </c>
      <c r="F949" s="2" t="str">
        <f>""</f>
        <v/>
      </c>
      <c r="G949" s="2" t="str">
        <f>""</f>
        <v/>
      </c>
      <c r="H949" s="2" t="str">
        <f>""</f>
        <v/>
      </c>
      <c r="I949" s="1">
        <v>178101841.72</v>
      </c>
    </row>
    <row r="950" spans="1:9" x14ac:dyDescent="0.25">
      <c r="A950" s="2">
        <v>949</v>
      </c>
      <c r="B950" s="3">
        <v>44834</v>
      </c>
      <c r="C950" s="2">
        <v>14</v>
      </c>
      <c r="D950" s="4" t="str">
        <f>"5788"</f>
        <v>5788</v>
      </c>
      <c r="E950" t="str">
        <f>"Расходы по амортизации нематериальных активов"</f>
        <v>Расходы по амортизации нематериальных активов</v>
      </c>
      <c r="F950" s="2" t="str">
        <f>""</f>
        <v/>
      </c>
      <c r="G950" s="2" t="str">
        <f>""</f>
        <v/>
      </c>
      <c r="H950" s="2" t="str">
        <f>""</f>
        <v/>
      </c>
      <c r="I950" s="1">
        <v>1195632389.04</v>
      </c>
    </row>
    <row r="951" spans="1:9" x14ac:dyDescent="0.25">
      <c r="A951" s="2">
        <v>950</v>
      </c>
      <c r="B951" s="3">
        <v>44834</v>
      </c>
      <c r="C951" s="2">
        <v>14</v>
      </c>
      <c r="D951" s="4" t="str">
        <f>"5852"</f>
        <v>5852</v>
      </c>
      <c r="E951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951" s="2" t="str">
        <f>""</f>
        <v/>
      </c>
      <c r="G951" s="2" t="str">
        <f>""</f>
        <v/>
      </c>
      <c r="H951" s="2" t="str">
        <f>""</f>
        <v/>
      </c>
      <c r="I951" s="1">
        <v>52709.82</v>
      </c>
    </row>
    <row r="952" spans="1:9" x14ac:dyDescent="0.25">
      <c r="A952" s="2">
        <v>951</v>
      </c>
      <c r="B952" s="3">
        <v>44834</v>
      </c>
      <c r="C952" s="2">
        <v>14</v>
      </c>
      <c r="D952" s="4" t="str">
        <f>"5853"</f>
        <v>5853</v>
      </c>
      <c r="E952" t="str">
        <f>"Расходы от безвозмездной передачи основных средств, нематериальных активов и запасов"</f>
        <v>Расходы от безвозмездной передачи основных средств, нематериальных активов и запасов</v>
      </c>
      <c r="F952" s="2" t="str">
        <f>""</f>
        <v/>
      </c>
      <c r="G952" s="2" t="str">
        <f>""</f>
        <v/>
      </c>
      <c r="H952" s="2" t="str">
        <f>""</f>
        <v/>
      </c>
      <c r="I952" s="1">
        <v>9246205.6300000008</v>
      </c>
    </row>
    <row r="953" spans="1:9" x14ac:dyDescent="0.25">
      <c r="A953" s="2">
        <v>952</v>
      </c>
      <c r="B953" s="3">
        <v>44834</v>
      </c>
      <c r="C953" s="2">
        <v>14</v>
      </c>
      <c r="D953" s="4" t="str">
        <f>"5857"</f>
        <v>5857</v>
      </c>
      <c r="E953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953" s="2" t="str">
        <f>""</f>
        <v/>
      </c>
      <c r="G953" s="2" t="str">
        <f>""</f>
        <v/>
      </c>
      <c r="H953" s="2" t="str">
        <f>""</f>
        <v/>
      </c>
      <c r="I953" s="1">
        <v>16105773393.309999</v>
      </c>
    </row>
    <row r="954" spans="1:9" x14ac:dyDescent="0.25">
      <c r="A954" s="2">
        <v>953</v>
      </c>
      <c r="B954" s="3">
        <v>44834</v>
      </c>
      <c r="C954" s="2">
        <v>14</v>
      </c>
      <c r="D954" s="4" t="str">
        <f>"5892"</f>
        <v>5892</v>
      </c>
      <c r="E954" t="str">
        <f>"Расходы по операциям форвард"</f>
        <v>Расходы по операциям форвард</v>
      </c>
      <c r="F954" s="2" t="str">
        <f>""</f>
        <v/>
      </c>
      <c r="G954" s="2" t="str">
        <f>""</f>
        <v/>
      </c>
      <c r="H954" s="2" t="str">
        <f>""</f>
        <v/>
      </c>
      <c r="I954" s="1">
        <v>1778163384.04</v>
      </c>
    </row>
    <row r="955" spans="1:9" x14ac:dyDescent="0.25">
      <c r="A955" s="2">
        <v>954</v>
      </c>
      <c r="B955" s="3">
        <v>44834</v>
      </c>
      <c r="C955" s="2">
        <v>14</v>
      </c>
      <c r="D955" s="4" t="str">
        <f>"5895"</f>
        <v>5895</v>
      </c>
      <c r="E955" t="str">
        <f>"Расходы по операциям своп"</f>
        <v>Расходы по операциям своп</v>
      </c>
      <c r="F955" s="2" t="str">
        <f>""</f>
        <v/>
      </c>
      <c r="G955" s="2" t="str">
        <f>""</f>
        <v/>
      </c>
      <c r="H955" s="2" t="str">
        <f>""</f>
        <v/>
      </c>
      <c r="I955" s="1">
        <v>200567440274.70999</v>
      </c>
    </row>
    <row r="956" spans="1:9" x14ac:dyDescent="0.25">
      <c r="A956" s="2">
        <v>955</v>
      </c>
      <c r="B956" s="3">
        <v>44834</v>
      </c>
      <c r="C956" s="2">
        <v>14</v>
      </c>
      <c r="D956" s="4" t="str">
        <f>"5900"</f>
        <v>5900</v>
      </c>
      <c r="E956" t="str">
        <f>"Неустойка (штраф, пеня)"</f>
        <v>Неустойка (штраф, пеня)</v>
      </c>
      <c r="F956" s="2" t="str">
        <f>""</f>
        <v/>
      </c>
      <c r="G956" s="2" t="str">
        <f>""</f>
        <v/>
      </c>
      <c r="H956" s="2" t="str">
        <f>""</f>
        <v/>
      </c>
      <c r="I956" s="1">
        <v>467107.5</v>
      </c>
    </row>
    <row r="957" spans="1:9" x14ac:dyDescent="0.25">
      <c r="A957" s="2">
        <v>956</v>
      </c>
      <c r="B957" s="3">
        <v>44834</v>
      </c>
      <c r="C957" s="2">
        <v>14</v>
      </c>
      <c r="D957" s="4" t="str">
        <f>"5921"</f>
        <v>5921</v>
      </c>
      <c r="E957" t="str">
        <f>"Прочие расходы от банковской деятельности"</f>
        <v>Прочие расходы от банковской деятельности</v>
      </c>
      <c r="F957" s="2" t="str">
        <f>""</f>
        <v/>
      </c>
      <c r="G957" s="2" t="str">
        <f>""</f>
        <v/>
      </c>
      <c r="H957" s="2" t="str">
        <f>""</f>
        <v/>
      </c>
      <c r="I957" s="1">
        <v>4663477208.3400002</v>
      </c>
    </row>
    <row r="958" spans="1:9" x14ac:dyDescent="0.25">
      <c r="A958" s="2">
        <v>957</v>
      </c>
      <c r="B958" s="3">
        <v>44834</v>
      </c>
      <c r="C958" s="2">
        <v>14</v>
      </c>
      <c r="D958" s="4" t="str">
        <f>"5922"</f>
        <v>5922</v>
      </c>
      <c r="E958" t="str">
        <f>"Прочие расходы от неосновной деятельности"</f>
        <v>Прочие расходы от неосновной деятельности</v>
      </c>
      <c r="F958" s="2" t="str">
        <f>""</f>
        <v/>
      </c>
      <c r="G958" s="2" t="str">
        <f>""</f>
        <v/>
      </c>
      <c r="H958" s="2" t="str">
        <f>""</f>
        <v/>
      </c>
      <c r="I958" s="1">
        <v>6330910342.3400002</v>
      </c>
    </row>
    <row r="959" spans="1:9" x14ac:dyDescent="0.25">
      <c r="A959" s="2">
        <v>958</v>
      </c>
      <c r="B959" s="3">
        <v>44834</v>
      </c>
      <c r="C959" s="2">
        <v>14</v>
      </c>
      <c r="D959" s="4" t="str">
        <f>"5923"</f>
        <v>5923</v>
      </c>
      <c r="E959" t="str">
        <f>"Расходы по аренде"</f>
        <v>Расходы по аренде</v>
      </c>
      <c r="F959" s="2" t="str">
        <f>""</f>
        <v/>
      </c>
      <c r="G959" s="2" t="str">
        <f>""</f>
        <v/>
      </c>
      <c r="H959" s="2" t="str">
        <f>""</f>
        <v/>
      </c>
      <c r="I959" s="1">
        <v>1889589233.3299999</v>
      </c>
    </row>
    <row r="960" spans="1:9" x14ac:dyDescent="0.25">
      <c r="A960" s="2">
        <v>959</v>
      </c>
      <c r="B960" s="3">
        <v>44834</v>
      </c>
      <c r="C960" s="2">
        <v>14</v>
      </c>
      <c r="D960" s="4" t="str">
        <f>"5999"</f>
        <v>5999</v>
      </c>
      <c r="E960" t="str">
        <f>"Корпоративный подоходный налог"</f>
        <v>Корпоративный подоходный налог</v>
      </c>
      <c r="F960" s="2" t="str">
        <f>""</f>
        <v/>
      </c>
      <c r="G960" s="2" t="str">
        <f>""</f>
        <v/>
      </c>
      <c r="H960" s="2" t="str">
        <f>""</f>
        <v/>
      </c>
      <c r="I960" s="1">
        <v>58587223293.760002</v>
      </c>
    </row>
    <row r="961" spans="1:9" x14ac:dyDescent="0.25">
      <c r="A961" s="2">
        <v>960</v>
      </c>
      <c r="B961" s="3">
        <v>44834</v>
      </c>
      <c r="C961" s="2">
        <v>14</v>
      </c>
      <c r="D961" s="4" t="str">
        <f>"6005"</f>
        <v>6005</v>
      </c>
      <c r="E961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961" s="2" t="str">
        <f>""</f>
        <v/>
      </c>
      <c r="G961" s="2" t="str">
        <f>""</f>
        <v/>
      </c>
      <c r="H961" s="2" t="str">
        <f>""</f>
        <v/>
      </c>
      <c r="I961" s="1">
        <v>31805642607.77</v>
      </c>
    </row>
    <row r="962" spans="1:9" x14ac:dyDescent="0.25">
      <c r="A962" s="2">
        <v>961</v>
      </c>
      <c r="B962" s="3">
        <v>44834</v>
      </c>
      <c r="C962" s="2">
        <v>14</v>
      </c>
      <c r="D962" s="4" t="str">
        <f>"6010"</f>
        <v>6010</v>
      </c>
      <c r="E962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962" s="2" t="str">
        <f>""</f>
        <v/>
      </c>
      <c r="G962" s="2" t="str">
        <f>""</f>
        <v/>
      </c>
      <c r="H962" s="2" t="str">
        <f>""</f>
        <v/>
      </c>
      <c r="I962" s="1">
        <v>1744548370.8900001</v>
      </c>
    </row>
    <row r="963" spans="1:9" x14ac:dyDescent="0.25">
      <c r="A963" s="2">
        <v>962</v>
      </c>
      <c r="B963" s="3">
        <v>44834</v>
      </c>
      <c r="C963" s="2">
        <v>14</v>
      </c>
      <c r="D963" s="4" t="str">
        <f>"6020"</f>
        <v>6020</v>
      </c>
      <c r="E963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963" s="2" t="str">
        <f>""</f>
        <v/>
      </c>
      <c r="G963" s="2" t="str">
        <f>""</f>
        <v/>
      </c>
      <c r="H963" s="2" t="str">
        <f>""</f>
        <v/>
      </c>
      <c r="I963" s="1">
        <v>66189324049.769997</v>
      </c>
    </row>
    <row r="964" spans="1:9" x14ac:dyDescent="0.25">
      <c r="A964" s="2">
        <v>963</v>
      </c>
      <c r="B964" s="3">
        <v>44834</v>
      </c>
      <c r="C964" s="2">
        <v>14</v>
      </c>
      <c r="D964" s="4" t="str">
        <f>"6055"</f>
        <v>6055</v>
      </c>
      <c r="E964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964" s="2" t="str">
        <f>""</f>
        <v/>
      </c>
      <c r="G964" s="2" t="str">
        <f>""</f>
        <v/>
      </c>
      <c r="H964" s="2" t="str">
        <f>""</f>
        <v/>
      </c>
      <c r="I964" s="1">
        <v>655214122554.03003</v>
      </c>
    </row>
    <row r="965" spans="1:9" x14ac:dyDescent="0.25">
      <c r="A965" s="2">
        <v>964</v>
      </c>
      <c r="B965" s="3">
        <v>44834</v>
      </c>
      <c r="C965" s="2">
        <v>14</v>
      </c>
      <c r="D965" s="4" t="str">
        <f>"6075"</f>
        <v>6075</v>
      </c>
      <c r="E965" t="str">
        <f>"Возможные требования по принятым гарантиям"</f>
        <v>Возможные требования по принятым гарантиям</v>
      </c>
      <c r="F965" s="2" t="str">
        <f>""</f>
        <v/>
      </c>
      <c r="G965" s="2" t="str">
        <f>""</f>
        <v/>
      </c>
      <c r="H965" s="2" t="str">
        <f>""</f>
        <v/>
      </c>
      <c r="I965" s="1">
        <v>20214900936673.699</v>
      </c>
    </row>
    <row r="966" spans="1:9" x14ac:dyDescent="0.25">
      <c r="A966" s="2">
        <v>965</v>
      </c>
      <c r="B966" s="3">
        <v>44834</v>
      </c>
      <c r="C966" s="2">
        <v>14</v>
      </c>
      <c r="D966" s="4" t="str">
        <f>"6125"</f>
        <v>6125</v>
      </c>
      <c r="E966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966" s="2" t="str">
        <f>""</f>
        <v/>
      </c>
      <c r="G966" s="2" t="str">
        <f>""</f>
        <v/>
      </c>
      <c r="H966" s="2" t="str">
        <f>""</f>
        <v/>
      </c>
      <c r="I966" s="1">
        <v>59202055147.870003</v>
      </c>
    </row>
    <row r="967" spans="1:9" x14ac:dyDescent="0.25">
      <c r="A967" s="2">
        <v>966</v>
      </c>
      <c r="B967" s="3">
        <v>44834</v>
      </c>
      <c r="C967" s="2">
        <v>14</v>
      </c>
      <c r="D967" s="4" t="str">
        <f>"6126"</f>
        <v>6126</v>
      </c>
      <c r="E967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967" s="2" t="str">
        <f>""</f>
        <v/>
      </c>
      <c r="G967" s="2" t="str">
        <f>""</f>
        <v/>
      </c>
      <c r="H967" s="2" t="str">
        <f>""</f>
        <v/>
      </c>
      <c r="I967" s="1">
        <v>2249962654717</v>
      </c>
    </row>
    <row r="968" spans="1:9" x14ac:dyDescent="0.25">
      <c r="A968" s="2">
        <v>967</v>
      </c>
      <c r="B968" s="3">
        <v>44834</v>
      </c>
      <c r="C968" s="2">
        <v>14</v>
      </c>
      <c r="D968" s="4" t="str">
        <f>"6130"</f>
        <v>6130</v>
      </c>
      <c r="E968" t="str">
        <f>"Неподвижные вклады клиентов"</f>
        <v>Неподвижные вклады клиентов</v>
      </c>
      <c r="F968" s="2" t="str">
        <f>""</f>
        <v/>
      </c>
      <c r="G968" s="2" t="str">
        <f>""</f>
        <v/>
      </c>
      <c r="H968" s="2" t="str">
        <f>""</f>
        <v/>
      </c>
      <c r="I968" s="1">
        <v>6556311737.5299997</v>
      </c>
    </row>
    <row r="969" spans="1:9" x14ac:dyDescent="0.25">
      <c r="A969" s="2">
        <v>968</v>
      </c>
      <c r="B969" s="3">
        <v>44834</v>
      </c>
      <c r="C969" s="2">
        <v>14</v>
      </c>
      <c r="D969" s="4" t="str">
        <f>"6205"</f>
        <v>6205</v>
      </c>
      <c r="E969" t="str">
        <f>"Условные требования по покупке ценных бумаг"</f>
        <v>Условные требования по покупке ценных бумаг</v>
      </c>
      <c r="F969" s="2" t="str">
        <f>""</f>
        <v/>
      </c>
      <c r="G969" s="2" t="str">
        <f>""</f>
        <v/>
      </c>
      <c r="H969" s="2" t="str">
        <f>""</f>
        <v/>
      </c>
      <c r="I969" s="1">
        <v>4348817419.5699997</v>
      </c>
    </row>
    <row r="970" spans="1:9" x14ac:dyDescent="0.25">
      <c r="A970" s="2">
        <v>969</v>
      </c>
      <c r="B970" s="3">
        <v>44834</v>
      </c>
      <c r="C970" s="2">
        <v>14</v>
      </c>
      <c r="D970" s="4" t="str">
        <f>"6405"</f>
        <v>6405</v>
      </c>
      <c r="E970" t="str">
        <f>"Условные требования по купле-продаже иностранной валюты"</f>
        <v>Условные требования по купле-продаже иностранной валюты</v>
      </c>
      <c r="F970" s="2" t="str">
        <f>""</f>
        <v/>
      </c>
      <c r="G970" s="2" t="str">
        <f>""</f>
        <v/>
      </c>
      <c r="H970" s="2" t="str">
        <f>""</f>
        <v/>
      </c>
      <c r="I970" s="1">
        <v>803881759331.07996</v>
      </c>
    </row>
    <row r="971" spans="1:9" x14ac:dyDescent="0.25">
      <c r="A971" s="2">
        <v>970</v>
      </c>
      <c r="B971" s="3">
        <v>44834</v>
      </c>
      <c r="C971" s="2">
        <v>14</v>
      </c>
      <c r="D971" s="4" t="str">
        <f>"6505"</f>
        <v>6505</v>
      </c>
      <c r="E971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971" s="2" t="str">
        <f>""</f>
        <v/>
      </c>
      <c r="G971" s="2" t="str">
        <f>""</f>
        <v/>
      </c>
      <c r="H971" s="2" t="str">
        <f>""</f>
        <v/>
      </c>
      <c r="I971" s="1">
        <v>31805642607.759998</v>
      </c>
    </row>
    <row r="972" spans="1:9" x14ac:dyDescent="0.25">
      <c r="A972" s="2">
        <v>971</v>
      </c>
      <c r="B972" s="3">
        <v>44834</v>
      </c>
      <c r="C972" s="2">
        <v>14</v>
      </c>
      <c r="D972" s="4" t="str">
        <f>"6510"</f>
        <v>6510</v>
      </c>
      <c r="E972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972" s="2" t="str">
        <f>""</f>
        <v/>
      </c>
      <c r="G972" s="2" t="str">
        <f>""</f>
        <v/>
      </c>
      <c r="H972" s="2" t="str">
        <f>""</f>
        <v/>
      </c>
      <c r="I972" s="1">
        <v>1744548370.8900001</v>
      </c>
    </row>
    <row r="973" spans="1:9" x14ac:dyDescent="0.25">
      <c r="A973" s="2">
        <v>972</v>
      </c>
      <c r="B973" s="3">
        <v>44834</v>
      </c>
      <c r="C973" s="2">
        <v>14</v>
      </c>
      <c r="D973" s="4" t="str">
        <f>"6520"</f>
        <v>6520</v>
      </c>
      <c r="E973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973" s="2" t="str">
        <f>""</f>
        <v/>
      </c>
      <c r="G973" s="2" t="str">
        <f>""</f>
        <v/>
      </c>
      <c r="H973" s="2" t="str">
        <f>""</f>
        <v/>
      </c>
      <c r="I973" s="1">
        <v>66189324049.769997</v>
      </c>
    </row>
    <row r="974" spans="1:9" x14ac:dyDescent="0.25">
      <c r="A974" s="2">
        <v>973</v>
      </c>
      <c r="B974" s="3">
        <v>44834</v>
      </c>
      <c r="C974" s="2">
        <v>14</v>
      </c>
      <c r="D974" s="4" t="str">
        <f>"6555"</f>
        <v>6555</v>
      </c>
      <c r="E974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974" s="2" t="str">
        <f>""</f>
        <v/>
      </c>
      <c r="G974" s="2" t="str">
        <f>""</f>
        <v/>
      </c>
      <c r="H974" s="2" t="str">
        <f>""</f>
        <v/>
      </c>
      <c r="I974" s="1">
        <v>655214122554.03003</v>
      </c>
    </row>
    <row r="975" spans="1:9" x14ac:dyDescent="0.25">
      <c r="A975" s="2">
        <v>974</v>
      </c>
      <c r="B975" s="3">
        <v>44834</v>
      </c>
      <c r="C975" s="2">
        <v>14</v>
      </c>
      <c r="D975" s="4" t="str">
        <f>"6575"</f>
        <v>6575</v>
      </c>
      <c r="E975" t="str">
        <f>"Возможное уменьшение требований по принятым гарантиям"</f>
        <v>Возможное уменьшение требований по принятым гарантиям</v>
      </c>
      <c r="F975" s="2" t="str">
        <f>""</f>
        <v/>
      </c>
      <c r="G975" s="2" t="str">
        <f>""</f>
        <v/>
      </c>
      <c r="H975" s="2" t="str">
        <f>""</f>
        <v/>
      </c>
      <c r="I975" s="1">
        <v>20214900936673.699</v>
      </c>
    </row>
    <row r="976" spans="1:9" x14ac:dyDescent="0.25">
      <c r="A976" s="2">
        <v>975</v>
      </c>
      <c r="B976" s="3">
        <v>44834</v>
      </c>
      <c r="C976" s="2">
        <v>14</v>
      </c>
      <c r="D976" s="4" t="str">
        <f>"6625"</f>
        <v>6625</v>
      </c>
      <c r="E976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976" s="2" t="str">
        <f>""</f>
        <v/>
      </c>
      <c r="G976" s="2" t="str">
        <f>""</f>
        <v/>
      </c>
      <c r="H976" s="2" t="str">
        <f>""</f>
        <v/>
      </c>
      <c r="I976" s="1">
        <v>59202055147.870003</v>
      </c>
    </row>
    <row r="977" spans="1:9" x14ac:dyDescent="0.25">
      <c r="A977" s="2">
        <v>976</v>
      </c>
      <c r="B977" s="3">
        <v>44834</v>
      </c>
      <c r="C977" s="2">
        <v>14</v>
      </c>
      <c r="D977" s="4" t="str">
        <f>"6626"</f>
        <v>6626</v>
      </c>
      <c r="E977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977" s="2" t="str">
        <f>""</f>
        <v/>
      </c>
      <c r="G977" s="2" t="str">
        <f>""</f>
        <v/>
      </c>
      <c r="H977" s="2" t="str">
        <f>""</f>
        <v/>
      </c>
      <c r="I977" s="1">
        <v>2249962654717</v>
      </c>
    </row>
    <row r="978" spans="1:9" x14ac:dyDescent="0.25">
      <c r="A978" s="2">
        <v>977</v>
      </c>
      <c r="B978" s="3">
        <v>44834</v>
      </c>
      <c r="C978" s="2">
        <v>14</v>
      </c>
      <c r="D978" s="4" t="str">
        <f>"6630"</f>
        <v>6630</v>
      </c>
      <c r="E978" t="str">
        <f>"Обязательства по неподвижным вкладам клиентов"</f>
        <v>Обязательства по неподвижным вкладам клиентов</v>
      </c>
      <c r="F978" s="2" t="str">
        <f>""</f>
        <v/>
      </c>
      <c r="G978" s="2" t="str">
        <f>""</f>
        <v/>
      </c>
      <c r="H978" s="2" t="str">
        <f>""</f>
        <v/>
      </c>
      <c r="I978" s="1">
        <v>6556311737.5299997</v>
      </c>
    </row>
    <row r="979" spans="1:9" x14ac:dyDescent="0.25">
      <c r="A979" s="2">
        <v>978</v>
      </c>
      <c r="B979" s="3">
        <v>44834</v>
      </c>
      <c r="C979" s="2">
        <v>14</v>
      </c>
      <c r="D979" s="4" t="str">
        <f>"6705"</f>
        <v>6705</v>
      </c>
      <c r="E979" t="str">
        <f>"Условные обязательства по покупке ценных бумаг"</f>
        <v>Условные обязательства по покупке ценных бумаг</v>
      </c>
      <c r="F979" s="2" t="str">
        <f>""</f>
        <v/>
      </c>
      <c r="G979" s="2" t="str">
        <f>""</f>
        <v/>
      </c>
      <c r="H979" s="2" t="str">
        <f>""</f>
        <v/>
      </c>
      <c r="I979" s="1">
        <v>4348817419.5699997</v>
      </c>
    </row>
    <row r="980" spans="1:9" x14ac:dyDescent="0.25">
      <c r="A980" s="2">
        <v>979</v>
      </c>
      <c r="B980" s="3">
        <v>44834</v>
      </c>
      <c r="C980" s="2">
        <v>14</v>
      </c>
      <c r="D980" s="4" t="str">
        <f>"6905"</f>
        <v>6905</v>
      </c>
      <c r="E980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980" s="2" t="str">
        <f>""</f>
        <v/>
      </c>
      <c r="G980" s="2" t="str">
        <f>""</f>
        <v/>
      </c>
      <c r="H980" s="2" t="str">
        <f>""</f>
        <v/>
      </c>
      <c r="I980" s="1">
        <v>822392785029.12</v>
      </c>
    </row>
    <row r="981" spans="1:9" x14ac:dyDescent="0.25">
      <c r="A981" s="2">
        <v>980</v>
      </c>
      <c r="B981" s="3">
        <v>44834</v>
      </c>
      <c r="C981" s="2">
        <v>14</v>
      </c>
      <c r="D981" s="4" t="str">
        <f>"6999"</f>
        <v>6999</v>
      </c>
      <c r="E981" t="str">
        <f>"Позиция по сделкам с иностранной валютой"</f>
        <v>Позиция по сделкам с иностранной валютой</v>
      </c>
      <c r="F981" s="2" t="str">
        <f>""</f>
        <v/>
      </c>
      <c r="G981" s="2" t="str">
        <f>""</f>
        <v/>
      </c>
      <c r="H981" s="2" t="str">
        <f>""</f>
        <v/>
      </c>
      <c r="I981" s="1">
        <v>18511025698.040001</v>
      </c>
    </row>
    <row r="982" spans="1:9" x14ac:dyDescent="0.25">
      <c r="A982" s="2">
        <v>981</v>
      </c>
      <c r="B982" s="3">
        <v>44834</v>
      </c>
      <c r="C982" s="2">
        <v>14</v>
      </c>
      <c r="D982" s="4" t="str">
        <f>"7110"</f>
        <v>7110</v>
      </c>
      <c r="E982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982" s="2" t="str">
        <f>""</f>
        <v/>
      </c>
      <c r="G982" s="2" t="str">
        <f>""</f>
        <v/>
      </c>
      <c r="H982" s="2" t="str">
        <f>""</f>
        <v/>
      </c>
      <c r="I982" s="1">
        <v>183926702.80000001</v>
      </c>
    </row>
    <row r="983" spans="1:9" x14ac:dyDescent="0.25">
      <c r="A983" s="2">
        <v>982</v>
      </c>
      <c r="B983" s="3">
        <v>44834</v>
      </c>
      <c r="C983" s="2">
        <v>14</v>
      </c>
      <c r="D983" s="4" t="str">
        <f>"7115"</f>
        <v>7115</v>
      </c>
      <c r="E983" t="str">
        <f>"Основные средства, реализуемые с рассрочкой платежа"</f>
        <v>Основные средства, реализуемые с рассрочкой платежа</v>
      </c>
      <c r="F983" s="2" t="str">
        <f>""</f>
        <v/>
      </c>
      <c r="G983" s="2" t="str">
        <f>""</f>
        <v/>
      </c>
      <c r="H983" s="2" t="str">
        <f>""</f>
        <v/>
      </c>
      <c r="I983" s="1">
        <v>34242105527.209999</v>
      </c>
    </row>
    <row r="984" spans="1:9" x14ac:dyDescent="0.25">
      <c r="A984" s="2">
        <v>983</v>
      </c>
      <c r="B984" s="3">
        <v>44834</v>
      </c>
      <c r="C984" s="2">
        <v>14</v>
      </c>
      <c r="D984" s="4" t="str">
        <f>"7220"</f>
        <v>7220</v>
      </c>
      <c r="E984" t="str">
        <f>"Арендованные активы"</f>
        <v>Арендованные активы</v>
      </c>
      <c r="F984" s="2" t="str">
        <f>""</f>
        <v/>
      </c>
      <c r="G984" s="2" t="str">
        <f>""</f>
        <v/>
      </c>
      <c r="H984" s="2" t="str">
        <f>""</f>
        <v/>
      </c>
      <c r="I984" s="1">
        <v>1810</v>
      </c>
    </row>
    <row r="985" spans="1:9" x14ac:dyDescent="0.25">
      <c r="A985" s="2">
        <v>984</v>
      </c>
      <c r="B985" s="3">
        <v>44834</v>
      </c>
      <c r="C985" s="2">
        <v>14</v>
      </c>
      <c r="D985" s="4" t="str">
        <f>"7240"</f>
        <v>7240</v>
      </c>
      <c r="E985" t="str">
        <f>"Документы и ценности, принятые на инкассо"</f>
        <v>Документы и ценности, принятые на инкассо</v>
      </c>
      <c r="F985" s="2" t="str">
        <f>""</f>
        <v/>
      </c>
      <c r="G985" s="2" t="str">
        <f>""</f>
        <v/>
      </c>
      <c r="H985" s="2" t="str">
        <f>""</f>
        <v/>
      </c>
      <c r="I985" s="1">
        <v>2359679850.7399998</v>
      </c>
    </row>
    <row r="986" spans="1:9" x14ac:dyDescent="0.25">
      <c r="A986" s="2">
        <v>985</v>
      </c>
      <c r="B986" s="3">
        <v>44834</v>
      </c>
      <c r="C986" s="2">
        <v>14</v>
      </c>
      <c r="D986" s="4" t="str">
        <f>"7250"</f>
        <v>7250</v>
      </c>
      <c r="E986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986" s="2" t="str">
        <f>""</f>
        <v/>
      </c>
      <c r="G986" s="2" t="str">
        <f>""</f>
        <v/>
      </c>
      <c r="H986" s="2" t="str">
        <f>""</f>
        <v/>
      </c>
      <c r="I986" s="1">
        <v>4852597198845.6699</v>
      </c>
    </row>
    <row r="987" spans="1:9" x14ac:dyDescent="0.25">
      <c r="A987" s="2">
        <v>986</v>
      </c>
      <c r="B987" s="3">
        <v>44834</v>
      </c>
      <c r="C987" s="2">
        <v>14</v>
      </c>
      <c r="D987" s="4" t="str">
        <f>"7303"</f>
        <v>7303</v>
      </c>
      <c r="E987" t="str">
        <f>"Платежные документы, не оплаченные в срок"</f>
        <v>Платежные документы, не оплаченные в срок</v>
      </c>
      <c r="F987" s="2" t="str">
        <f>""</f>
        <v/>
      </c>
      <c r="G987" s="2" t="str">
        <f>""</f>
        <v/>
      </c>
      <c r="H987" s="2" t="str">
        <f>""</f>
        <v/>
      </c>
      <c r="I987" s="1">
        <v>158746590419535</v>
      </c>
    </row>
    <row r="988" spans="1:9" x14ac:dyDescent="0.25">
      <c r="A988" s="2">
        <v>987</v>
      </c>
      <c r="B988" s="3">
        <v>44834</v>
      </c>
      <c r="C988" s="2">
        <v>14</v>
      </c>
      <c r="D988" s="4" t="str">
        <f>"7330"</f>
        <v>7330</v>
      </c>
      <c r="E988" t="str">
        <f>"Займы, обслуживаемые на основе агентских соглашений"</f>
        <v>Займы, обслуживаемые на основе агентских соглашений</v>
      </c>
      <c r="F988" s="2" t="str">
        <f>""</f>
        <v/>
      </c>
      <c r="G988" s="2" t="str">
        <f>""</f>
        <v/>
      </c>
      <c r="H988" s="2" t="str">
        <f>""</f>
        <v/>
      </c>
      <c r="I988" s="1">
        <v>3009565.88</v>
      </c>
    </row>
    <row r="989" spans="1:9" x14ac:dyDescent="0.25">
      <c r="A989" s="2">
        <v>988</v>
      </c>
      <c r="B989" s="3">
        <v>44834</v>
      </c>
      <c r="C989" s="2">
        <v>14</v>
      </c>
      <c r="D989" s="4" t="str">
        <f>"7331"</f>
        <v>7331</v>
      </c>
      <c r="E989" t="str">
        <f>"Начисленное вознаграждение по агентским займам"</f>
        <v>Начисленное вознаграждение по агентским займам</v>
      </c>
      <c r="F989" s="2" t="str">
        <f>""</f>
        <v/>
      </c>
      <c r="G989" s="2" t="str">
        <f>""</f>
        <v/>
      </c>
      <c r="H989" s="2" t="str">
        <f>""</f>
        <v/>
      </c>
      <c r="I989" s="1">
        <v>343397.31</v>
      </c>
    </row>
    <row r="990" spans="1:9" x14ac:dyDescent="0.25">
      <c r="A990" s="2">
        <v>989</v>
      </c>
      <c r="B990" s="3">
        <v>44834</v>
      </c>
      <c r="C990" s="2">
        <v>14</v>
      </c>
      <c r="D990" s="4" t="str">
        <f>"7339"</f>
        <v>7339</v>
      </c>
      <c r="E990" t="str">
        <f>"Разные ценности и документы"</f>
        <v>Разные ценности и документы</v>
      </c>
      <c r="F990" s="2" t="str">
        <f>""</f>
        <v/>
      </c>
      <c r="G990" s="2" t="str">
        <f>""</f>
        <v/>
      </c>
      <c r="H990" s="2" t="str">
        <f>""</f>
        <v/>
      </c>
      <c r="I990" s="1">
        <v>26726330404.360001</v>
      </c>
    </row>
    <row r="991" spans="1:9" x14ac:dyDescent="0.25">
      <c r="A991" s="2">
        <v>990</v>
      </c>
      <c r="B991" s="3">
        <v>44834</v>
      </c>
      <c r="C991" s="2">
        <v>14</v>
      </c>
      <c r="D991" s="4" t="str">
        <f>"7342"</f>
        <v>7342</v>
      </c>
      <c r="E99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991" s="2" t="str">
        <f>""</f>
        <v/>
      </c>
      <c r="G991" s="2" t="str">
        <f>""</f>
        <v/>
      </c>
      <c r="H991" s="2" t="str">
        <f>""</f>
        <v/>
      </c>
      <c r="I991" s="1">
        <v>57225769.850000001</v>
      </c>
    </row>
    <row r="992" spans="1:9" x14ac:dyDescent="0.25">
      <c r="A992" s="2">
        <v>991</v>
      </c>
      <c r="B992" s="3">
        <v>44834</v>
      </c>
      <c r="C992" s="2">
        <v>14</v>
      </c>
      <c r="D992" s="4" t="str">
        <f>"7360"</f>
        <v>7360</v>
      </c>
      <c r="E992" t="str">
        <f>"Акции и другие ценные бумаги клиентов"</f>
        <v>Акции и другие ценные бумаги клиентов</v>
      </c>
      <c r="F992" s="2" t="str">
        <f>""</f>
        <v/>
      </c>
      <c r="G992" s="2" t="str">
        <f>""</f>
        <v/>
      </c>
      <c r="H992" s="2" t="str">
        <f>""</f>
        <v/>
      </c>
      <c r="I992" s="1">
        <v>28044958.449999999</v>
      </c>
    </row>
    <row r="993" spans="1:9" x14ac:dyDescent="0.25">
      <c r="A993" s="2">
        <v>992</v>
      </c>
      <c r="B993" s="3">
        <v>44834</v>
      </c>
      <c r="C993" s="2">
        <v>14</v>
      </c>
      <c r="D993" s="4" t="str">
        <f>"7363"</f>
        <v>7363</v>
      </c>
      <c r="E993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993" s="2" t="str">
        <f>""</f>
        <v/>
      </c>
      <c r="G993" s="2" t="str">
        <f>""</f>
        <v/>
      </c>
      <c r="H993" s="2" t="str">
        <f>""</f>
        <v/>
      </c>
      <c r="I993" s="1">
        <v>133244993568.25999</v>
      </c>
    </row>
    <row r="994" spans="1:9" x14ac:dyDescent="0.25">
      <c r="A994" s="2">
        <v>993</v>
      </c>
      <c r="B994" s="3">
        <v>44834</v>
      </c>
      <c r="C994" s="2">
        <v>14</v>
      </c>
      <c r="D994" s="4" t="str">
        <f>"7401"</f>
        <v>7401</v>
      </c>
      <c r="E994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F994" s="2" t="str">
        <f>""</f>
        <v/>
      </c>
      <c r="G994" s="2" t="str">
        <f>""</f>
        <v/>
      </c>
      <c r="H994" s="2" t="str">
        <f>""</f>
        <v/>
      </c>
      <c r="I994" s="1">
        <v>1213766352.4100001</v>
      </c>
    </row>
    <row r="995" spans="1:9" x14ac:dyDescent="0.25">
      <c r="A995" s="2">
        <v>994</v>
      </c>
      <c r="B995" s="3">
        <v>44834</v>
      </c>
      <c r="C995" s="2">
        <v>14</v>
      </c>
      <c r="D995" s="4" t="str">
        <f>"7403"</f>
        <v>7403</v>
      </c>
      <c r="E995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F995" s="2" t="str">
        <f>""</f>
        <v/>
      </c>
      <c r="G995" s="2" t="str">
        <f>""</f>
        <v/>
      </c>
      <c r="H995" s="2" t="str">
        <f>""</f>
        <v/>
      </c>
      <c r="I995" s="1">
        <v>1322299876.8900001</v>
      </c>
    </row>
    <row r="996" spans="1:9" x14ac:dyDescent="0.25">
      <c r="A996" s="2">
        <v>995</v>
      </c>
      <c r="B996" s="3">
        <v>44834</v>
      </c>
      <c r="C996" s="2">
        <v>14</v>
      </c>
      <c r="D996" s="4" t="str">
        <f>"7404"</f>
        <v>7404</v>
      </c>
      <c r="E996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F996" s="2" t="str">
        <f>""</f>
        <v/>
      </c>
      <c r="G996" s="2" t="str">
        <f>""</f>
        <v/>
      </c>
      <c r="H996" s="2" t="str">
        <f>""</f>
        <v/>
      </c>
      <c r="I996" s="1">
        <v>1904160140.6800001</v>
      </c>
    </row>
    <row r="997" spans="1:9" x14ac:dyDescent="0.25">
      <c r="A997" s="2">
        <v>996</v>
      </c>
      <c r="B997" s="3">
        <v>44834</v>
      </c>
      <c r="C997" s="2">
        <v>14</v>
      </c>
      <c r="D997" s="4" t="str">
        <f>"7405"</f>
        <v>7405</v>
      </c>
      <c r="E997" t="str">
        <f>"Ценные бумаги международных финансовых организаций"</f>
        <v>Ценные бумаги международных финансовых организаций</v>
      </c>
      <c r="F997" s="2" t="str">
        <f>""</f>
        <v/>
      </c>
      <c r="G997" s="2" t="str">
        <f>""</f>
        <v/>
      </c>
      <c r="H997" s="2" t="str">
        <f>""</f>
        <v/>
      </c>
      <c r="I997" s="1">
        <v>85896866.090000004</v>
      </c>
    </row>
    <row r="998" spans="1:9" x14ac:dyDescent="0.25">
      <c r="A998" s="2">
        <v>997</v>
      </c>
      <c r="B998" s="3">
        <v>44834</v>
      </c>
      <c r="C998" s="2">
        <v>14</v>
      </c>
      <c r="D998" s="4" t="str">
        <f>"7409"</f>
        <v>7409</v>
      </c>
      <c r="E998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F998" s="2" t="str">
        <f>""</f>
        <v/>
      </c>
      <c r="G998" s="2" t="str">
        <f>""</f>
        <v/>
      </c>
      <c r="H998" s="2" t="str">
        <f>""</f>
        <v/>
      </c>
      <c r="I998" s="1">
        <v>35078697.200000003</v>
      </c>
    </row>
    <row r="999" spans="1:9" x14ac:dyDescent="0.25">
      <c r="A999" s="2">
        <v>998</v>
      </c>
      <c r="B999" s="3">
        <v>44834</v>
      </c>
      <c r="C999" s="2">
        <v>14</v>
      </c>
      <c r="D999" s="4" t="str">
        <f>"7410"</f>
        <v>7410</v>
      </c>
      <c r="E999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F999" s="2" t="str">
        <f>""</f>
        <v/>
      </c>
      <c r="G999" s="2" t="str">
        <f>""</f>
        <v/>
      </c>
      <c r="H999" s="2" t="str">
        <f>""</f>
        <v/>
      </c>
      <c r="I999" s="1">
        <v>8783916.1099999994</v>
      </c>
    </row>
    <row r="1000" spans="1:9" x14ac:dyDescent="0.25">
      <c r="A1000" s="2">
        <v>999</v>
      </c>
      <c r="B1000" s="3">
        <v>44834</v>
      </c>
      <c r="C1000" s="2">
        <v>14</v>
      </c>
      <c r="D1000" s="4" t="str">
        <f>"7411"</f>
        <v>7411</v>
      </c>
      <c r="E1000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F1000" s="2" t="str">
        <f>""</f>
        <v/>
      </c>
      <c r="G1000" s="2" t="str">
        <f>""</f>
        <v/>
      </c>
      <c r="H1000" s="2" t="str">
        <f>""</f>
        <v/>
      </c>
      <c r="I1000" s="1">
        <v>310909.71999999997</v>
      </c>
    </row>
    <row r="1001" spans="1:9" x14ac:dyDescent="0.25">
      <c r="A1001" s="2">
        <v>1000</v>
      </c>
      <c r="B1001" s="3">
        <v>44834</v>
      </c>
      <c r="C1001" s="2">
        <v>14</v>
      </c>
      <c r="D1001" s="4" t="str">
        <f>"7416"</f>
        <v>7416</v>
      </c>
      <c r="E1001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F1001" s="2" t="str">
        <f>""</f>
        <v/>
      </c>
      <c r="G1001" s="2" t="str">
        <f>""</f>
        <v/>
      </c>
      <c r="H1001" s="2" t="str">
        <f>""</f>
        <v/>
      </c>
      <c r="I1001" s="1">
        <v>390268254.50999999</v>
      </c>
    </row>
    <row r="1002" spans="1:9" x14ac:dyDescent="0.25">
      <c r="A1002" s="2">
        <v>1001</v>
      </c>
      <c r="B1002" s="3">
        <v>44834</v>
      </c>
      <c r="C1002" s="2">
        <v>14</v>
      </c>
      <c r="D1002" s="4" t="str">
        <f>"7535"</f>
        <v>7535</v>
      </c>
      <c r="E1002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1002" s="2" t="str">
        <f>""</f>
        <v/>
      </c>
      <c r="G1002" s="2" t="str">
        <f>""</f>
        <v/>
      </c>
      <c r="H1002" s="2" t="str">
        <f>""</f>
        <v/>
      </c>
      <c r="I1002" s="1">
        <v>20410440325.830002</v>
      </c>
    </row>
    <row r="1003" spans="1:9" x14ac:dyDescent="0.25">
      <c r="A1003" s="2">
        <v>1002</v>
      </c>
      <c r="B1003" s="3">
        <v>44834</v>
      </c>
      <c r="C1003" s="2">
        <v>14</v>
      </c>
      <c r="D1003" s="4" t="str">
        <f>"7536"</f>
        <v>7536</v>
      </c>
      <c r="E1003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1003" s="2" t="str">
        <f>""</f>
        <v/>
      </c>
      <c r="G1003" s="2" t="str">
        <f>""</f>
        <v/>
      </c>
      <c r="H1003" s="2" t="str">
        <f>""</f>
        <v/>
      </c>
      <c r="I1003" s="1">
        <v>200551.11</v>
      </c>
    </row>
    <row r="1004" spans="1:9" x14ac:dyDescent="0.25">
      <c r="A1004" s="2">
        <v>1003</v>
      </c>
      <c r="B1004" s="3">
        <v>44834</v>
      </c>
      <c r="C1004" s="2">
        <v>14</v>
      </c>
      <c r="D1004" s="4" t="str">
        <f>"7543"</f>
        <v>7543</v>
      </c>
      <c r="E1004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F1004" s="2" t="str">
        <f>""</f>
        <v/>
      </c>
      <c r="G1004" s="2" t="str">
        <f>""</f>
        <v/>
      </c>
      <c r="H1004" s="2" t="str">
        <f>""</f>
        <v/>
      </c>
      <c r="I1004" s="1">
        <v>11937.5</v>
      </c>
    </row>
    <row r="1005" spans="1:9" x14ac:dyDescent="0.25">
      <c r="A1005" s="2">
        <v>1004</v>
      </c>
      <c r="B1005" s="3">
        <v>44834</v>
      </c>
      <c r="C1005" s="2">
        <v>14</v>
      </c>
      <c r="D1005" s="4" t="str">
        <f>"7701"</f>
        <v>7701</v>
      </c>
      <c r="E1005" t="str">
        <f>"Ценные бумаги"</f>
        <v>Ценные бумаги</v>
      </c>
      <c r="F1005" s="2" t="str">
        <f>""</f>
        <v/>
      </c>
      <c r="G1005" s="2" t="str">
        <f>""</f>
        <v/>
      </c>
      <c r="H1005" s="2" t="str">
        <f>""</f>
        <v/>
      </c>
      <c r="I1005" s="1">
        <v>83503601989.490005</v>
      </c>
    </row>
    <row r="1006" spans="1:9" x14ac:dyDescent="0.25">
      <c r="A1006" s="2">
        <v>1005</v>
      </c>
      <c r="B1006" s="3">
        <v>44834</v>
      </c>
      <c r="C1006" s="2">
        <v>14</v>
      </c>
      <c r="D1006" s="4" t="str">
        <f>"7704"</f>
        <v>7704</v>
      </c>
      <c r="E1006" t="str">
        <f>"Операции «обратное РЕПО»"</f>
        <v>Операции «обратное РЕПО»</v>
      </c>
      <c r="F1006" s="2" t="str">
        <f>""</f>
        <v/>
      </c>
      <c r="G1006" s="2" t="str">
        <f>""</f>
        <v/>
      </c>
      <c r="H1006" s="2" t="str">
        <f>""</f>
        <v/>
      </c>
      <c r="I1006" s="1">
        <v>255062238202.64999</v>
      </c>
    </row>
    <row r="1007" spans="1:9" x14ac:dyDescent="0.25">
      <c r="A1007" s="2">
        <v>1006</v>
      </c>
      <c r="B1007" s="3">
        <v>44834</v>
      </c>
      <c r="C1007" s="2">
        <v>14</v>
      </c>
      <c r="D1007" s="4" t="str">
        <f>"7705"</f>
        <v>7705</v>
      </c>
      <c r="E1007" t="str">
        <f>"Операции «РЕПО»"</f>
        <v>Операции «РЕПО»</v>
      </c>
      <c r="F1007" s="2" t="str">
        <f>""</f>
        <v/>
      </c>
      <c r="G1007" s="2" t="str">
        <f>""</f>
        <v/>
      </c>
      <c r="H1007" s="2" t="str">
        <f>""</f>
        <v/>
      </c>
      <c r="I1007" s="1">
        <v>2438524023.9400001</v>
      </c>
    </row>
    <row r="1008" spans="1:9" x14ac:dyDescent="0.25">
      <c r="A1008" s="2">
        <v>1007</v>
      </c>
      <c r="B1008" s="3">
        <v>44834</v>
      </c>
      <c r="C1008" s="2">
        <v>14</v>
      </c>
      <c r="D1008" s="4" t="str">
        <f>"7707"</f>
        <v>7707</v>
      </c>
      <c r="E1008" t="str">
        <f>"Инвестиции в капитал"</f>
        <v>Инвестиции в капитал</v>
      </c>
      <c r="F1008" s="2" t="str">
        <f>""</f>
        <v/>
      </c>
      <c r="G1008" s="2" t="str">
        <f>""</f>
        <v/>
      </c>
      <c r="H1008" s="2" t="str">
        <f>""</f>
        <v/>
      </c>
      <c r="I1008" s="1">
        <v>18481017959.82</v>
      </c>
    </row>
    <row r="1009" spans="1:9" x14ac:dyDescent="0.25">
      <c r="A1009" s="2">
        <v>1008</v>
      </c>
      <c r="B1009" s="3">
        <v>44834</v>
      </c>
      <c r="C1009" s="2">
        <v>14</v>
      </c>
      <c r="D1009" s="4" t="str">
        <f>"7708"</f>
        <v>7708</v>
      </c>
      <c r="E1009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1009" s="2" t="str">
        <f>""</f>
        <v/>
      </c>
      <c r="G1009" s="2" t="str">
        <f>""</f>
        <v/>
      </c>
      <c r="H1009" s="2" t="str">
        <f>""</f>
        <v/>
      </c>
      <c r="I1009" s="1">
        <v>129786484061.39</v>
      </c>
    </row>
    <row r="1010" spans="1:9" x14ac:dyDescent="0.25">
      <c r="A1010" s="2">
        <v>1009</v>
      </c>
      <c r="B1010" s="3">
        <v>44834</v>
      </c>
      <c r="C1010" s="2">
        <v>14</v>
      </c>
      <c r="D1010" s="4" t="str">
        <f>"7710"</f>
        <v>7710</v>
      </c>
      <c r="E1010" t="str">
        <f>"Дивиденды"</f>
        <v>Дивиденды</v>
      </c>
      <c r="F1010" s="2" t="str">
        <f>""</f>
        <v/>
      </c>
      <c r="G1010" s="2" t="str">
        <f>""</f>
        <v/>
      </c>
      <c r="H1010" s="2" t="str">
        <f>""</f>
        <v/>
      </c>
      <c r="I1010" s="1">
        <v>14511033.34</v>
      </c>
    </row>
    <row r="1011" spans="1:9" x14ac:dyDescent="0.25">
      <c r="A1011" s="2">
        <v>1010</v>
      </c>
      <c r="B1011" s="3">
        <v>44834</v>
      </c>
      <c r="C1011" s="2">
        <v>14</v>
      </c>
      <c r="D1011" s="4" t="str">
        <f>"7711"</f>
        <v>7711</v>
      </c>
      <c r="E1011" t="str">
        <f>"Вознаграждение"</f>
        <v>Вознаграждение</v>
      </c>
      <c r="F1011" s="2" t="str">
        <f>""</f>
        <v/>
      </c>
      <c r="G1011" s="2" t="str">
        <f>""</f>
        <v/>
      </c>
      <c r="H1011" s="2" t="str">
        <f>""</f>
        <v/>
      </c>
      <c r="I1011" s="1">
        <v>4182029203.9400001</v>
      </c>
    </row>
    <row r="1012" spans="1:9" x14ac:dyDescent="0.25">
      <c r="A1012" s="2">
        <v>1011</v>
      </c>
      <c r="B1012" s="3">
        <v>44834</v>
      </c>
      <c r="C1012" s="2">
        <v>14</v>
      </c>
      <c r="D1012" s="4" t="str">
        <f>"7712"</f>
        <v>7712</v>
      </c>
      <c r="E1012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1012" s="2" t="str">
        <f>""</f>
        <v/>
      </c>
      <c r="G1012" s="2" t="str">
        <f>""</f>
        <v/>
      </c>
      <c r="H1012" s="2" t="str">
        <f>""</f>
        <v/>
      </c>
      <c r="I1012" s="1">
        <v>449263295.25999999</v>
      </c>
    </row>
    <row r="1013" spans="1:9" x14ac:dyDescent="0.25">
      <c r="A1013" s="2">
        <v>1012</v>
      </c>
      <c r="B1013" s="3">
        <v>44834</v>
      </c>
      <c r="C1013" s="2">
        <v>14</v>
      </c>
      <c r="D1013" s="4" t="str">
        <f>"7713"</f>
        <v>7713</v>
      </c>
      <c r="E1013" t="str">
        <f>"Прочие требования"</f>
        <v>Прочие требования</v>
      </c>
      <c r="F1013" s="2" t="str">
        <f>""</f>
        <v/>
      </c>
      <c r="G1013" s="2" t="str">
        <f>""</f>
        <v/>
      </c>
      <c r="H1013" s="2" t="str">
        <f>""</f>
        <v/>
      </c>
      <c r="I1013" s="1">
        <v>13726016420.129999</v>
      </c>
    </row>
    <row r="1015" spans="1:9" ht="51" x14ac:dyDescent="0.25">
      <c r="A1015" s="8" t="s">
        <v>9</v>
      </c>
      <c r="B1015" s="8"/>
      <c r="C1015" s="9" t="s">
        <v>10</v>
      </c>
    </row>
    <row r="1016" spans="1:9" ht="41.25" customHeight="1" x14ac:dyDescent="0.25">
      <c r="A1016" s="10" t="s">
        <v>11</v>
      </c>
      <c r="B1016" s="10"/>
      <c r="C1016" s="10"/>
    </row>
    <row r="1017" spans="1:9" ht="24.75" customHeight="1" x14ac:dyDescent="0.25">
      <c r="A1017" s="10" t="s">
        <v>12</v>
      </c>
      <c r="B1017" s="10"/>
      <c r="C1017" s="10"/>
    </row>
    <row r="1018" spans="1:9" x14ac:dyDescent="0.25">
      <c r="A1018" s="11"/>
      <c r="B1018" s="12"/>
      <c r="C1018" s="13"/>
    </row>
    <row r="1019" spans="1:9" ht="30" customHeight="1" x14ac:dyDescent="0.25">
      <c r="A1019" s="10" t="s">
        <v>13</v>
      </c>
      <c r="B1019" s="10"/>
      <c r="C1019" s="10"/>
    </row>
    <row r="1020" spans="1:9" ht="24" customHeight="1" x14ac:dyDescent="0.25">
      <c r="A1020" s="10" t="s">
        <v>14</v>
      </c>
      <c r="B1020" s="10"/>
      <c r="C1020" s="10"/>
    </row>
    <row r="1021" spans="1:9" x14ac:dyDescent="0.25">
      <c r="A1021" s="11"/>
      <c r="B1021" s="12"/>
      <c r="C1021" s="13"/>
    </row>
    <row r="1022" spans="1:9" ht="21" customHeight="1" x14ac:dyDescent="0.25">
      <c r="A1022" s="10" t="s">
        <v>15</v>
      </c>
      <c r="B1022" s="10"/>
      <c r="C1022" s="10"/>
    </row>
    <row r="1023" spans="1:9" ht="27.75" customHeight="1" x14ac:dyDescent="0.25">
      <c r="A1023" s="10" t="s">
        <v>16</v>
      </c>
      <c r="B1023" s="10"/>
      <c r="C1023" s="10"/>
    </row>
    <row r="1024" spans="1:9" x14ac:dyDescent="0.25">
      <c r="A1024" s="11"/>
      <c r="B1024" s="12"/>
      <c r="C1024" s="13"/>
    </row>
    <row r="1025" spans="1:3" x14ac:dyDescent="0.25">
      <c r="A1025" s="10" t="s">
        <v>17</v>
      </c>
      <c r="B1025" s="10"/>
      <c r="C1025" s="10"/>
    </row>
    <row r="1026" spans="1:3" x14ac:dyDescent="0.25">
      <c r="A1026" s="10" t="s">
        <v>18</v>
      </c>
      <c r="B1026" s="10"/>
      <c r="C1026" s="10"/>
    </row>
  </sheetData>
  <autoFilter ref="A1:N1013"/>
  <sortState ref="A2:I1013">
    <sortCondition ref="D1"/>
  </sortState>
  <mergeCells count="9">
    <mergeCell ref="A1023:C1023"/>
    <mergeCell ref="A1025:C1025"/>
    <mergeCell ref="A1026:C1026"/>
    <mergeCell ref="A1015:B1015"/>
    <mergeCell ref="A1016:C1016"/>
    <mergeCell ref="A1017:C1017"/>
    <mergeCell ref="A1019:C1019"/>
    <mergeCell ref="A1020:C1020"/>
    <mergeCell ref="A1022:C10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Сафина Марина</dc:creator>
  <cp:lastModifiedBy>Рудерман Алина</cp:lastModifiedBy>
  <dcterms:created xsi:type="dcterms:W3CDTF">2022-10-06T13:38:11Z</dcterms:created>
  <dcterms:modified xsi:type="dcterms:W3CDTF">2022-10-14T04:19:10Z</dcterms:modified>
</cp:coreProperties>
</file>