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28008\Desktop\Kamila\Отчеты\Пруд.нормативы\2021\12\источник\"/>
    </mc:Choice>
  </mc:AlternateContent>
  <bookViews>
    <workbookView xWindow="0" yWindow="0" windowWidth="28800" windowHeight="11700"/>
  </bookViews>
  <sheets>
    <sheet name="VREP_700_ND_RESPONDENTundefined" sheetId="1" r:id="rId1"/>
  </sheets>
  <calcPr calcId="162913"/>
</workbook>
</file>

<file path=xl/calcChain.xml><?xml version="1.0" encoding="utf-8"?>
<calcChain xmlns="http://schemas.openxmlformats.org/spreadsheetml/2006/main">
  <c r="D974" i="1" l="1"/>
  <c r="E974" i="1"/>
  <c r="F974" i="1"/>
  <c r="G974" i="1"/>
  <c r="H974" i="1"/>
  <c r="J449" i="1" l="1"/>
  <c r="D252" i="1" l="1"/>
  <c r="E252" i="1"/>
  <c r="F252" i="1"/>
  <c r="G252" i="1"/>
  <c r="H252" i="1"/>
  <c r="D299" i="1"/>
  <c r="E299" i="1"/>
  <c r="F299" i="1"/>
  <c r="G299" i="1"/>
  <c r="H299" i="1"/>
  <c r="D331" i="1"/>
  <c r="E331" i="1"/>
  <c r="F331" i="1"/>
  <c r="G331" i="1"/>
  <c r="H331" i="1"/>
  <c r="D377" i="1"/>
  <c r="E377" i="1"/>
  <c r="F377" i="1"/>
  <c r="G377" i="1"/>
  <c r="H377" i="1"/>
  <c r="D107" i="1"/>
  <c r="E107" i="1"/>
  <c r="F107" i="1"/>
  <c r="G107" i="1"/>
  <c r="H107" i="1"/>
  <c r="D229" i="1"/>
  <c r="E229" i="1"/>
  <c r="F229" i="1"/>
  <c r="G229" i="1"/>
  <c r="H229" i="1"/>
  <c r="D177" i="1"/>
  <c r="E177" i="1"/>
  <c r="F177" i="1"/>
  <c r="G177" i="1"/>
  <c r="H177" i="1"/>
  <c r="D222" i="1"/>
  <c r="E222" i="1"/>
  <c r="F222" i="1"/>
  <c r="G222" i="1"/>
  <c r="H222" i="1"/>
  <c r="D571" i="1"/>
  <c r="E571" i="1"/>
  <c r="F571" i="1"/>
  <c r="G571" i="1"/>
  <c r="H571" i="1"/>
  <c r="D869" i="1"/>
  <c r="E869" i="1"/>
  <c r="F869" i="1"/>
  <c r="G869" i="1"/>
  <c r="H869" i="1"/>
  <c r="D879" i="1"/>
  <c r="E879" i="1"/>
  <c r="F879" i="1"/>
  <c r="G879" i="1"/>
  <c r="H879" i="1"/>
  <c r="D192" i="1"/>
  <c r="E192" i="1"/>
  <c r="F192" i="1"/>
  <c r="G192" i="1"/>
  <c r="H192" i="1"/>
  <c r="D854" i="1"/>
  <c r="E854" i="1"/>
  <c r="F854" i="1"/>
  <c r="G854" i="1"/>
  <c r="H854" i="1"/>
  <c r="D861" i="1"/>
  <c r="E861" i="1"/>
  <c r="F861" i="1"/>
  <c r="G861" i="1"/>
  <c r="H861" i="1"/>
  <c r="D529" i="1"/>
  <c r="E529" i="1"/>
  <c r="F529" i="1"/>
  <c r="G529" i="1"/>
  <c r="H529" i="1"/>
  <c r="D563" i="1"/>
  <c r="E563" i="1"/>
  <c r="F563" i="1"/>
  <c r="G563" i="1"/>
  <c r="H563" i="1"/>
  <c r="D137" i="1"/>
  <c r="E137" i="1"/>
  <c r="F137" i="1"/>
  <c r="G137" i="1"/>
  <c r="H137" i="1"/>
  <c r="D138" i="1"/>
  <c r="E138" i="1"/>
  <c r="F138" i="1"/>
  <c r="G138" i="1"/>
  <c r="H138" i="1"/>
  <c r="D66" i="1"/>
  <c r="E66" i="1"/>
  <c r="F66" i="1"/>
  <c r="G66" i="1"/>
  <c r="H66" i="1"/>
  <c r="D98" i="1"/>
  <c r="E98" i="1"/>
  <c r="F98" i="1"/>
  <c r="G98" i="1"/>
  <c r="H98" i="1"/>
  <c r="D740" i="1"/>
  <c r="E740" i="1"/>
  <c r="F740" i="1"/>
  <c r="G740" i="1"/>
  <c r="H740" i="1"/>
  <c r="D786" i="1"/>
  <c r="E786" i="1"/>
  <c r="F786" i="1"/>
  <c r="G786" i="1"/>
  <c r="H786" i="1"/>
  <c r="D912" i="1"/>
  <c r="E912" i="1"/>
  <c r="F912" i="1"/>
  <c r="G912" i="1"/>
  <c r="H912" i="1"/>
  <c r="D948" i="1"/>
  <c r="E948" i="1"/>
  <c r="F948" i="1"/>
  <c r="G948" i="1"/>
  <c r="H948" i="1"/>
  <c r="D910" i="1"/>
  <c r="E910" i="1"/>
  <c r="F910" i="1"/>
  <c r="G910" i="1"/>
  <c r="H910" i="1"/>
  <c r="D741" i="1"/>
  <c r="E741" i="1"/>
  <c r="F741" i="1"/>
  <c r="G741" i="1"/>
  <c r="H741" i="1"/>
  <c r="D766" i="1"/>
  <c r="E766" i="1"/>
  <c r="F766" i="1"/>
  <c r="G766" i="1"/>
  <c r="H766" i="1"/>
  <c r="D718" i="1"/>
  <c r="E718" i="1"/>
  <c r="F718" i="1"/>
  <c r="G718" i="1"/>
  <c r="H718" i="1"/>
  <c r="D535" i="1"/>
  <c r="E535" i="1"/>
  <c r="F535" i="1"/>
  <c r="G535" i="1"/>
  <c r="H535" i="1"/>
  <c r="D584" i="1"/>
  <c r="E584" i="1"/>
  <c r="F584" i="1"/>
  <c r="G584" i="1"/>
  <c r="H584" i="1"/>
  <c r="D612" i="1"/>
  <c r="E612" i="1"/>
  <c r="F612" i="1"/>
  <c r="G612" i="1"/>
  <c r="H612" i="1"/>
  <c r="D708" i="1"/>
  <c r="E708" i="1"/>
  <c r="F708" i="1"/>
  <c r="G708" i="1"/>
  <c r="H708" i="1"/>
  <c r="D689" i="1"/>
  <c r="E689" i="1"/>
  <c r="F689" i="1"/>
  <c r="G689" i="1"/>
  <c r="H689" i="1"/>
  <c r="D719" i="1"/>
  <c r="E719" i="1"/>
  <c r="F719" i="1"/>
  <c r="G719" i="1"/>
  <c r="H719" i="1"/>
  <c r="D755" i="1"/>
  <c r="E755" i="1"/>
  <c r="F755" i="1"/>
  <c r="G755" i="1"/>
  <c r="H755" i="1"/>
  <c r="D5" i="1"/>
  <c r="E5" i="1"/>
  <c r="F5" i="1"/>
  <c r="G5" i="1"/>
  <c r="H5" i="1"/>
  <c r="D791" i="1"/>
  <c r="E791" i="1"/>
  <c r="F791" i="1"/>
  <c r="G791" i="1"/>
  <c r="H791" i="1"/>
  <c r="D824" i="1"/>
  <c r="E824" i="1"/>
  <c r="F824" i="1"/>
  <c r="G824" i="1"/>
  <c r="H824" i="1"/>
  <c r="D353" i="1"/>
  <c r="E353" i="1"/>
  <c r="F353" i="1"/>
  <c r="G353" i="1"/>
  <c r="H353" i="1"/>
  <c r="D395" i="1"/>
  <c r="E395" i="1"/>
  <c r="F395" i="1"/>
  <c r="G395" i="1"/>
  <c r="H395" i="1"/>
  <c r="D349" i="1"/>
  <c r="E349" i="1"/>
  <c r="F349" i="1"/>
  <c r="G349" i="1"/>
  <c r="H349" i="1"/>
  <c r="D361" i="1"/>
  <c r="E361" i="1"/>
  <c r="F361" i="1"/>
  <c r="G361" i="1"/>
  <c r="H361" i="1"/>
  <c r="D371" i="1"/>
  <c r="E371" i="1"/>
  <c r="F371" i="1"/>
  <c r="G371" i="1"/>
  <c r="H371" i="1"/>
  <c r="D378" i="1"/>
  <c r="E378" i="1"/>
  <c r="F378" i="1"/>
  <c r="G378" i="1"/>
  <c r="H378" i="1"/>
  <c r="D72" i="1"/>
  <c r="E72" i="1"/>
  <c r="F72" i="1"/>
  <c r="G72" i="1"/>
  <c r="H72" i="1"/>
  <c r="D10" i="1"/>
  <c r="E10" i="1"/>
  <c r="F10" i="1"/>
  <c r="G10" i="1"/>
  <c r="H10" i="1"/>
  <c r="D12" i="1"/>
  <c r="E12" i="1"/>
  <c r="F12" i="1"/>
  <c r="G12" i="1"/>
  <c r="H12" i="1"/>
  <c r="D108" i="1"/>
  <c r="E108" i="1"/>
  <c r="F108" i="1"/>
  <c r="G108" i="1"/>
  <c r="H108" i="1"/>
  <c r="D178" i="1"/>
  <c r="E178" i="1"/>
  <c r="F178" i="1"/>
  <c r="G178" i="1"/>
  <c r="H178" i="1"/>
  <c r="D239" i="1"/>
  <c r="E239" i="1"/>
  <c r="F239" i="1"/>
  <c r="G239" i="1"/>
  <c r="H239" i="1"/>
  <c r="D273" i="1"/>
  <c r="E273" i="1"/>
  <c r="F273" i="1"/>
  <c r="G273" i="1"/>
  <c r="H273" i="1"/>
  <c r="D13" i="1"/>
  <c r="E13" i="1"/>
  <c r="F13" i="1"/>
  <c r="G13" i="1"/>
  <c r="H13" i="1"/>
  <c r="D99" i="1"/>
  <c r="E99" i="1"/>
  <c r="F99" i="1"/>
  <c r="G99" i="1"/>
  <c r="H99" i="1"/>
  <c r="D109" i="1"/>
  <c r="E109" i="1"/>
  <c r="F109" i="1"/>
  <c r="G109" i="1"/>
  <c r="H109" i="1"/>
  <c r="D123" i="1"/>
  <c r="E123" i="1"/>
  <c r="F123" i="1"/>
  <c r="G123" i="1"/>
  <c r="H123" i="1"/>
  <c r="D157" i="1"/>
  <c r="E157" i="1"/>
  <c r="F157" i="1"/>
  <c r="G157" i="1"/>
  <c r="H157" i="1"/>
  <c r="D623" i="1"/>
  <c r="E623" i="1"/>
  <c r="F623" i="1"/>
  <c r="G623" i="1"/>
  <c r="H623" i="1"/>
  <c r="D634" i="1"/>
  <c r="E634" i="1"/>
  <c r="F634" i="1"/>
  <c r="G634" i="1"/>
  <c r="H634" i="1"/>
  <c r="D651" i="1"/>
  <c r="E651" i="1"/>
  <c r="F651" i="1"/>
  <c r="G651" i="1"/>
  <c r="H651" i="1"/>
  <c r="D668" i="1"/>
  <c r="E668" i="1"/>
  <c r="F668" i="1"/>
  <c r="G668" i="1"/>
  <c r="H668" i="1"/>
  <c r="D274" i="1"/>
  <c r="E274" i="1"/>
  <c r="F274" i="1"/>
  <c r="G274" i="1"/>
  <c r="H274" i="1"/>
  <c r="D320" i="1"/>
  <c r="E320" i="1"/>
  <c r="F320" i="1"/>
  <c r="G320" i="1"/>
  <c r="H320" i="1"/>
  <c r="D249" i="1"/>
  <c r="E249" i="1"/>
  <c r="F249" i="1"/>
  <c r="G249" i="1"/>
  <c r="H249" i="1"/>
  <c r="D363" i="1"/>
  <c r="E363" i="1"/>
  <c r="F363" i="1"/>
  <c r="G363" i="1"/>
  <c r="H363" i="1"/>
  <c r="D73" i="1"/>
  <c r="E73" i="1"/>
  <c r="F73" i="1"/>
  <c r="G73" i="1"/>
  <c r="H73" i="1"/>
  <c r="D110" i="1"/>
  <c r="E110" i="1"/>
  <c r="F110" i="1"/>
  <c r="G110" i="1"/>
  <c r="H110" i="1"/>
  <c r="D167" i="1"/>
  <c r="E167" i="1"/>
  <c r="F167" i="1"/>
  <c r="G167" i="1"/>
  <c r="H167" i="1"/>
  <c r="D60" i="1"/>
  <c r="E60" i="1"/>
  <c r="F60" i="1"/>
  <c r="G60" i="1"/>
  <c r="H60" i="1"/>
  <c r="D742" i="1"/>
  <c r="E742" i="1"/>
  <c r="F742" i="1"/>
  <c r="G742" i="1"/>
  <c r="H742" i="1"/>
  <c r="D797" i="1"/>
  <c r="E797" i="1"/>
  <c r="F797" i="1"/>
  <c r="G797" i="1"/>
  <c r="H797" i="1"/>
  <c r="D913" i="1"/>
  <c r="E913" i="1"/>
  <c r="F913" i="1"/>
  <c r="G913" i="1"/>
  <c r="H913" i="1"/>
  <c r="D919" i="1"/>
  <c r="E919" i="1"/>
  <c r="F919" i="1"/>
  <c r="G919" i="1"/>
  <c r="H919" i="1"/>
  <c r="D736" i="1"/>
  <c r="E736" i="1"/>
  <c r="F736" i="1"/>
  <c r="G736" i="1"/>
  <c r="H736" i="1"/>
  <c r="D769" i="1"/>
  <c r="E769" i="1"/>
  <c r="F769" i="1"/>
  <c r="G769" i="1"/>
  <c r="H769" i="1"/>
  <c r="D53" i="1"/>
  <c r="E53" i="1"/>
  <c r="F53" i="1"/>
  <c r="G53" i="1"/>
  <c r="H53" i="1"/>
  <c r="D83" i="1"/>
  <c r="E83" i="1"/>
  <c r="F83" i="1"/>
  <c r="G83" i="1"/>
  <c r="H83" i="1"/>
  <c r="D770" i="1"/>
  <c r="E770" i="1"/>
  <c r="F770" i="1"/>
  <c r="G770" i="1"/>
  <c r="H770" i="1"/>
  <c r="D781" i="1"/>
  <c r="E781" i="1"/>
  <c r="F781" i="1"/>
  <c r="G781" i="1"/>
  <c r="H781" i="1"/>
  <c r="D792" i="1"/>
  <c r="E792" i="1"/>
  <c r="F792" i="1"/>
  <c r="G792" i="1"/>
  <c r="H792" i="1"/>
  <c r="D804" i="1"/>
  <c r="E804" i="1"/>
  <c r="F804" i="1"/>
  <c r="G804" i="1"/>
  <c r="H804" i="1"/>
  <c r="D399" i="1"/>
  <c r="E399" i="1"/>
  <c r="F399" i="1"/>
  <c r="G399" i="1"/>
  <c r="H399" i="1"/>
  <c r="D476" i="1"/>
  <c r="E476" i="1"/>
  <c r="F476" i="1"/>
  <c r="G476" i="1"/>
  <c r="H476" i="1"/>
  <c r="D985" i="1"/>
  <c r="E985" i="1"/>
  <c r="F985" i="1"/>
  <c r="G985" i="1"/>
  <c r="H985" i="1"/>
  <c r="D262" i="1"/>
  <c r="E262" i="1"/>
  <c r="F262" i="1"/>
  <c r="G262" i="1"/>
  <c r="H262" i="1"/>
  <c r="D1015" i="1"/>
  <c r="E1015" i="1"/>
  <c r="F1015" i="1"/>
  <c r="G1015" i="1"/>
  <c r="H1015" i="1"/>
  <c r="D295" i="1"/>
  <c r="E295" i="1"/>
  <c r="F295" i="1"/>
  <c r="G295" i="1"/>
  <c r="H295" i="1"/>
  <c r="D370" i="1"/>
  <c r="E370" i="1"/>
  <c r="F370" i="1"/>
  <c r="G370" i="1"/>
  <c r="H370" i="1"/>
  <c r="D323" i="1"/>
  <c r="E323" i="1"/>
  <c r="F323" i="1"/>
  <c r="G323" i="1"/>
  <c r="H323" i="1"/>
  <c r="D253" i="1"/>
  <c r="E253" i="1"/>
  <c r="F253" i="1"/>
  <c r="G253" i="1"/>
  <c r="H253" i="1"/>
  <c r="D477" i="1"/>
  <c r="E477" i="1"/>
  <c r="F477" i="1"/>
  <c r="G477" i="1"/>
  <c r="H477" i="1"/>
  <c r="D275" i="1"/>
  <c r="E275" i="1"/>
  <c r="F275" i="1"/>
  <c r="G275" i="1"/>
  <c r="H275" i="1"/>
  <c r="D400" i="1"/>
  <c r="E400" i="1"/>
  <c r="F400" i="1"/>
  <c r="G400" i="1"/>
  <c r="H400" i="1"/>
  <c r="D324" i="1"/>
  <c r="E324" i="1"/>
  <c r="F324" i="1"/>
  <c r="G324" i="1"/>
  <c r="H324" i="1"/>
  <c r="D419" i="1"/>
  <c r="E419" i="1"/>
  <c r="F419" i="1"/>
  <c r="G419" i="1"/>
  <c r="H419" i="1"/>
  <c r="D364" i="1"/>
  <c r="E364" i="1"/>
  <c r="F364" i="1"/>
  <c r="G364" i="1"/>
  <c r="H364" i="1"/>
  <c r="D461" i="1"/>
  <c r="E461" i="1"/>
  <c r="F461" i="1"/>
  <c r="G461" i="1"/>
  <c r="H461" i="1"/>
  <c r="D245" i="1"/>
  <c r="E245" i="1"/>
  <c r="F245" i="1"/>
  <c r="G245" i="1"/>
  <c r="H245" i="1"/>
  <c r="D355" i="1"/>
  <c r="E355" i="1"/>
  <c r="F355" i="1"/>
  <c r="G355" i="1"/>
  <c r="H355" i="1"/>
  <c r="D276" i="1"/>
  <c r="E276" i="1"/>
  <c r="F276" i="1"/>
  <c r="G276" i="1"/>
  <c r="H276" i="1"/>
  <c r="D379" i="1"/>
  <c r="E379" i="1"/>
  <c r="F379" i="1"/>
  <c r="G379" i="1"/>
  <c r="H379" i="1"/>
  <c r="D978" i="1"/>
  <c r="E978" i="1"/>
  <c r="F978" i="1"/>
  <c r="G978" i="1"/>
  <c r="H978" i="1"/>
  <c r="D478" i="1"/>
  <c r="E478" i="1"/>
  <c r="F478" i="1"/>
  <c r="G478" i="1"/>
  <c r="H478" i="1"/>
  <c r="D997" i="1"/>
  <c r="E997" i="1"/>
  <c r="F997" i="1"/>
  <c r="G997" i="1"/>
  <c r="H997" i="1"/>
  <c r="D532" i="1"/>
  <c r="E532" i="1"/>
  <c r="F532" i="1"/>
  <c r="G532" i="1"/>
  <c r="H532" i="1"/>
  <c r="D354" i="1"/>
  <c r="E354" i="1"/>
  <c r="F354" i="1"/>
  <c r="G354" i="1"/>
  <c r="H354" i="1"/>
  <c r="D601" i="1"/>
  <c r="E601" i="1"/>
  <c r="F601" i="1"/>
  <c r="G601" i="1"/>
  <c r="H601" i="1"/>
  <c r="D380" i="1"/>
  <c r="E380" i="1"/>
  <c r="F380" i="1"/>
  <c r="G380" i="1"/>
  <c r="H380" i="1"/>
  <c r="D624" i="1"/>
  <c r="E624" i="1"/>
  <c r="F624" i="1"/>
  <c r="G624" i="1"/>
  <c r="H624" i="1"/>
  <c r="D415" i="1"/>
  <c r="E415" i="1"/>
  <c r="F415" i="1"/>
  <c r="G415" i="1"/>
  <c r="H415" i="1"/>
  <c r="D676" i="1"/>
  <c r="E676" i="1"/>
  <c r="F676" i="1"/>
  <c r="G676" i="1"/>
  <c r="H676" i="1"/>
  <c r="D455" i="1"/>
  <c r="E455" i="1"/>
  <c r="F455" i="1"/>
  <c r="G455" i="1"/>
  <c r="H455" i="1"/>
  <c r="D704" i="1"/>
  <c r="E704" i="1"/>
  <c r="F704" i="1"/>
  <c r="G704" i="1"/>
  <c r="H704" i="1"/>
  <c r="D939" i="1"/>
  <c r="E939" i="1"/>
  <c r="F939" i="1"/>
  <c r="G939" i="1"/>
  <c r="H939" i="1"/>
  <c r="D179" i="1"/>
  <c r="E179" i="1"/>
  <c r="F179" i="1"/>
  <c r="G179" i="1"/>
  <c r="H179" i="1"/>
  <c r="D767" i="1"/>
  <c r="E767" i="1"/>
  <c r="F767" i="1"/>
  <c r="G767" i="1"/>
  <c r="H767" i="1"/>
  <c r="D241" i="1"/>
  <c r="E241" i="1"/>
  <c r="F241" i="1"/>
  <c r="G241" i="1"/>
  <c r="H241" i="1"/>
  <c r="D768" i="1"/>
  <c r="E768" i="1"/>
  <c r="F768" i="1"/>
  <c r="G768" i="1"/>
  <c r="H768" i="1"/>
  <c r="D277" i="1"/>
  <c r="E277" i="1"/>
  <c r="F277" i="1"/>
  <c r="G277" i="1"/>
  <c r="H277" i="1"/>
  <c r="D846" i="1"/>
  <c r="E846" i="1"/>
  <c r="F846" i="1"/>
  <c r="G846" i="1"/>
  <c r="H846" i="1"/>
  <c r="D873" i="1"/>
  <c r="E873" i="1"/>
  <c r="F873" i="1"/>
  <c r="G873" i="1"/>
  <c r="H873" i="1"/>
  <c r="D420" i="1"/>
  <c r="E420" i="1"/>
  <c r="F420" i="1"/>
  <c r="G420" i="1"/>
  <c r="H420" i="1"/>
  <c r="D462" i="1"/>
  <c r="E462" i="1"/>
  <c r="F462" i="1"/>
  <c r="G462" i="1"/>
  <c r="H462" i="1"/>
  <c r="D246" i="1"/>
  <c r="E246" i="1"/>
  <c r="F246" i="1"/>
  <c r="G246" i="1"/>
  <c r="H246" i="1"/>
  <c r="D959" i="1"/>
  <c r="E959" i="1"/>
  <c r="F959" i="1"/>
  <c r="G959" i="1"/>
  <c r="H959" i="1"/>
  <c r="D928" i="1"/>
  <c r="E928" i="1"/>
  <c r="F928" i="1"/>
  <c r="G928" i="1"/>
  <c r="H928" i="1"/>
  <c r="D193" i="1"/>
  <c r="E193" i="1"/>
  <c r="F193" i="1"/>
  <c r="G193" i="1"/>
  <c r="H193" i="1"/>
  <c r="D635" i="1"/>
  <c r="E635" i="1"/>
  <c r="F635" i="1"/>
  <c r="G635" i="1"/>
  <c r="H635" i="1"/>
  <c r="D669" i="1"/>
  <c r="E669" i="1"/>
  <c r="F669" i="1"/>
  <c r="G669" i="1"/>
  <c r="H669" i="1"/>
  <c r="D697" i="1"/>
  <c r="E697" i="1"/>
  <c r="F697" i="1"/>
  <c r="G697" i="1"/>
  <c r="H697" i="1"/>
  <c r="D720" i="1"/>
  <c r="E720" i="1"/>
  <c r="F720" i="1"/>
  <c r="G720" i="1"/>
  <c r="H720" i="1"/>
  <c r="D756" i="1"/>
  <c r="E756" i="1"/>
  <c r="F756" i="1"/>
  <c r="G756" i="1"/>
  <c r="H756" i="1"/>
  <c r="D908" i="1"/>
  <c r="E908" i="1"/>
  <c r="F908" i="1"/>
  <c r="G908" i="1"/>
  <c r="H908" i="1"/>
  <c r="D922" i="1"/>
  <c r="E922" i="1"/>
  <c r="F922" i="1"/>
  <c r="G922" i="1"/>
  <c r="H922" i="1"/>
  <c r="D969" i="1"/>
  <c r="E969" i="1"/>
  <c r="F969" i="1"/>
  <c r="G969" i="1"/>
  <c r="H969" i="1"/>
  <c r="D992" i="1"/>
  <c r="E992" i="1"/>
  <c r="F992" i="1"/>
  <c r="G992" i="1"/>
  <c r="H992" i="1"/>
  <c r="D862" i="1"/>
  <c r="E862" i="1"/>
  <c r="F862" i="1"/>
  <c r="G862" i="1"/>
  <c r="H862" i="1"/>
  <c r="D866" i="1"/>
  <c r="E866" i="1"/>
  <c r="F866" i="1"/>
  <c r="G866" i="1"/>
  <c r="H866" i="1"/>
  <c r="D61" i="1"/>
  <c r="E61" i="1"/>
  <c r="F61" i="1"/>
  <c r="G61" i="1"/>
  <c r="H61" i="1"/>
  <c r="D67" i="1"/>
  <c r="E67" i="1"/>
  <c r="F67" i="1"/>
  <c r="G67" i="1"/>
  <c r="H67" i="1"/>
  <c r="D771" i="1"/>
  <c r="E771" i="1"/>
  <c r="F771" i="1"/>
  <c r="G771" i="1"/>
  <c r="H771" i="1"/>
  <c r="D300" i="1"/>
  <c r="E300" i="1"/>
  <c r="F300" i="1"/>
  <c r="G300" i="1"/>
  <c r="H300" i="1"/>
  <c r="D74" i="1"/>
  <c r="E74" i="1"/>
  <c r="F74" i="1"/>
  <c r="G74" i="1"/>
  <c r="H74" i="1"/>
  <c r="D75" i="1"/>
  <c r="E75" i="1"/>
  <c r="F75" i="1"/>
  <c r="G75" i="1"/>
  <c r="H75" i="1"/>
  <c r="D14" i="1"/>
  <c r="E14" i="1"/>
  <c r="F14" i="1"/>
  <c r="G14" i="1"/>
  <c r="H14" i="1"/>
  <c r="D328" i="1"/>
  <c r="E328" i="1"/>
  <c r="F328" i="1"/>
  <c r="G328" i="1"/>
  <c r="H328" i="1"/>
  <c r="D743" i="1"/>
  <c r="E743" i="1"/>
  <c r="F743" i="1"/>
  <c r="G743" i="1"/>
  <c r="H743" i="1"/>
  <c r="D68" i="1"/>
  <c r="E68" i="1"/>
  <c r="F68" i="1"/>
  <c r="G68" i="1"/>
  <c r="H68" i="1"/>
  <c r="D365" i="1"/>
  <c r="E365" i="1"/>
  <c r="F365" i="1"/>
  <c r="G365" i="1"/>
  <c r="H365" i="1"/>
  <c r="D793" i="1"/>
  <c r="E793" i="1"/>
  <c r="F793" i="1"/>
  <c r="G793" i="1"/>
  <c r="H793" i="1"/>
  <c r="D111" i="1"/>
  <c r="E111" i="1"/>
  <c r="F111" i="1"/>
  <c r="G111" i="1"/>
  <c r="H111" i="1"/>
  <c r="D421" i="1"/>
  <c r="E421" i="1"/>
  <c r="F421" i="1"/>
  <c r="G421" i="1"/>
  <c r="H421" i="1"/>
  <c r="D899" i="1"/>
  <c r="E899" i="1"/>
  <c r="F899" i="1"/>
  <c r="G899" i="1"/>
  <c r="H899" i="1"/>
  <c r="D180" i="1"/>
  <c r="E180" i="1"/>
  <c r="F180" i="1"/>
  <c r="G180" i="1"/>
  <c r="H180" i="1"/>
  <c r="D456" i="1"/>
  <c r="E456" i="1"/>
  <c r="F456" i="1"/>
  <c r="G456" i="1"/>
  <c r="H456" i="1"/>
  <c r="D920" i="1"/>
  <c r="E920" i="1"/>
  <c r="F920" i="1"/>
  <c r="G920" i="1"/>
  <c r="H920" i="1"/>
  <c r="D772" i="1"/>
  <c r="E772" i="1"/>
  <c r="F772" i="1"/>
  <c r="G772" i="1"/>
  <c r="H772" i="1"/>
  <c r="D923" i="1"/>
  <c r="E923" i="1"/>
  <c r="F923" i="1"/>
  <c r="G923" i="1"/>
  <c r="H923" i="1"/>
  <c r="D636" i="1"/>
  <c r="E636" i="1"/>
  <c r="F636" i="1"/>
  <c r="G636" i="1"/>
  <c r="H636" i="1"/>
  <c r="D810" i="1"/>
  <c r="E810" i="1"/>
  <c r="F810" i="1"/>
  <c r="G810" i="1"/>
  <c r="H810" i="1"/>
  <c r="D956" i="1"/>
  <c r="E956" i="1"/>
  <c r="F956" i="1"/>
  <c r="G956" i="1"/>
  <c r="H956" i="1"/>
  <c r="D665" i="1"/>
  <c r="E665" i="1"/>
  <c r="F665" i="1"/>
  <c r="G665" i="1"/>
  <c r="H665" i="1"/>
  <c r="D932" i="1"/>
  <c r="E932" i="1"/>
  <c r="F932" i="1"/>
  <c r="G932" i="1"/>
  <c r="H932" i="1"/>
  <c r="D599" i="1"/>
  <c r="E599" i="1"/>
  <c r="F599" i="1"/>
  <c r="G599" i="1"/>
  <c r="H599" i="1"/>
  <c r="D690" i="1"/>
  <c r="E690" i="1"/>
  <c r="F690" i="1"/>
  <c r="G690" i="1"/>
  <c r="H690" i="1"/>
  <c r="D960" i="1"/>
  <c r="E960" i="1"/>
  <c r="F960" i="1"/>
  <c r="G960" i="1"/>
  <c r="H960" i="1"/>
  <c r="D625" i="1"/>
  <c r="E625" i="1"/>
  <c r="F625" i="1"/>
  <c r="G625" i="1"/>
  <c r="H625" i="1"/>
  <c r="D721" i="1"/>
  <c r="E721" i="1"/>
  <c r="F721" i="1"/>
  <c r="G721" i="1"/>
  <c r="H721" i="1"/>
  <c r="D983" i="1"/>
  <c r="E983" i="1"/>
  <c r="F983" i="1"/>
  <c r="G983" i="1"/>
  <c r="H983" i="1"/>
  <c r="D112" i="1"/>
  <c r="E112" i="1"/>
  <c r="F112" i="1"/>
  <c r="G112" i="1"/>
  <c r="H112" i="1"/>
  <c r="D100" i="1"/>
  <c r="E100" i="1"/>
  <c r="F100" i="1"/>
  <c r="G100" i="1"/>
  <c r="H100" i="1"/>
  <c r="D1010" i="1"/>
  <c r="E1010" i="1"/>
  <c r="F1010" i="1"/>
  <c r="G1010" i="1"/>
  <c r="H1010" i="1"/>
  <c r="D194" i="1"/>
  <c r="E194" i="1"/>
  <c r="F194" i="1"/>
  <c r="G194" i="1"/>
  <c r="H194" i="1"/>
  <c r="D124" i="1"/>
  <c r="E124" i="1"/>
  <c r="F124" i="1"/>
  <c r="G124" i="1"/>
  <c r="H124" i="1"/>
  <c r="D952" i="1"/>
  <c r="E952" i="1"/>
  <c r="F952" i="1"/>
  <c r="G952" i="1"/>
  <c r="H952" i="1"/>
  <c r="D235" i="1"/>
  <c r="E235" i="1"/>
  <c r="F235" i="1"/>
  <c r="G235" i="1"/>
  <c r="H235" i="1"/>
  <c r="D139" i="1"/>
  <c r="E139" i="1"/>
  <c r="F139" i="1"/>
  <c r="G139" i="1"/>
  <c r="H139" i="1"/>
  <c r="D970" i="1"/>
  <c r="E970" i="1"/>
  <c r="F970" i="1"/>
  <c r="G970" i="1"/>
  <c r="H970" i="1"/>
  <c r="D278" i="1"/>
  <c r="E278" i="1"/>
  <c r="F278" i="1"/>
  <c r="G278" i="1"/>
  <c r="H278" i="1"/>
  <c r="D259" i="1"/>
  <c r="E259" i="1"/>
  <c r="F259" i="1"/>
  <c r="G259" i="1"/>
  <c r="H259" i="1"/>
  <c r="D554" i="1"/>
  <c r="E554" i="1"/>
  <c r="F554" i="1"/>
  <c r="G554" i="1"/>
  <c r="H554" i="1"/>
  <c r="D637" i="1"/>
  <c r="E637" i="1"/>
  <c r="F637" i="1"/>
  <c r="G637" i="1"/>
  <c r="H637" i="1"/>
  <c r="D181" i="1"/>
  <c r="E181" i="1"/>
  <c r="F181" i="1"/>
  <c r="G181" i="1"/>
  <c r="H181" i="1"/>
  <c r="D995" i="1"/>
  <c r="E995" i="1"/>
  <c r="F995" i="1"/>
  <c r="G995" i="1"/>
  <c r="H995" i="1"/>
  <c r="D659" i="1"/>
  <c r="E659" i="1"/>
  <c r="F659" i="1"/>
  <c r="G659" i="1"/>
  <c r="H659" i="1"/>
  <c r="D215" i="1"/>
  <c r="E215" i="1"/>
  <c r="F215" i="1"/>
  <c r="G215" i="1"/>
  <c r="H215" i="1"/>
  <c r="D84" i="1"/>
  <c r="E84" i="1"/>
  <c r="F84" i="1"/>
  <c r="G84" i="1"/>
  <c r="H84" i="1"/>
  <c r="D847" i="1"/>
  <c r="E847" i="1"/>
  <c r="F847" i="1"/>
  <c r="G847" i="1"/>
  <c r="H847" i="1"/>
  <c r="D226" i="1"/>
  <c r="E226" i="1"/>
  <c r="F226" i="1"/>
  <c r="G226" i="1"/>
  <c r="H226" i="1"/>
  <c r="D15" i="1"/>
  <c r="E15" i="1"/>
  <c r="F15" i="1"/>
  <c r="G15" i="1"/>
  <c r="H15" i="1"/>
  <c r="D261" i="1"/>
  <c r="E261" i="1"/>
  <c r="F261" i="1"/>
  <c r="G261" i="1"/>
  <c r="H261" i="1"/>
  <c r="D233" i="1"/>
  <c r="E233" i="1"/>
  <c r="F233" i="1"/>
  <c r="G233" i="1"/>
  <c r="H233" i="1"/>
  <c r="D1002" i="1"/>
  <c r="E1002" i="1"/>
  <c r="F1002" i="1"/>
  <c r="G1002" i="1"/>
  <c r="H1002" i="1"/>
  <c r="D255" i="1"/>
  <c r="E255" i="1"/>
  <c r="F255" i="1"/>
  <c r="G255" i="1"/>
  <c r="H255" i="1"/>
  <c r="D158" i="1"/>
  <c r="E158" i="1"/>
  <c r="F158" i="1"/>
  <c r="G158" i="1"/>
  <c r="H158" i="1"/>
  <c r="D877" i="1"/>
  <c r="E877" i="1"/>
  <c r="F877" i="1"/>
  <c r="G877" i="1"/>
  <c r="H877" i="1"/>
  <c r="D366" i="1"/>
  <c r="E366" i="1"/>
  <c r="F366" i="1"/>
  <c r="G366" i="1"/>
  <c r="H366" i="1"/>
  <c r="D195" i="1"/>
  <c r="E195" i="1"/>
  <c r="F195" i="1"/>
  <c r="G195" i="1"/>
  <c r="H195" i="1"/>
  <c r="D900" i="1"/>
  <c r="E900" i="1"/>
  <c r="F900" i="1"/>
  <c r="G900" i="1"/>
  <c r="H900" i="1"/>
  <c r="D865" i="1"/>
  <c r="E865" i="1"/>
  <c r="F865" i="1"/>
  <c r="G865" i="1"/>
  <c r="H865" i="1"/>
  <c r="D396" i="1"/>
  <c r="E396" i="1"/>
  <c r="F396" i="1"/>
  <c r="G396" i="1"/>
  <c r="H396" i="1"/>
  <c r="D898" i="1"/>
  <c r="E898" i="1"/>
  <c r="F898" i="1"/>
  <c r="G898" i="1"/>
  <c r="H898" i="1"/>
  <c r="D936" i="1"/>
  <c r="E936" i="1"/>
  <c r="F936" i="1"/>
  <c r="G936" i="1"/>
  <c r="H936" i="1"/>
  <c r="D733" i="1"/>
  <c r="E733" i="1"/>
  <c r="F733" i="1"/>
  <c r="G733" i="1"/>
  <c r="H733" i="1"/>
  <c r="D737" i="1"/>
  <c r="E737" i="1"/>
  <c r="F737" i="1"/>
  <c r="G737" i="1"/>
  <c r="H737" i="1"/>
  <c r="D744" i="1"/>
  <c r="E744" i="1"/>
  <c r="F744" i="1"/>
  <c r="G744" i="1"/>
  <c r="H744" i="1"/>
  <c r="D745" i="1"/>
  <c r="E745" i="1"/>
  <c r="F745" i="1"/>
  <c r="G745" i="1"/>
  <c r="H745" i="1"/>
  <c r="D451" i="1"/>
  <c r="E451" i="1"/>
  <c r="F451" i="1"/>
  <c r="G451" i="1"/>
  <c r="H451" i="1"/>
  <c r="D470" i="1"/>
  <c r="E470" i="1"/>
  <c r="F470" i="1"/>
  <c r="G470" i="1"/>
  <c r="H470" i="1"/>
  <c r="D479" i="1"/>
  <c r="E479" i="1"/>
  <c r="F479" i="1"/>
  <c r="G479" i="1"/>
  <c r="H479" i="1"/>
  <c r="D480" i="1"/>
  <c r="E480" i="1"/>
  <c r="F480" i="1"/>
  <c r="G480" i="1"/>
  <c r="H480" i="1"/>
  <c r="D481" i="1"/>
  <c r="E481" i="1"/>
  <c r="F481" i="1"/>
  <c r="G481" i="1"/>
  <c r="H481" i="1"/>
  <c r="D507" i="1"/>
  <c r="E507" i="1"/>
  <c r="F507" i="1"/>
  <c r="G507" i="1"/>
  <c r="H507" i="1"/>
  <c r="D518" i="1"/>
  <c r="E518" i="1"/>
  <c r="F518" i="1"/>
  <c r="G518" i="1"/>
  <c r="H518" i="1"/>
  <c r="D523" i="1"/>
  <c r="E523" i="1"/>
  <c r="F523" i="1"/>
  <c r="G523" i="1"/>
  <c r="H523" i="1"/>
  <c r="D422" i="1"/>
  <c r="E422" i="1"/>
  <c r="F422" i="1"/>
  <c r="G422" i="1"/>
  <c r="H422" i="1"/>
  <c r="D318" i="1"/>
  <c r="E318" i="1"/>
  <c r="F318" i="1"/>
  <c r="G318" i="1"/>
  <c r="H318" i="1"/>
  <c r="D325" i="1"/>
  <c r="E325" i="1"/>
  <c r="F325" i="1"/>
  <c r="G325" i="1"/>
  <c r="H325" i="1"/>
  <c r="D321" i="1"/>
  <c r="E321" i="1"/>
  <c r="F321" i="1"/>
  <c r="G321" i="1"/>
  <c r="H321" i="1"/>
  <c r="D907" i="1"/>
  <c r="E907" i="1"/>
  <c r="F907" i="1"/>
  <c r="G907" i="1"/>
  <c r="H907" i="1"/>
  <c r="D944" i="1"/>
  <c r="E944" i="1"/>
  <c r="F944" i="1"/>
  <c r="G944" i="1"/>
  <c r="H944" i="1"/>
  <c r="D925" i="1"/>
  <c r="E925" i="1"/>
  <c r="F925" i="1"/>
  <c r="G925" i="1"/>
  <c r="H925" i="1"/>
  <c r="D957" i="1"/>
  <c r="E957" i="1"/>
  <c r="F957" i="1"/>
  <c r="G957" i="1"/>
  <c r="H957" i="1"/>
  <c r="D722" i="1"/>
  <c r="E722" i="1"/>
  <c r="F722" i="1"/>
  <c r="G722" i="1"/>
  <c r="H722" i="1"/>
  <c r="D757" i="1"/>
  <c r="E757" i="1"/>
  <c r="F757" i="1"/>
  <c r="G757" i="1"/>
  <c r="H757" i="1"/>
  <c r="D680" i="1"/>
  <c r="E680" i="1"/>
  <c r="F680" i="1"/>
  <c r="G680" i="1"/>
  <c r="H680" i="1"/>
  <c r="D638" i="1"/>
  <c r="E638" i="1"/>
  <c r="F638" i="1"/>
  <c r="G638" i="1"/>
  <c r="H638" i="1"/>
  <c r="D588" i="1"/>
  <c r="E588" i="1"/>
  <c r="F588" i="1"/>
  <c r="G588" i="1"/>
  <c r="H588" i="1"/>
  <c r="D964" i="1"/>
  <c r="E964" i="1"/>
  <c r="F964" i="1"/>
  <c r="G964" i="1"/>
  <c r="H964" i="1"/>
  <c r="D301" i="1"/>
  <c r="E301" i="1"/>
  <c r="F301" i="1"/>
  <c r="G301" i="1"/>
  <c r="H301" i="1"/>
  <c r="D589" i="1"/>
  <c r="E589" i="1"/>
  <c r="F589" i="1"/>
  <c r="G589" i="1"/>
  <c r="H589" i="1"/>
  <c r="D227" i="1"/>
  <c r="E227" i="1"/>
  <c r="F227" i="1"/>
  <c r="G227" i="1"/>
  <c r="H227" i="1"/>
  <c r="D38" i="1"/>
  <c r="E38" i="1"/>
  <c r="F38" i="1"/>
  <c r="G38" i="1"/>
  <c r="H38" i="1"/>
  <c r="D613" i="1"/>
  <c r="E613" i="1"/>
  <c r="F613" i="1"/>
  <c r="G613" i="1"/>
  <c r="H613" i="1"/>
  <c r="D915" i="1"/>
  <c r="E915" i="1"/>
  <c r="F915" i="1"/>
  <c r="G915" i="1"/>
  <c r="H915" i="1"/>
  <c r="D329" i="1"/>
  <c r="E329" i="1"/>
  <c r="F329" i="1"/>
  <c r="G329" i="1"/>
  <c r="H329" i="1"/>
  <c r="D590" i="1"/>
  <c r="E590" i="1"/>
  <c r="F590" i="1"/>
  <c r="G590" i="1"/>
  <c r="H590" i="1"/>
  <c r="D271" i="1"/>
  <c r="E271" i="1"/>
  <c r="F271" i="1"/>
  <c r="G271" i="1"/>
  <c r="H271" i="1"/>
  <c r="D76" i="1"/>
  <c r="E76" i="1"/>
  <c r="F76" i="1"/>
  <c r="G76" i="1"/>
  <c r="H76" i="1"/>
  <c r="D626" i="1"/>
  <c r="E626" i="1"/>
  <c r="F626" i="1"/>
  <c r="G626" i="1"/>
  <c r="H626" i="1"/>
  <c r="D332" i="1"/>
  <c r="E332" i="1"/>
  <c r="F332" i="1"/>
  <c r="G332" i="1"/>
  <c r="H332" i="1"/>
  <c r="D950" i="1"/>
  <c r="E950" i="1"/>
  <c r="F950" i="1"/>
  <c r="G950" i="1"/>
  <c r="H950" i="1"/>
  <c r="D591" i="1"/>
  <c r="E591" i="1"/>
  <c r="F591" i="1"/>
  <c r="G591" i="1"/>
  <c r="H591" i="1"/>
  <c r="D302" i="1"/>
  <c r="E302" i="1"/>
  <c r="F302" i="1"/>
  <c r="G302" i="1"/>
  <c r="H302" i="1"/>
  <c r="D113" i="1"/>
  <c r="E113" i="1"/>
  <c r="F113" i="1"/>
  <c r="G113" i="1"/>
  <c r="H113" i="1"/>
  <c r="D347" i="1"/>
  <c r="E347" i="1"/>
  <c r="F347" i="1"/>
  <c r="G347" i="1"/>
  <c r="H347" i="1"/>
  <c r="D660" i="1"/>
  <c r="E660" i="1"/>
  <c r="F660" i="1"/>
  <c r="G660" i="1"/>
  <c r="H660" i="1"/>
  <c r="D789" i="1"/>
  <c r="E789" i="1"/>
  <c r="F789" i="1"/>
  <c r="G789" i="1"/>
  <c r="H789" i="1"/>
  <c r="D614" i="1"/>
  <c r="E614" i="1"/>
  <c r="F614" i="1"/>
  <c r="G614" i="1"/>
  <c r="H614" i="1"/>
  <c r="D69" i="1"/>
  <c r="E69" i="1"/>
  <c r="F69" i="1"/>
  <c r="G69" i="1"/>
  <c r="H69" i="1"/>
  <c r="D230" i="1"/>
  <c r="E230" i="1"/>
  <c r="F230" i="1"/>
  <c r="G230" i="1"/>
  <c r="H230" i="1"/>
  <c r="D23" i="1"/>
  <c r="E23" i="1"/>
  <c r="F23" i="1"/>
  <c r="G23" i="1"/>
  <c r="H23" i="1"/>
  <c r="D798" i="1"/>
  <c r="E798" i="1"/>
  <c r="F798" i="1"/>
  <c r="G798" i="1"/>
  <c r="H798" i="1"/>
  <c r="D681" i="1"/>
  <c r="E681" i="1"/>
  <c r="F681" i="1"/>
  <c r="G681" i="1"/>
  <c r="H681" i="1"/>
  <c r="D621" i="1"/>
  <c r="E621" i="1"/>
  <c r="F621" i="1"/>
  <c r="G621" i="1"/>
  <c r="H621" i="1"/>
  <c r="D24" i="1"/>
  <c r="E24" i="1"/>
  <c r="F24" i="1"/>
  <c r="G24" i="1"/>
  <c r="H24" i="1"/>
  <c r="D56" i="1"/>
  <c r="E56" i="1"/>
  <c r="F56" i="1"/>
  <c r="G56" i="1"/>
  <c r="H56" i="1"/>
  <c r="D817" i="1"/>
  <c r="E817" i="1"/>
  <c r="F817" i="1"/>
  <c r="G817" i="1"/>
  <c r="H817" i="1"/>
  <c r="D54" i="1"/>
  <c r="E54" i="1"/>
  <c r="F54" i="1"/>
  <c r="G54" i="1"/>
  <c r="H54" i="1"/>
  <c r="D691" i="1"/>
  <c r="E691" i="1"/>
  <c r="F691" i="1"/>
  <c r="G691" i="1"/>
  <c r="H691" i="1"/>
  <c r="D125" i="1"/>
  <c r="E125" i="1"/>
  <c r="F125" i="1"/>
  <c r="G125" i="1"/>
  <c r="H125" i="1"/>
  <c r="D622" i="1"/>
  <c r="E622" i="1"/>
  <c r="F622" i="1"/>
  <c r="G622" i="1"/>
  <c r="H622" i="1"/>
  <c r="D264" i="1"/>
  <c r="E264" i="1"/>
  <c r="F264" i="1"/>
  <c r="G264" i="1"/>
  <c r="H264" i="1"/>
  <c r="D140" i="1"/>
  <c r="E140" i="1"/>
  <c r="F140" i="1"/>
  <c r="G140" i="1"/>
  <c r="H140" i="1"/>
  <c r="D856" i="1"/>
  <c r="E856" i="1"/>
  <c r="F856" i="1"/>
  <c r="G856" i="1"/>
  <c r="H856" i="1"/>
  <c r="D709" i="1"/>
  <c r="E709" i="1"/>
  <c r="F709" i="1"/>
  <c r="G709" i="1"/>
  <c r="H709" i="1"/>
  <c r="D159" i="1"/>
  <c r="E159" i="1"/>
  <c r="F159" i="1"/>
  <c r="G159" i="1"/>
  <c r="H159" i="1"/>
  <c r="D639" i="1"/>
  <c r="E639" i="1"/>
  <c r="F639" i="1"/>
  <c r="G639" i="1"/>
  <c r="H639" i="1"/>
  <c r="D168" i="1"/>
  <c r="E168" i="1"/>
  <c r="F168" i="1"/>
  <c r="G168" i="1"/>
  <c r="H168" i="1"/>
  <c r="D860" i="1"/>
  <c r="E860" i="1"/>
  <c r="F860" i="1"/>
  <c r="G860" i="1"/>
  <c r="H860" i="1"/>
  <c r="D303" i="1"/>
  <c r="E303" i="1"/>
  <c r="F303" i="1"/>
  <c r="G303" i="1"/>
  <c r="H303" i="1"/>
  <c r="D723" i="1"/>
  <c r="E723" i="1"/>
  <c r="F723" i="1"/>
  <c r="G723" i="1"/>
  <c r="H723" i="1"/>
  <c r="D223" i="1"/>
  <c r="E223" i="1"/>
  <c r="F223" i="1"/>
  <c r="G223" i="1"/>
  <c r="H223" i="1"/>
  <c r="D640" i="1"/>
  <c r="E640" i="1"/>
  <c r="F640" i="1"/>
  <c r="G640" i="1"/>
  <c r="H640" i="1"/>
  <c r="D883" i="1"/>
  <c r="E883" i="1"/>
  <c r="F883" i="1"/>
  <c r="G883" i="1"/>
  <c r="H883" i="1"/>
  <c r="D821" i="1"/>
  <c r="E821" i="1"/>
  <c r="F821" i="1"/>
  <c r="G821" i="1"/>
  <c r="H821" i="1"/>
  <c r="D296" i="1"/>
  <c r="E296" i="1"/>
  <c r="F296" i="1"/>
  <c r="G296" i="1"/>
  <c r="H296" i="1"/>
  <c r="D809" i="1"/>
  <c r="E809" i="1"/>
  <c r="F809" i="1"/>
  <c r="G809" i="1"/>
  <c r="H809" i="1"/>
  <c r="D575" i="1"/>
  <c r="E575" i="1"/>
  <c r="F575" i="1"/>
  <c r="G575" i="1"/>
  <c r="H575" i="1"/>
  <c r="D627" i="1"/>
  <c r="E627" i="1"/>
  <c r="F627" i="1"/>
  <c r="G627" i="1"/>
  <c r="H627" i="1"/>
  <c r="D880" i="1"/>
  <c r="E880" i="1"/>
  <c r="F880" i="1"/>
  <c r="G880" i="1"/>
  <c r="H880" i="1"/>
  <c r="D897" i="1"/>
  <c r="E897" i="1"/>
  <c r="F897" i="1"/>
  <c r="G897" i="1"/>
  <c r="H897" i="1"/>
  <c r="D220" i="1"/>
  <c r="E220" i="1"/>
  <c r="F220" i="1"/>
  <c r="G220" i="1"/>
  <c r="H220" i="1"/>
  <c r="D848" i="1"/>
  <c r="E848" i="1"/>
  <c r="F848" i="1"/>
  <c r="G848" i="1"/>
  <c r="H848" i="1"/>
  <c r="D615" i="1"/>
  <c r="E615" i="1"/>
  <c r="F615" i="1"/>
  <c r="G615" i="1"/>
  <c r="H615" i="1"/>
  <c r="D677" i="1"/>
  <c r="E677" i="1"/>
  <c r="F677" i="1"/>
  <c r="G677" i="1"/>
  <c r="H677" i="1"/>
  <c r="D16" i="1"/>
  <c r="E16" i="1"/>
  <c r="F16" i="1"/>
  <c r="G16" i="1"/>
  <c r="H16" i="1"/>
  <c r="D101" i="1"/>
  <c r="E101" i="1"/>
  <c r="F101" i="1"/>
  <c r="G101" i="1"/>
  <c r="H101" i="1"/>
  <c r="D641" i="1"/>
  <c r="E641" i="1"/>
  <c r="F641" i="1"/>
  <c r="G641" i="1"/>
  <c r="H641" i="1"/>
  <c r="D208" i="1"/>
  <c r="E208" i="1"/>
  <c r="F208" i="1"/>
  <c r="G208" i="1"/>
  <c r="H208" i="1"/>
  <c r="D268" i="1"/>
  <c r="E268" i="1"/>
  <c r="F268" i="1"/>
  <c r="G268" i="1"/>
  <c r="H268" i="1"/>
  <c r="D710" i="1"/>
  <c r="E710" i="1"/>
  <c r="F710" i="1"/>
  <c r="G710" i="1"/>
  <c r="H710" i="1"/>
  <c r="D62" i="1"/>
  <c r="E62" i="1"/>
  <c r="F62" i="1"/>
  <c r="G62" i="1"/>
  <c r="H62" i="1"/>
  <c r="D39" i="1"/>
  <c r="E39" i="1"/>
  <c r="F39" i="1"/>
  <c r="G39" i="1"/>
  <c r="H39" i="1"/>
  <c r="D585" i="1"/>
  <c r="E585" i="1"/>
  <c r="F585" i="1"/>
  <c r="G585" i="1"/>
  <c r="H585" i="1"/>
  <c r="D25" i="1"/>
  <c r="E25" i="1"/>
  <c r="F25" i="1"/>
  <c r="G25" i="1"/>
  <c r="H25" i="1"/>
  <c r="D6" i="1"/>
  <c r="E6" i="1"/>
  <c r="F6" i="1"/>
  <c r="G6" i="1"/>
  <c r="H6" i="1"/>
  <c r="D439" i="1"/>
  <c r="E439" i="1"/>
  <c r="F439" i="1"/>
  <c r="G439" i="1"/>
  <c r="H439" i="1"/>
  <c r="D746" i="1"/>
  <c r="E746" i="1"/>
  <c r="F746" i="1"/>
  <c r="G746" i="1"/>
  <c r="H746" i="1"/>
  <c r="D705" i="1"/>
  <c r="E705" i="1"/>
  <c r="F705" i="1"/>
  <c r="G705" i="1"/>
  <c r="H705" i="1"/>
  <c r="D482" i="1"/>
  <c r="E482" i="1"/>
  <c r="F482" i="1"/>
  <c r="G482" i="1"/>
  <c r="H482" i="1"/>
  <c r="D141" i="1"/>
  <c r="E141" i="1"/>
  <c r="F141" i="1"/>
  <c r="G141" i="1"/>
  <c r="H141" i="1"/>
  <c r="D423" i="1"/>
  <c r="E423" i="1"/>
  <c r="F423" i="1"/>
  <c r="G423" i="1"/>
  <c r="H423" i="1"/>
  <c r="D483" i="1"/>
  <c r="E483" i="1"/>
  <c r="F483" i="1"/>
  <c r="G483" i="1"/>
  <c r="H483" i="1"/>
  <c r="D530" i="1"/>
  <c r="E530" i="1"/>
  <c r="F530" i="1"/>
  <c r="G530" i="1"/>
  <c r="H530" i="1"/>
  <c r="D747" i="1"/>
  <c r="E747" i="1"/>
  <c r="F747" i="1"/>
  <c r="G747" i="1"/>
  <c r="H747" i="1"/>
  <c r="D209" i="1"/>
  <c r="E209" i="1"/>
  <c r="F209" i="1"/>
  <c r="G209" i="1"/>
  <c r="H209" i="1"/>
  <c r="D71" i="1"/>
  <c r="E71" i="1"/>
  <c r="F71" i="1"/>
  <c r="G71" i="1"/>
  <c r="H71" i="1"/>
  <c r="D471" i="1"/>
  <c r="E471" i="1"/>
  <c r="F471" i="1"/>
  <c r="G471" i="1"/>
  <c r="H471" i="1"/>
  <c r="D988" i="1"/>
  <c r="E988" i="1"/>
  <c r="F988" i="1"/>
  <c r="G988" i="1"/>
  <c r="H988" i="1"/>
  <c r="D513" i="1"/>
  <c r="E513" i="1"/>
  <c r="F513" i="1"/>
  <c r="G513" i="1"/>
  <c r="H513" i="1"/>
  <c r="D773" i="1"/>
  <c r="E773" i="1"/>
  <c r="F773" i="1"/>
  <c r="G773" i="1"/>
  <c r="H773" i="1"/>
  <c r="D555" i="1"/>
  <c r="E555" i="1"/>
  <c r="F555" i="1"/>
  <c r="G555" i="1"/>
  <c r="H555" i="1"/>
  <c r="D102" i="1"/>
  <c r="E102" i="1"/>
  <c r="F102" i="1"/>
  <c r="G102" i="1"/>
  <c r="H102" i="1"/>
  <c r="D508" i="1"/>
  <c r="E508" i="1"/>
  <c r="F508" i="1"/>
  <c r="G508" i="1"/>
  <c r="H508" i="1"/>
  <c r="D1005" i="1"/>
  <c r="E1005" i="1"/>
  <c r="F1005" i="1"/>
  <c r="G1005" i="1"/>
  <c r="H1005" i="1"/>
  <c r="D564" i="1"/>
  <c r="E564" i="1"/>
  <c r="F564" i="1"/>
  <c r="G564" i="1"/>
  <c r="H564" i="1"/>
  <c r="D642" i="1"/>
  <c r="E642" i="1"/>
  <c r="F642" i="1"/>
  <c r="G642" i="1"/>
  <c r="H642" i="1"/>
  <c r="D895" i="1"/>
  <c r="E895" i="1"/>
  <c r="F895" i="1"/>
  <c r="G895" i="1"/>
  <c r="H895" i="1"/>
  <c r="D142" i="1"/>
  <c r="E142" i="1"/>
  <c r="F142" i="1"/>
  <c r="G142" i="1"/>
  <c r="H142" i="1"/>
  <c r="D543" i="1"/>
  <c r="E543" i="1"/>
  <c r="F543" i="1"/>
  <c r="G543" i="1"/>
  <c r="H543" i="1"/>
  <c r="D794" i="1"/>
  <c r="E794" i="1"/>
  <c r="F794" i="1"/>
  <c r="G794" i="1"/>
  <c r="H794" i="1"/>
  <c r="D619" i="1"/>
  <c r="E619" i="1"/>
  <c r="F619" i="1"/>
  <c r="G619" i="1"/>
  <c r="H619" i="1"/>
  <c r="D670" i="1"/>
  <c r="E670" i="1"/>
  <c r="F670" i="1"/>
  <c r="G670" i="1"/>
  <c r="H670" i="1"/>
  <c r="D841" i="1"/>
  <c r="E841" i="1"/>
  <c r="F841" i="1"/>
  <c r="G841" i="1"/>
  <c r="H841" i="1"/>
  <c r="D169" i="1"/>
  <c r="E169" i="1"/>
  <c r="F169" i="1"/>
  <c r="G169" i="1"/>
  <c r="H169" i="1"/>
  <c r="D143" i="1"/>
  <c r="E143" i="1"/>
  <c r="F143" i="1"/>
  <c r="G143" i="1"/>
  <c r="H143" i="1"/>
  <c r="D799" i="1"/>
  <c r="E799" i="1"/>
  <c r="F799" i="1"/>
  <c r="G799" i="1"/>
  <c r="H799" i="1"/>
  <c r="D671" i="1"/>
  <c r="E671" i="1"/>
  <c r="F671" i="1"/>
  <c r="G671" i="1"/>
  <c r="H671" i="1"/>
  <c r="D170" i="1"/>
  <c r="E170" i="1"/>
  <c r="F170" i="1"/>
  <c r="G170" i="1"/>
  <c r="H170" i="1"/>
  <c r="D37" i="1"/>
  <c r="E37" i="1"/>
  <c r="F37" i="1"/>
  <c r="G37" i="1"/>
  <c r="H37" i="1"/>
  <c r="D57" i="1"/>
  <c r="E57" i="1"/>
  <c r="F57" i="1"/>
  <c r="G57" i="1"/>
  <c r="H57" i="1"/>
  <c r="D819" i="1"/>
  <c r="E819" i="1"/>
  <c r="F819" i="1"/>
  <c r="G819" i="1"/>
  <c r="H819" i="1"/>
  <c r="D556" i="1"/>
  <c r="E556" i="1"/>
  <c r="F556" i="1"/>
  <c r="G556" i="1"/>
  <c r="H556" i="1"/>
  <c r="D696" i="1"/>
  <c r="E696" i="1"/>
  <c r="F696" i="1"/>
  <c r="G696" i="1"/>
  <c r="H696" i="1"/>
  <c r="D196" i="1"/>
  <c r="E196" i="1"/>
  <c r="F196" i="1"/>
  <c r="G196" i="1"/>
  <c r="H196" i="1"/>
  <c r="D247" i="1"/>
  <c r="E247" i="1"/>
  <c r="F247" i="1"/>
  <c r="G247" i="1"/>
  <c r="H247" i="1"/>
  <c r="D182" i="1"/>
  <c r="E182" i="1"/>
  <c r="F182" i="1"/>
  <c r="G182" i="1"/>
  <c r="H182" i="1"/>
  <c r="D55" i="1"/>
  <c r="E55" i="1"/>
  <c r="F55" i="1"/>
  <c r="G55" i="1"/>
  <c r="H55" i="1"/>
  <c r="D643" i="1"/>
  <c r="E643" i="1"/>
  <c r="F643" i="1"/>
  <c r="G643" i="1"/>
  <c r="H643" i="1"/>
  <c r="D843" i="1"/>
  <c r="E843" i="1"/>
  <c r="F843" i="1"/>
  <c r="G843" i="1"/>
  <c r="H843" i="1"/>
  <c r="D279" i="1"/>
  <c r="E279" i="1"/>
  <c r="F279" i="1"/>
  <c r="G279" i="1"/>
  <c r="H279" i="1"/>
  <c r="D738" i="1"/>
  <c r="E738" i="1"/>
  <c r="F738" i="1"/>
  <c r="G738" i="1"/>
  <c r="H738" i="1"/>
  <c r="D212" i="1"/>
  <c r="E212" i="1"/>
  <c r="F212" i="1"/>
  <c r="G212" i="1"/>
  <c r="H212" i="1"/>
  <c r="D667" i="1"/>
  <c r="E667" i="1"/>
  <c r="F667" i="1"/>
  <c r="G667" i="1"/>
  <c r="H667" i="1"/>
  <c r="D85" i="1"/>
  <c r="E85" i="1"/>
  <c r="F85" i="1"/>
  <c r="G85" i="1"/>
  <c r="H85" i="1"/>
  <c r="D844" i="1"/>
  <c r="E844" i="1"/>
  <c r="F844" i="1"/>
  <c r="G844" i="1"/>
  <c r="H844" i="1"/>
  <c r="D774" i="1"/>
  <c r="E774" i="1"/>
  <c r="F774" i="1"/>
  <c r="G774" i="1"/>
  <c r="H774" i="1"/>
  <c r="D304" i="1"/>
  <c r="E304" i="1"/>
  <c r="F304" i="1"/>
  <c r="G304" i="1"/>
  <c r="H304" i="1"/>
  <c r="D692" i="1"/>
  <c r="E692" i="1"/>
  <c r="F692" i="1"/>
  <c r="G692" i="1"/>
  <c r="H692" i="1"/>
  <c r="D114" i="1"/>
  <c r="E114" i="1"/>
  <c r="F114" i="1"/>
  <c r="G114" i="1"/>
  <c r="H114" i="1"/>
  <c r="D837" i="1"/>
  <c r="E837" i="1"/>
  <c r="F837" i="1"/>
  <c r="G837" i="1"/>
  <c r="H837" i="1"/>
  <c r="D711" i="1"/>
  <c r="E711" i="1"/>
  <c r="F711" i="1"/>
  <c r="G711" i="1"/>
  <c r="H711" i="1"/>
  <c r="D484" i="1"/>
  <c r="E484" i="1"/>
  <c r="F484" i="1"/>
  <c r="G484" i="1"/>
  <c r="H484" i="1"/>
  <c r="D531" i="1"/>
  <c r="E531" i="1"/>
  <c r="F531" i="1"/>
  <c r="G531" i="1"/>
  <c r="H531" i="1"/>
  <c r="D565" i="1"/>
  <c r="E565" i="1"/>
  <c r="F565" i="1"/>
  <c r="G565" i="1"/>
  <c r="H565" i="1"/>
  <c r="D644" i="1"/>
  <c r="E644" i="1"/>
  <c r="F644" i="1"/>
  <c r="G644" i="1"/>
  <c r="H644" i="1"/>
  <c r="D51" i="1"/>
  <c r="E51" i="1"/>
  <c r="F51" i="1"/>
  <c r="G51" i="1"/>
  <c r="H51" i="1"/>
  <c r="D86" i="1"/>
  <c r="E86" i="1"/>
  <c r="F86" i="1"/>
  <c r="G86" i="1"/>
  <c r="H86" i="1"/>
  <c r="D126" i="1"/>
  <c r="E126" i="1"/>
  <c r="F126" i="1"/>
  <c r="G126" i="1"/>
  <c r="H126" i="1"/>
  <c r="D144" i="1"/>
  <c r="E144" i="1"/>
  <c r="F144" i="1"/>
  <c r="G144" i="1"/>
  <c r="H144" i="1"/>
  <c r="D197" i="1"/>
  <c r="E197" i="1"/>
  <c r="F197" i="1"/>
  <c r="G197" i="1"/>
  <c r="H197" i="1"/>
  <c r="D26" i="1"/>
  <c r="E26" i="1"/>
  <c r="F26" i="1"/>
  <c r="G26" i="1"/>
  <c r="H26" i="1"/>
  <c r="D237" i="1"/>
  <c r="E237" i="1"/>
  <c r="F237" i="1"/>
  <c r="G237" i="1"/>
  <c r="H237" i="1"/>
  <c r="D424" i="1"/>
  <c r="E424" i="1"/>
  <c r="F424" i="1"/>
  <c r="G424" i="1"/>
  <c r="H424" i="1"/>
  <c r="D806" i="1"/>
  <c r="E806" i="1"/>
  <c r="F806" i="1"/>
  <c r="G806" i="1"/>
  <c r="H806" i="1"/>
  <c r="D816" i="1"/>
  <c r="E816" i="1"/>
  <c r="F816" i="1"/>
  <c r="G816" i="1"/>
  <c r="H816" i="1"/>
  <c r="D984" i="1"/>
  <c r="E984" i="1"/>
  <c r="F984" i="1"/>
  <c r="G984" i="1"/>
  <c r="H984" i="1"/>
  <c r="D485" i="1"/>
  <c r="E485" i="1"/>
  <c r="F485" i="1"/>
  <c r="G485" i="1"/>
  <c r="H485" i="1"/>
  <c r="D576" i="1"/>
  <c r="E576" i="1"/>
  <c r="F576" i="1"/>
  <c r="G576" i="1"/>
  <c r="H576" i="1"/>
  <c r="D587" i="1"/>
  <c r="E587" i="1"/>
  <c r="F587" i="1"/>
  <c r="G587" i="1"/>
  <c r="H587" i="1"/>
  <c r="D606" i="1"/>
  <c r="E606" i="1"/>
  <c r="F606" i="1"/>
  <c r="G606" i="1"/>
  <c r="H606" i="1"/>
  <c r="D586" i="1"/>
  <c r="E586" i="1"/>
  <c r="F586" i="1"/>
  <c r="G586" i="1"/>
  <c r="H586" i="1"/>
  <c r="D616" i="1"/>
  <c r="E616" i="1"/>
  <c r="F616" i="1"/>
  <c r="G616" i="1"/>
  <c r="H616" i="1"/>
  <c r="D758" i="1"/>
  <c r="E758" i="1"/>
  <c r="F758" i="1"/>
  <c r="G758" i="1"/>
  <c r="H758" i="1"/>
  <c r="D811" i="1"/>
  <c r="E811" i="1"/>
  <c r="F811" i="1"/>
  <c r="G811" i="1"/>
  <c r="H811" i="1"/>
  <c r="D234" i="1"/>
  <c r="E234" i="1"/>
  <c r="F234" i="1"/>
  <c r="G234" i="1"/>
  <c r="H234" i="1"/>
  <c r="D8" i="1"/>
  <c r="E8" i="1"/>
  <c r="F8" i="1"/>
  <c r="G8" i="1"/>
  <c r="H8" i="1"/>
  <c r="D885" i="1"/>
  <c r="E885" i="1"/>
  <c r="F885" i="1"/>
  <c r="G885" i="1"/>
  <c r="H885" i="1"/>
  <c r="D145" i="1"/>
  <c r="E145" i="1"/>
  <c r="F145" i="1"/>
  <c r="G145" i="1"/>
  <c r="H145" i="1"/>
  <c r="D171" i="1"/>
  <c r="E171" i="1"/>
  <c r="F171" i="1"/>
  <c r="G171" i="1"/>
  <c r="H171" i="1"/>
  <c r="D818" i="1"/>
  <c r="E818" i="1"/>
  <c r="F818" i="1"/>
  <c r="G818" i="1"/>
  <c r="H818" i="1"/>
  <c r="D832" i="1"/>
  <c r="E832" i="1"/>
  <c r="F832" i="1"/>
  <c r="G832" i="1"/>
  <c r="H832" i="1"/>
  <c r="D851" i="1"/>
  <c r="E851" i="1"/>
  <c r="F851" i="1"/>
  <c r="G851" i="1"/>
  <c r="H851" i="1"/>
  <c r="D855" i="1"/>
  <c r="E855" i="1"/>
  <c r="F855" i="1"/>
  <c r="G855" i="1"/>
  <c r="H855" i="1"/>
  <c r="D929" i="1"/>
  <c r="E929" i="1"/>
  <c r="F929" i="1"/>
  <c r="G929" i="1"/>
  <c r="H929" i="1"/>
  <c r="D942" i="1"/>
  <c r="E942" i="1"/>
  <c r="F942" i="1"/>
  <c r="G942" i="1"/>
  <c r="H942" i="1"/>
  <c r="D966" i="1"/>
  <c r="E966" i="1"/>
  <c r="F966" i="1"/>
  <c r="G966" i="1"/>
  <c r="H966" i="1"/>
  <c r="D1001" i="1"/>
  <c r="E1001" i="1"/>
  <c r="F1001" i="1"/>
  <c r="G1001" i="1"/>
  <c r="H1001" i="1"/>
  <c r="D198" i="1"/>
  <c r="E198" i="1"/>
  <c r="F198" i="1"/>
  <c r="G198" i="1"/>
  <c r="H198" i="1"/>
  <c r="D103" i="1"/>
  <c r="E103" i="1"/>
  <c r="F103" i="1"/>
  <c r="G103" i="1"/>
  <c r="H103" i="1"/>
  <c r="D572" i="1"/>
  <c r="E572" i="1"/>
  <c r="F572" i="1"/>
  <c r="G572" i="1"/>
  <c r="H572" i="1"/>
  <c r="D607" i="1"/>
  <c r="E607" i="1"/>
  <c r="F607" i="1"/>
  <c r="G607" i="1"/>
  <c r="H607" i="1"/>
  <c r="D945" i="1"/>
  <c r="E945" i="1"/>
  <c r="F945" i="1"/>
  <c r="G945" i="1"/>
  <c r="H945" i="1"/>
  <c r="D955" i="1"/>
  <c r="E955" i="1"/>
  <c r="F955" i="1"/>
  <c r="G955" i="1"/>
  <c r="H955" i="1"/>
  <c r="D356" i="1"/>
  <c r="E356" i="1"/>
  <c r="F356" i="1"/>
  <c r="G356" i="1"/>
  <c r="H356" i="1"/>
  <c r="D440" i="1"/>
  <c r="E440" i="1"/>
  <c r="F440" i="1"/>
  <c r="G440" i="1"/>
  <c r="H440" i="1"/>
  <c r="D486" i="1"/>
  <c r="E486" i="1"/>
  <c r="F486" i="1"/>
  <c r="G486" i="1"/>
  <c r="H486" i="1"/>
  <c r="D514" i="1"/>
  <c r="E514" i="1"/>
  <c r="F514" i="1"/>
  <c r="G514" i="1"/>
  <c r="H514" i="1"/>
  <c r="D183" i="1"/>
  <c r="E183" i="1"/>
  <c r="F183" i="1"/>
  <c r="G183" i="1"/>
  <c r="H183" i="1"/>
  <c r="D213" i="1"/>
  <c r="E213" i="1"/>
  <c r="F213" i="1"/>
  <c r="G213" i="1"/>
  <c r="H213" i="1"/>
  <c r="D224" i="1"/>
  <c r="E224" i="1"/>
  <c r="F224" i="1"/>
  <c r="G224" i="1"/>
  <c r="H224" i="1"/>
  <c r="D257" i="1"/>
  <c r="E257" i="1"/>
  <c r="F257" i="1"/>
  <c r="G257" i="1"/>
  <c r="H257" i="1"/>
  <c r="D338" i="1"/>
  <c r="E338" i="1"/>
  <c r="F338" i="1"/>
  <c r="G338" i="1"/>
  <c r="H338" i="1"/>
  <c r="D372" i="1"/>
  <c r="E372" i="1"/>
  <c r="F372" i="1"/>
  <c r="G372" i="1"/>
  <c r="H372" i="1"/>
  <c r="D127" i="1"/>
  <c r="E127" i="1"/>
  <c r="F127" i="1"/>
  <c r="G127" i="1"/>
  <c r="H127" i="1"/>
  <c r="D184" i="1"/>
  <c r="E184" i="1"/>
  <c r="F184" i="1"/>
  <c r="G184" i="1"/>
  <c r="H184" i="1"/>
  <c r="D989" i="1"/>
  <c r="E989" i="1"/>
  <c r="F989" i="1"/>
  <c r="G989" i="1"/>
  <c r="H989" i="1"/>
  <c r="D17" i="1"/>
  <c r="E17" i="1"/>
  <c r="F17" i="1"/>
  <c r="G17" i="1"/>
  <c r="H17" i="1"/>
  <c r="D813" i="1"/>
  <c r="E813" i="1"/>
  <c r="F813" i="1"/>
  <c r="G813" i="1"/>
  <c r="H813" i="1"/>
  <c r="D814" i="1"/>
  <c r="E814" i="1"/>
  <c r="F814" i="1"/>
  <c r="G814" i="1"/>
  <c r="H814" i="1"/>
  <c r="D289" i="1"/>
  <c r="E289" i="1"/>
  <c r="F289" i="1"/>
  <c r="G289" i="1"/>
  <c r="H289" i="1"/>
  <c r="D953" i="1"/>
  <c r="E953" i="1"/>
  <c r="F953" i="1"/>
  <c r="G953" i="1"/>
  <c r="H953" i="1"/>
  <c r="D980" i="1"/>
  <c r="E980" i="1"/>
  <c r="F980" i="1"/>
  <c r="G980" i="1"/>
  <c r="H980" i="1"/>
  <c r="D1013" i="1"/>
  <c r="E1013" i="1"/>
  <c r="F1013" i="1"/>
  <c r="G1013" i="1"/>
  <c r="H1013" i="1"/>
  <c r="D524" i="1"/>
  <c r="E524" i="1"/>
  <c r="F524" i="1"/>
  <c r="G524" i="1"/>
  <c r="H524" i="1"/>
  <c r="D381" i="1"/>
  <c r="E381" i="1"/>
  <c r="F381" i="1"/>
  <c r="G381" i="1"/>
  <c r="H381" i="1"/>
  <c r="D425" i="1"/>
  <c r="E425" i="1"/>
  <c r="F425" i="1"/>
  <c r="G425" i="1"/>
  <c r="H425" i="1"/>
  <c r="D426" i="1"/>
  <c r="E426" i="1"/>
  <c r="F426" i="1"/>
  <c r="G426" i="1"/>
  <c r="H426" i="1"/>
  <c r="D216" i="1"/>
  <c r="E216" i="1"/>
  <c r="F216" i="1"/>
  <c r="G216" i="1"/>
  <c r="H216" i="1"/>
  <c r="D115" i="1"/>
  <c r="E115" i="1"/>
  <c r="F115" i="1"/>
  <c r="G115" i="1"/>
  <c r="H115" i="1"/>
  <c r="D373" i="1"/>
  <c r="E373" i="1"/>
  <c r="F373" i="1"/>
  <c r="G373" i="1"/>
  <c r="H373" i="1"/>
  <c r="D280" i="1"/>
  <c r="E280" i="1"/>
  <c r="F280" i="1"/>
  <c r="G280" i="1"/>
  <c r="H280" i="1"/>
  <c r="D199" i="1"/>
  <c r="E199" i="1"/>
  <c r="F199" i="1"/>
  <c r="G199" i="1"/>
  <c r="H199" i="1"/>
  <c r="D401" i="1"/>
  <c r="E401" i="1"/>
  <c r="F401" i="1"/>
  <c r="G401" i="1"/>
  <c r="H401" i="1"/>
  <c r="D305" i="1"/>
  <c r="E305" i="1"/>
  <c r="F305" i="1"/>
  <c r="G305" i="1"/>
  <c r="H305" i="1"/>
  <c r="D914" i="1"/>
  <c r="E914" i="1"/>
  <c r="F914" i="1"/>
  <c r="G914" i="1"/>
  <c r="H914" i="1"/>
  <c r="D240" i="1"/>
  <c r="E240" i="1"/>
  <c r="F240" i="1"/>
  <c r="G240" i="1"/>
  <c r="H240" i="1"/>
  <c r="D382" i="1"/>
  <c r="E382" i="1"/>
  <c r="F382" i="1"/>
  <c r="G382" i="1"/>
  <c r="H382" i="1"/>
  <c r="D267" i="1"/>
  <c r="E267" i="1"/>
  <c r="F267" i="1"/>
  <c r="G267" i="1"/>
  <c r="H267" i="1"/>
  <c r="D947" i="1"/>
  <c r="E947" i="1"/>
  <c r="F947" i="1"/>
  <c r="G947" i="1"/>
  <c r="H947" i="1"/>
  <c r="D409" i="1"/>
  <c r="E409" i="1"/>
  <c r="F409" i="1"/>
  <c r="G409" i="1"/>
  <c r="H409" i="1"/>
  <c r="D448" i="1"/>
  <c r="E448" i="1"/>
  <c r="F448" i="1"/>
  <c r="G448" i="1"/>
  <c r="H448" i="1"/>
  <c r="D251" i="1"/>
  <c r="E251" i="1"/>
  <c r="F251" i="1"/>
  <c r="G251" i="1"/>
  <c r="H251" i="1"/>
  <c r="D281" i="1"/>
  <c r="E281" i="1"/>
  <c r="F281" i="1"/>
  <c r="G281" i="1"/>
  <c r="H281" i="1"/>
  <c r="D449" i="1"/>
  <c r="E449" i="1"/>
  <c r="F449" i="1"/>
  <c r="G449" i="1"/>
  <c r="H449" i="1"/>
  <c r="D487" i="1"/>
  <c r="E487" i="1"/>
  <c r="F487" i="1"/>
  <c r="G487" i="1"/>
  <c r="H487" i="1"/>
  <c r="D306" i="1"/>
  <c r="E306" i="1"/>
  <c r="F306" i="1"/>
  <c r="G306" i="1"/>
  <c r="H306" i="1"/>
  <c r="D533" i="1"/>
  <c r="E533" i="1"/>
  <c r="F533" i="1"/>
  <c r="G533" i="1"/>
  <c r="H533" i="1"/>
  <c r="D488" i="1"/>
  <c r="E488" i="1"/>
  <c r="F488" i="1"/>
  <c r="G488" i="1"/>
  <c r="H488" i="1"/>
  <c r="D339" i="1"/>
  <c r="E339" i="1"/>
  <c r="F339" i="1"/>
  <c r="G339" i="1"/>
  <c r="H339" i="1"/>
  <c r="D557" i="1"/>
  <c r="E557" i="1"/>
  <c r="F557" i="1"/>
  <c r="G557" i="1"/>
  <c r="H557" i="1"/>
  <c r="D544" i="1"/>
  <c r="E544" i="1"/>
  <c r="F544" i="1"/>
  <c r="G544" i="1"/>
  <c r="H544" i="1"/>
  <c r="D128" i="1"/>
  <c r="E128" i="1"/>
  <c r="F128" i="1"/>
  <c r="G128" i="1"/>
  <c r="H128" i="1"/>
  <c r="D333" i="1"/>
  <c r="E333" i="1"/>
  <c r="F333" i="1"/>
  <c r="G333" i="1"/>
  <c r="H333" i="1"/>
  <c r="D580" i="1"/>
  <c r="E580" i="1"/>
  <c r="F580" i="1"/>
  <c r="G580" i="1"/>
  <c r="H580" i="1"/>
  <c r="D160" i="1"/>
  <c r="E160" i="1"/>
  <c r="F160" i="1"/>
  <c r="G160" i="1"/>
  <c r="H160" i="1"/>
  <c r="D200" i="1"/>
  <c r="E200" i="1"/>
  <c r="F200" i="1"/>
  <c r="G200" i="1"/>
  <c r="H200" i="1"/>
  <c r="D297" i="1"/>
  <c r="E297" i="1"/>
  <c r="F297" i="1"/>
  <c r="G297" i="1"/>
  <c r="H297" i="1"/>
  <c r="D201" i="1"/>
  <c r="E201" i="1"/>
  <c r="F201" i="1"/>
  <c r="G201" i="1"/>
  <c r="H201" i="1"/>
  <c r="D242" i="1"/>
  <c r="E242" i="1"/>
  <c r="F242" i="1"/>
  <c r="G242" i="1"/>
  <c r="H242" i="1"/>
  <c r="D369" i="1"/>
  <c r="E369" i="1"/>
  <c r="F369" i="1"/>
  <c r="G369" i="1"/>
  <c r="H369" i="1"/>
  <c r="D231" i="1"/>
  <c r="E231" i="1"/>
  <c r="F231" i="1"/>
  <c r="G231" i="1"/>
  <c r="H231" i="1"/>
  <c r="D269" i="1"/>
  <c r="E269" i="1"/>
  <c r="F269" i="1"/>
  <c r="G269" i="1"/>
  <c r="H269" i="1"/>
  <c r="D410" i="1"/>
  <c r="E410" i="1"/>
  <c r="F410" i="1"/>
  <c r="G410" i="1"/>
  <c r="H410" i="1"/>
  <c r="D2" i="1"/>
  <c r="E2" i="1"/>
  <c r="F2" i="1"/>
  <c r="G2" i="1"/>
  <c r="H2" i="1"/>
  <c r="D1014" i="1"/>
  <c r="E1014" i="1"/>
  <c r="F1014" i="1"/>
  <c r="G1014" i="1"/>
  <c r="H1014" i="1"/>
  <c r="D202" i="1"/>
  <c r="E202" i="1"/>
  <c r="F202" i="1"/>
  <c r="G202" i="1"/>
  <c r="H202" i="1"/>
  <c r="D307" i="1"/>
  <c r="E307" i="1"/>
  <c r="F307" i="1"/>
  <c r="G307" i="1"/>
  <c r="H307" i="1"/>
  <c r="D59" i="1"/>
  <c r="E59" i="1"/>
  <c r="F59" i="1"/>
  <c r="G59" i="1"/>
  <c r="H59" i="1"/>
  <c r="D592" i="1"/>
  <c r="E592" i="1"/>
  <c r="F592" i="1"/>
  <c r="G592" i="1"/>
  <c r="H592" i="1"/>
  <c r="D343" i="1"/>
  <c r="E343" i="1"/>
  <c r="F343" i="1"/>
  <c r="G343" i="1"/>
  <c r="H343" i="1"/>
  <c r="D77" i="1"/>
  <c r="E77" i="1"/>
  <c r="F77" i="1"/>
  <c r="G77" i="1"/>
  <c r="H77" i="1"/>
  <c r="D628" i="1"/>
  <c r="E628" i="1"/>
  <c r="F628" i="1"/>
  <c r="G628" i="1"/>
  <c r="H628" i="1"/>
  <c r="D376" i="1"/>
  <c r="E376" i="1"/>
  <c r="F376" i="1"/>
  <c r="G376" i="1"/>
  <c r="H376" i="1"/>
  <c r="D104" i="1"/>
  <c r="E104" i="1"/>
  <c r="F104" i="1"/>
  <c r="G104" i="1"/>
  <c r="H104" i="1"/>
  <c r="D678" i="1"/>
  <c r="E678" i="1"/>
  <c r="F678" i="1"/>
  <c r="G678" i="1"/>
  <c r="H678" i="1"/>
  <c r="D867" i="1"/>
  <c r="E867" i="1"/>
  <c r="F867" i="1"/>
  <c r="G867" i="1"/>
  <c r="H867" i="1"/>
  <c r="D27" i="1"/>
  <c r="E27" i="1"/>
  <c r="F27" i="1"/>
  <c r="G27" i="1"/>
  <c r="H27" i="1"/>
  <c r="D427" i="1"/>
  <c r="E427" i="1"/>
  <c r="F427" i="1"/>
  <c r="G427" i="1"/>
  <c r="H427" i="1"/>
  <c r="D864" i="1"/>
  <c r="E864" i="1"/>
  <c r="F864" i="1"/>
  <c r="G864" i="1"/>
  <c r="H864" i="1"/>
  <c r="D45" i="1"/>
  <c r="E45" i="1"/>
  <c r="F45" i="1"/>
  <c r="G45" i="1"/>
  <c r="H45" i="1"/>
  <c r="D472" i="1"/>
  <c r="E472" i="1"/>
  <c r="F472" i="1"/>
  <c r="G472" i="1"/>
  <c r="H472" i="1"/>
  <c r="D935" i="1"/>
  <c r="E935" i="1"/>
  <c r="F935" i="1"/>
  <c r="G935" i="1"/>
  <c r="H935" i="1"/>
  <c r="D515" i="1"/>
  <c r="E515" i="1"/>
  <c r="F515" i="1"/>
  <c r="G515" i="1"/>
  <c r="H515" i="1"/>
  <c r="D402" i="1"/>
  <c r="E402" i="1"/>
  <c r="F402" i="1"/>
  <c r="G402" i="1"/>
  <c r="H402" i="1"/>
  <c r="D934" i="1"/>
  <c r="E934" i="1"/>
  <c r="F934" i="1"/>
  <c r="G934" i="1"/>
  <c r="H934" i="1"/>
  <c r="D707" i="1"/>
  <c r="E707" i="1"/>
  <c r="F707" i="1"/>
  <c r="G707" i="1"/>
  <c r="H707" i="1"/>
  <c r="D383" i="1"/>
  <c r="E383" i="1"/>
  <c r="F383" i="1"/>
  <c r="G383" i="1"/>
  <c r="H383" i="1"/>
  <c r="D308" i="1"/>
  <c r="E308" i="1"/>
  <c r="F308" i="1"/>
  <c r="G308" i="1"/>
  <c r="H308" i="1"/>
  <c r="D344" i="1"/>
  <c r="E344" i="1"/>
  <c r="F344" i="1"/>
  <c r="G344" i="1"/>
  <c r="H344" i="1"/>
  <c r="D46" i="1"/>
  <c r="E46" i="1"/>
  <c r="F46" i="1"/>
  <c r="G46" i="1"/>
  <c r="H46" i="1"/>
  <c r="D78" i="1"/>
  <c r="E78" i="1"/>
  <c r="F78" i="1"/>
  <c r="G78" i="1"/>
  <c r="H78" i="1"/>
  <c r="D79" i="1"/>
  <c r="E79" i="1"/>
  <c r="F79" i="1"/>
  <c r="G79" i="1"/>
  <c r="H79" i="1"/>
  <c r="D116" i="1"/>
  <c r="E116" i="1"/>
  <c r="F116" i="1"/>
  <c r="G116" i="1"/>
  <c r="H116" i="1"/>
  <c r="D236" i="1"/>
  <c r="E236" i="1"/>
  <c r="F236" i="1"/>
  <c r="G236" i="1"/>
  <c r="H236" i="1"/>
  <c r="D334" i="1"/>
  <c r="E334" i="1"/>
  <c r="F334" i="1"/>
  <c r="G334" i="1"/>
  <c r="H334" i="1"/>
  <c r="D384" i="1"/>
  <c r="E384" i="1"/>
  <c r="F384" i="1"/>
  <c r="G384" i="1"/>
  <c r="H384" i="1"/>
  <c r="D397" i="1"/>
  <c r="E397" i="1"/>
  <c r="F397" i="1"/>
  <c r="G397" i="1"/>
  <c r="H397" i="1"/>
  <c r="D428" i="1"/>
  <c r="E428" i="1"/>
  <c r="F428" i="1"/>
  <c r="G428" i="1"/>
  <c r="H428" i="1"/>
  <c r="D465" i="1"/>
  <c r="E465" i="1"/>
  <c r="F465" i="1"/>
  <c r="G465" i="1"/>
  <c r="H465" i="1"/>
  <c r="D489" i="1"/>
  <c r="E489" i="1"/>
  <c r="F489" i="1"/>
  <c r="G489" i="1"/>
  <c r="H489" i="1"/>
  <c r="D536" i="1"/>
  <c r="E536" i="1"/>
  <c r="F536" i="1"/>
  <c r="G536" i="1"/>
  <c r="H536" i="1"/>
  <c r="D682" i="1"/>
  <c r="E682" i="1"/>
  <c r="F682" i="1"/>
  <c r="G682" i="1"/>
  <c r="H682" i="1"/>
  <c r="D716" i="1"/>
  <c r="E716" i="1"/>
  <c r="F716" i="1"/>
  <c r="G716" i="1"/>
  <c r="H716" i="1"/>
  <c r="D759" i="1"/>
  <c r="E759" i="1"/>
  <c r="F759" i="1"/>
  <c r="G759" i="1"/>
  <c r="H759" i="1"/>
  <c r="D894" i="1"/>
  <c r="E894" i="1"/>
  <c r="F894" i="1"/>
  <c r="G894" i="1"/>
  <c r="H894" i="1"/>
  <c r="D282" i="1"/>
  <c r="E282" i="1"/>
  <c r="F282" i="1"/>
  <c r="G282" i="1"/>
  <c r="H282" i="1"/>
  <c r="D290" i="1"/>
  <c r="E290" i="1"/>
  <c r="F290" i="1"/>
  <c r="G290" i="1"/>
  <c r="H290" i="1"/>
  <c r="D309" i="1"/>
  <c r="E309" i="1"/>
  <c r="F309" i="1"/>
  <c r="G309" i="1"/>
  <c r="H309" i="1"/>
  <c r="D326" i="1"/>
  <c r="E326" i="1"/>
  <c r="F326" i="1"/>
  <c r="G326" i="1"/>
  <c r="H326" i="1"/>
  <c r="D853" i="1"/>
  <c r="E853" i="1"/>
  <c r="F853" i="1"/>
  <c r="G853" i="1"/>
  <c r="H853" i="1"/>
  <c r="D888" i="1"/>
  <c r="E888" i="1"/>
  <c r="F888" i="1"/>
  <c r="G888" i="1"/>
  <c r="H888" i="1"/>
  <c r="D429" i="1"/>
  <c r="E429" i="1"/>
  <c r="F429" i="1"/>
  <c r="G429" i="1"/>
  <c r="H429" i="1"/>
  <c r="D490" i="1"/>
  <c r="E490" i="1"/>
  <c r="F490" i="1"/>
  <c r="G490" i="1"/>
  <c r="H490" i="1"/>
  <c r="D146" i="1"/>
  <c r="E146" i="1"/>
  <c r="F146" i="1"/>
  <c r="G146" i="1"/>
  <c r="H146" i="1"/>
  <c r="D849" i="1"/>
  <c r="E849" i="1"/>
  <c r="F849" i="1"/>
  <c r="G849" i="1"/>
  <c r="H849" i="1"/>
  <c r="D672" i="1"/>
  <c r="E672" i="1"/>
  <c r="F672" i="1"/>
  <c r="G672" i="1"/>
  <c r="H672" i="1"/>
  <c r="D683" i="1"/>
  <c r="E683" i="1"/>
  <c r="F683" i="1"/>
  <c r="G683" i="1"/>
  <c r="H683" i="1"/>
  <c r="D248" i="1"/>
  <c r="E248" i="1"/>
  <c r="F248" i="1"/>
  <c r="G248" i="1"/>
  <c r="H248" i="1"/>
  <c r="D283" i="1"/>
  <c r="E283" i="1"/>
  <c r="F283" i="1"/>
  <c r="G283" i="1"/>
  <c r="H283" i="1"/>
  <c r="D645" i="1"/>
  <c r="E645" i="1"/>
  <c r="F645" i="1"/>
  <c r="G645" i="1"/>
  <c r="H645" i="1"/>
  <c r="D652" i="1"/>
  <c r="E652" i="1"/>
  <c r="F652" i="1"/>
  <c r="G652" i="1"/>
  <c r="H652" i="1"/>
  <c r="D666" i="1"/>
  <c r="E666" i="1"/>
  <c r="F666" i="1"/>
  <c r="G666" i="1"/>
  <c r="H666" i="1"/>
  <c r="D673" i="1"/>
  <c r="E673" i="1"/>
  <c r="F673" i="1"/>
  <c r="G673" i="1"/>
  <c r="H673" i="1"/>
  <c r="D882" i="1"/>
  <c r="E882" i="1"/>
  <c r="F882" i="1"/>
  <c r="G882" i="1"/>
  <c r="H882" i="1"/>
  <c r="D901" i="1"/>
  <c r="E901" i="1"/>
  <c r="F901" i="1"/>
  <c r="G901" i="1"/>
  <c r="H901" i="1"/>
  <c r="D876" i="1"/>
  <c r="E876" i="1"/>
  <c r="F876" i="1"/>
  <c r="G876" i="1"/>
  <c r="H876" i="1"/>
  <c r="D828" i="1"/>
  <c r="E828" i="1"/>
  <c r="F828" i="1"/>
  <c r="G828" i="1"/>
  <c r="H828" i="1"/>
  <c r="D473" i="1"/>
  <c r="E473" i="1"/>
  <c r="F473" i="1"/>
  <c r="G473" i="1"/>
  <c r="H473" i="1"/>
  <c r="D539" i="1"/>
  <c r="E539" i="1"/>
  <c r="F539" i="1"/>
  <c r="G539" i="1"/>
  <c r="H539" i="1"/>
  <c r="D573" i="1"/>
  <c r="E573" i="1"/>
  <c r="F573" i="1"/>
  <c r="G573" i="1"/>
  <c r="H573" i="1"/>
  <c r="D608" i="1"/>
  <c r="E608" i="1"/>
  <c r="F608" i="1"/>
  <c r="G608" i="1"/>
  <c r="H608" i="1"/>
  <c r="D593" i="1"/>
  <c r="E593" i="1"/>
  <c r="F593" i="1"/>
  <c r="G593" i="1"/>
  <c r="H593" i="1"/>
  <c r="D646" i="1"/>
  <c r="E646" i="1"/>
  <c r="F646" i="1"/>
  <c r="G646" i="1"/>
  <c r="H646" i="1"/>
  <c r="D664" i="1"/>
  <c r="E664" i="1"/>
  <c r="F664" i="1"/>
  <c r="G664" i="1"/>
  <c r="H664" i="1"/>
  <c r="D698" i="1"/>
  <c r="E698" i="1"/>
  <c r="F698" i="1"/>
  <c r="G698" i="1"/>
  <c r="H698" i="1"/>
  <c r="D214" i="1"/>
  <c r="E214" i="1"/>
  <c r="F214" i="1"/>
  <c r="G214" i="1"/>
  <c r="H214" i="1"/>
  <c r="D284" i="1"/>
  <c r="E284" i="1"/>
  <c r="F284" i="1"/>
  <c r="G284" i="1"/>
  <c r="H284" i="1"/>
  <c r="D310" i="1"/>
  <c r="E310" i="1"/>
  <c r="F310" i="1"/>
  <c r="G310" i="1"/>
  <c r="H310" i="1"/>
  <c r="D516" i="1"/>
  <c r="E516" i="1"/>
  <c r="F516" i="1"/>
  <c r="G516" i="1"/>
  <c r="H516" i="1"/>
  <c r="D87" i="1"/>
  <c r="E87" i="1"/>
  <c r="F87" i="1"/>
  <c r="G87" i="1"/>
  <c r="H87" i="1"/>
  <c r="D129" i="1"/>
  <c r="E129" i="1"/>
  <c r="F129" i="1"/>
  <c r="G129" i="1"/>
  <c r="H129" i="1"/>
  <c r="D28" i="1"/>
  <c r="E28" i="1"/>
  <c r="F28" i="1"/>
  <c r="G28" i="1"/>
  <c r="H28" i="1"/>
  <c r="D161" i="1"/>
  <c r="E161" i="1"/>
  <c r="F161" i="1"/>
  <c r="G161" i="1"/>
  <c r="H161" i="1"/>
  <c r="D29" i="1"/>
  <c r="E29" i="1"/>
  <c r="F29" i="1"/>
  <c r="G29" i="1"/>
  <c r="H29" i="1"/>
  <c r="D260" i="1"/>
  <c r="E260" i="1"/>
  <c r="F260" i="1"/>
  <c r="G260" i="1"/>
  <c r="H260" i="1"/>
  <c r="D291" i="1"/>
  <c r="E291" i="1"/>
  <c r="F291" i="1"/>
  <c r="G291" i="1"/>
  <c r="H291" i="1"/>
  <c r="D311" i="1"/>
  <c r="E311" i="1"/>
  <c r="F311" i="1"/>
  <c r="G311" i="1"/>
  <c r="H311" i="1"/>
  <c r="D868" i="1"/>
  <c r="E868" i="1"/>
  <c r="F868" i="1"/>
  <c r="G868" i="1"/>
  <c r="H868" i="1"/>
  <c r="D1009" i="1"/>
  <c r="E1009" i="1"/>
  <c r="F1009" i="1"/>
  <c r="G1009" i="1"/>
  <c r="H1009" i="1"/>
  <c r="D918" i="1"/>
  <c r="E918" i="1"/>
  <c r="F918" i="1"/>
  <c r="G918" i="1"/>
  <c r="H918" i="1"/>
  <c r="D943" i="1"/>
  <c r="E943" i="1"/>
  <c r="F943" i="1"/>
  <c r="G943" i="1"/>
  <c r="H943" i="1"/>
  <c r="D647" i="1"/>
  <c r="E647" i="1"/>
  <c r="F647" i="1"/>
  <c r="G647" i="1"/>
  <c r="H647" i="1"/>
  <c r="D663" i="1"/>
  <c r="E663" i="1"/>
  <c r="F663" i="1"/>
  <c r="G663" i="1"/>
  <c r="H663" i="1"/>
  <c r="D292" i="1"/>
  <c r="E292" i="1"/>
  <c r="F292" i="1"/>
  <c r="G292" i="1"/>
  <c r="H292" i="1"/>
  <c r="D327" i="1"/>
  <c r="E327" i="1"/>
  <c r="F327" i="1"/>
  <c r="G327" i="1"/>
  <c r="H327" i="1"/>
  <c r="D930" i="1"/>
  <c r="E930" i="1"/>
  <c r="F930" i="1"/>
  <c r="G930" i="1"/>
  <c r="H930" i="1"/>
  <c r="D463" i="1"/>
  <c r="E463" i="1"/>
  <c r="F463" i="1"/>
  <c r="G463" i="1"/>
  <c r="H463" i="1"/>
  <c r="D509" i="1"/>
  <c r="E509" i="1"/>
  <c r="F509" i="1"/>
  <c r="G509" i="1"/>
  <c r="H509" i="1"/>
  <c r="D594" i="1"/>
  <c r="E594" i="1"/>
  <c r="F594" i="1"/>
  <c r="G594" i="1"/>
  <c r="H594" i="1"/>
  <c r="D937" i="1"/>
  <c r="E937" i="1"/>
  <c r="F937" i="1"/>
  <c r="G937" i="1"/>
  <c r="H937" i="1"/>
  <c r="D52" i="1"/>
  <c r="E52" i="1"/>
  <c r="F52" i="1"/>
  <c r="G52" i="1"/>
  <c r="H52" i="1"/>
  <c r="D545" i="1"/>
  <c r="E545" i="1"/>
  <c r="F545" i="1"/>
  <c r="G545" i="1"/>
  <c r="H545" i="1"/>
  <c r="D558" i="1"/>
  <c r="E558" i="1"/>
  <c r="F558" i="1"/>
  <c r="G558" i="1"/>
  <c r="H558" i="1"/>
  <c r="D348" i="1"/>
  <c r="E348" i="1"/>
  <c r="F348" i="1"/>
  <c r="G348" i="1"/>
  <c r="H348" i="1"/>
  <c r="D367" i="1"/>
  <c r="E367" i="1"/>
  <c r="F367" i="1"/>
  <c r="G367" i="1"/>
  <c r="H367" i="1"/>
  <c r="D954" i="1"/>
  <c r="E954" i="1"/>
  <c r="F954" i="1"/>
  <c r="G954" i="1"/>
  <c r="H954" i="1"/>
  <c r="D962" i="1"/>
  <c r="E962" i="1"/>
  <c r="F962" i="1"/>
  <c r="G962" i="1"/>
  <c r="H962" i="1"/>
  <c r="D852" i="1"/>
  <c r="E852" i="1"/>
  <c r="F852" i="1"/>
  <c r="G852" i="1"/>
  <c r="H852" i="1"/>
  <c r="D889" i="1"/>
  <c r="E889" i="1"/>
  <c r="F889" i="1"/>
  <c r="G889" i="1"/>
  <c r="H889" i="1"/>
  <c r="D909" i="1"/>
  <c r="E909" i="1"/>
  <c r="F909" i="1"/>
  <c r="G909" i="1"/>
  <c r="H909" i="1"/>
  <c r="D926" i="1"/>
  <c r="E926" i="1"/>
  <c r="F926" i="1"/>
  <c r="G926" i="1"/>
  <c r="H926" i="1"/>
  <c r="D47" i="1"/>
  <c r="E47" i="1"/>
  <c r="F47" i="1"/>
  <c r="G47" i="1"/>
  <c r="H47" i="1"/>
  <c r="D130" i="1"/>
  <c r="E130" i="1"/>
  <c r="F130" i="1"/>
  <c r="G130" i="1"/>
  <c r="H130" i="1"/>
  <c r="D604" i="1"/>
  <c r="E604" i="1"/>
  <c r="F604" i="1"/>
  <c r="G604" i="1"/>
  <c r="H604" i="1"/>
  <c r="D203" i="1"/>
  <c r="E203" i="1"/>
  <c r="F203" i="1"/>
  <c r="G203" i="1"/>
  <c r="H203" i="1"/>
  <c r="D416" i="1"/>
  <c r="E416" i="1"/>
  <c r="F416" i="1"/>
  <c r="G416" i="1"/>
  <c r="H416" i="1"/>
  <c r="D863" i="1"/>
  <c r="E863" i="1"/>
  <c r="F863" i="1"/>
  <c r="G863" i="1"/>
  <c r="H863" i="1"/>
  <c r="D30" i="1"/>
  <c r="E30" i="1"/>
  <c r="F30" i="1"/>
  <c r="G30" i="1"/>
  <c r="H30" i="1"/>
  <c r="D795" i="1"/>
  <c r="E795" i="1"/>
  <c r="F795" i="1"/>
  <c r="G795" i="1"/>
  <c r="H795" i="1"/>
  <c r="D921" i="1"/>
  <c r="E921" i="1"/>
  <c r="F921" i="1"/>
  <c r="G921" i="1"/>
  <c r="H921" i="1"/>
  <c r="D207" i="1"/>
  <c r="E207" i="1"/>
  <c r="F207" i="1"/>
  <c r="G207" i="1"/>
  <c r="H207" i="1"/>
  <c r="D990" i="1"/>
  <c r="E990" i="1"/>
  <c r="F990" i="1"/>
  <c r="G990" i="1"/>
  <c r="H990" i="1"/>
  <c r="D97" i="1"/>
  <c r="E97" i="1"/>
  <c r="F97" i="1"/>
  <c r="G97" i="1"/>
  <c r="H97" i="1"/>
  <c r="D80" i="1"/>
  <c r="E80" i="1"/>
  <c r="F80" i="1"/>
  <c r="G80" i="1"/>
  <c r="H80" i="1"/>
  <c r="D58" i="1"/>
  <c r="E58" i="1"/>
  <c r="F58" i="1"/>
  <c r="G58" i="1"/>
  <c r="H58" i="1"/>
  <c r="D1016" i="1"/>
  <c r="E1016" i="1"/>
  <c r="F1016" i="1"/>
  <c r="G1016" i="1"/>
  <c r="H1016" i="1"/>
  <c r="D927" i="1"/>
  <c r="E927" i="1"/>
  <c r="F927" i="1"/>
  <c r="G927" i="1"/>
  <c r="H927" i="1"/>
  <c r="D162" i="1"/>
  <c r="E162" i="1"/>
  <c r="F162" i="1"/>
  <c r="G162" i="1"/>
  <c r="H162" i="1"/>
  <c r="D48" i="1"/>
  <c r="E48" i="1"/>
  <c r="F48" i="1"/>
  <c r="G48" i="1"/>
  <c r="H48" i="1"/>
  <c r="D256" i="1"/>
  <c r="E256" i="1"/>
  <c r="F256" i="1"/>
  <c r="G256" i="1"/>
  <c r="H256" i="1"/>
  <c r="D147" i="1"/>
  <c r="E147" i="1"/>
  <c r="F147" i="1"/>
  <c r="G147" i="1"/>
  <c r="H147" i="1"/>
  <c r="D41" i="1"/>
  <c r="E41" i="1"/>
  <c r="F41" i="1"/>
  <c r="G41" i="1"/>
  <c r="H41" i="1"/>
  <c r="D11" i="1"/>
  <c r="E11" i="1"/>
  <c r="F11" i="1"/>
  <c r="G11" i="1"/>
  <c r="H11" i="1"/>
  <c r="D293" i="1"/>
  <c r="E293" i="1"/>
  <c r="F293" i="1"/>
  <c r="G293" i="1"/>
  <c r="H293" i="1"/>
  <c r="D172" i="1"/>
  <c r="E172" i="1"/>
  <c r="F172" i="1"/>
  <c r="G172" i="1"/>
  <c r="H172" i="1"/>
  <c r="D105" i="1"/>
  <c r="E105" i="1"/>
  <c r="F105" i="1"/>
  <c r="G105" i="1"/>
  <c r="H105" i="1"/>
  <c r="D779" i="1"/>
  <c r="E779" i="1"/>
  <c r="F779" i="1"/>
  <c r="G779" i="1"/>
  <c r="H779" i="1"/>
  <c r="D285" i="1"/>
  <c r="E285" i="1"/>
  <c r="F285" i="1"/>
  <c r="G285" i="1"/>
  <c r="H285" i="1"/>
  <c r="D340" i="1"/>
  <c r="E340" i="1"/>
  <c r="F340" i="1"/>
  <c r="G340" i="1"/>
  <c r="H340" i="1"/>
  <c r="D42" i="1"/>
  <c r="E42" i="1"/>
  <c r="F42" i="1"/>
  <c r="G42" i="1"/>
  <c r="H42" i="1"/>
  <c r="D148" i="1"/>
  <c r="E148" i="1"/>
  <c r="F148" i="1"/>
  <c r="G148" i="1"/>
  <c r="H148" i="1"/>
  <c r="D835" i="1"/>
  <c r="E835" i="1"/>
  <c r="F835" i="1"/>
  <c r="G835" i="1"/>
  <c r="H835" i="1"/>
  <c r="D374" i="1"/>
  <c r="E374" i="1"/>
  <c r="F374" i="1"/>
  <c r="G374" i="1"/>
  <c r="H374" i="1"/>
  <c r="D298" i="1"/>
  <c r="E298" i="1"/>
  <c r="F298" i="1"/>
  <c r="G298" i="1"/>
  <c r="H298" i="1"/>
  <c r="D88" i="1"/>
  <c r="E88" i="1"/>
  <c r="F88" i="1"/>
  <c r="G88" i="1"/>
  <c r="H88" i="1"/>
  <c r="D808" i="1"/>
  <c r="E808" i="1"/>
  <c r="F808" i="1"/>
  <c r="G808" i="1"/>
  <c r="H808" i="1"/>
  <c r="D185" i="1"/>
  <c r="E185" i="1"/>
  <c r="F185" i="1"/>
  <c r="G185" i="1"/>
  <c r="H185" i="1"/>
  <c r="D845" i="1"/>
  <c r="E845" i="1"/>
  <c r="F845" i="1"/>
  <c r="G845" i="1"/>
  <c r="H845" i="1"/>
  <c r="D117" i="1"/>
  <c r="E117" i="1"/>
  <c r="F117" i="1"/>
  <c r="G117" i="1"/>
  <c r="H117" i="1"/>
  <c r="D18" i="1"/>
  <c r="E18" i="1"/>
  <c r="F18" i="1"/>
  <c r="G18" i="1"/>
  <c r="H18" i="1"/>
  <c r="D444" i="1"/>
  <c r="E444" i="1"/>
  <c r="F444" i="1"/>
  <c r="G444" i="1"/>
  <c r="H444" i="1"/>
  <c r="D217" i="1"/>
  <c r="E217" i="1"/>
  <c r="F217" i="1"/>
  <c r="G217" i="1"/>
  <c r="H217" i="1"/>
  <c r="D3" i="1"/>
  <c r="E3" i="1"/>
  <c r="F3" i="1"/>
  <c r="G3" i="1"/>
  <c r="H3" i="1"/>
  <c r="D89" i="1"/>
  <c r="E89" i="1"/>
  <c r="F89" i="1"/>
  <c r="G89" i="1"/>
  <c r="H89" i="1"/>
  <c r="D831" i="1"/>
  <c r="E831" i="1"/>
  <c r="F831" i="1"/>
  <c r="G831" i="1"/>
  <c r="H831" i="1"/>
  <c r="D357" i="1"/>
  <c r="E357" i="1"/>
  <c r="F357" i="1"/>
  <c r="G357" i="1"/>
  <c r="H357" i="1"/>
  <c r="D965" i="1"/>
  <c r="E965" i="1"/>
  <c r="F965" i="1"/>
  <c r="G965" i="1"/>
  <c r="H965" i="1"/>
  <c r="D63" i="1"/>
  <c r="E63" i="1"/>
  <c r="F63" i="1"/>
  <c r="G63" i="1"/>
  <c r="H63" i="1"/>
  <c r="D90" i="1"/>
  <c r="E90" i="1"/>
  <c r="F90" i="1"/>
  <c r="G90" i="1"/>
  <c r="H90" i="1"/>
  <c r="D946" i="1"/>
  <c r="E946" i="1"/>
  <c r="F946" i="1"/>
  <c r="G946" i="1"/>
  <c r="H946" i="1"/>
  <c r="D362" i="1"/>
  <c r="E362" i="1"/>
  <c r="F362" i="1"/>
  <c r="G362" i="1"/>
  <c r="H362" i="1"/>
  <c r="D243" i="1"/>
  <c r="E243" i="1"/>
  <c r="F243" i="1"/>
  <c r="G243" i="1"/>
  <c r="H243" i="1"/>
  <c r="D118" i="1"/>
  <c r="E118" i="1"/>
  <c r="F118" i="1"/>
  <c r="G118" i="1"/>
  <c r="H118" i="1"/>
  <c r="D149" i="1"/>
  <c r="E149" i="1"/>
  <c r="F149" i="1"/>
  <c r="G149" i="1"/>
  <c r="H149" i="1"/>
  <c r="D979" i="1"/>
  <c r="E979" i="1"/>
  <c r="F979" i="1"/>
  <c r="G979" i="1"/>
  <c r="H979" i="1"/>
  <c r="D385" i="1"/>
  <c r="E385" i="1"/>
  <c r="F385" i="1"/>
  <c r="G385" i="1"/>
  <c r="H385" i="1"/>
  <c r="D272" i="1"/>
  <c r="E272" i="1"/>
  <c r="F272" i="1"/>
  <c r="G272" i="1"/>
  <c r="H272" i="1"/>
  <c r="D827" i="1"/>
  <c r="E827" i="1"/>
  <c r="F827" i="1"/>
  <c r="G827" i="1"/>
  <c r="H827" i="1"/>
  <c r="D173" i="1"/>
  <c r="E173" i="1"/>
  <c r="F173" i="1"/>
  <c r="G173" i="1"/>
  <c r="H173" i="1"/>
  <c r="D609" i="1"/>
  <c r="E609" i="1"/>
  <c r="F609" i="1"/>
  <c r="G609" i="1"/>
  <c r="H609" i="1"/>
  <c r="D417" i="1"/>
  <c r="E417" i="1"/>
  <c r="F417" i="1"/>
  <c r="G417" i="1"/>
  <c r="H417" i="1"/>
  <c r="D312" i="1"/>
  <c r="E312" i="1"/>
  <c r="F312" i="1"/>
  <c r="G312" i="1"/>
  <c r="H312" i="1"/>
  <c r="D826" i="1"/>
  <c r="E826" i="1"/>
  <c r="F826" i="1"/>
  <c r="G826" i="1"/>
  <c r="H826" i="1"/>
  <c r="D748" i="1"/>
  <c r="E748" i="1"/>
  <c r="F748" i="1"/>
  <c r="G748" i="1"/>
  <c r="H748" i="1"/>
  <c r="D457" i="1"/>
  <c r="E457" i="1"/>
  <c r="F457" i="1"/>
  <c r="G457" i="1"/>
  <c r="H457" i="1"/>
  <c r="D345" i="1"/>
  <c r="E345" i="1"/>
  <c r="F345" i="1"/>
  <c r="G345" i="1"/>
  <c r="H345" i="1"/>
  <c r="D131" i="1"/>
  <c r="E131" i="1"/>
  <c r="F131" i="1"/>
  <c r="G131" i="1"/>
  <c r="H131" i="1"/>
  <c r="D916" i="1"/>
  <c r="E916" i="1"/>
  <c r="F916" i="1"/>
  <c r="G916" i="1"/>
  <c r="H916" i="1"/>
  <c r="D760" i="1"/>
  <c r="E760" i="1"/>
  <c r="F760" i="1"/>
  <c r="G760" i="1"/>
  <c r="H760" i="1"/>
  <c r="D491" i="1"/>
  <c r="E491" i="1"/>
  <c r="F491" i="1"/>
  <c r="G491" i="1"/>
  <c r="H491" i="1"/>
  <c r="D386" i="1"/>
  <c r="E386" i="1"/>
  <c r="F386" i="1"/>
  <c r="G386" i="1"/>
  <c r="H386" i="1"/>
  <c r="D150" i="1"/>
  <c r="E150" i="1"/>
  <c r="F150" i="1"/>
  <c r="G150" i="1"/>
  <c r="H150" i="1"/>
  <c r="D775" i="1"/>
  <c r="E775" i="1"/>
  <c r="F775" i="1"/>
  <c r="G775" i="1"/>
  <c r="H775" i="1"/>
  <c r="D492" i="1"/>
  <c r="E492" i="1"/>
  <c r="F492" i="1"/>
  <c r="G492" i="1"/>
  <c r="H492" i="1"/>
  <c r="D938" i="1"/>
  <c r="E938" i="1"/>
  <c r="F938" i="1"/>
  <c r="G938" i="1"/>
  <c r="H938" i="1"/>
  <c r="D403" i="1"/>
  <c r="E403" i="1"/>
  <c r="F403" i="1"/>
  <c r="G403" i="1"/>
  <c r="H403" i="1"/>
  <c r="D151" i="1"/>
  <c r="E151" i="1"/>
  <c r="F151" i="1"/>
  <c r="G151" i="1"/>
  <c r="H151" i="1"/>
  <c r="D782" i="1"/>
  <c r="E782" i="1"/>
  <c r="F782" i="1"/>
  <c r="G782" i="1"/>
  <c r="H782" i="1"/>
  <c r="D525" i="1"/>
  <c r="E525" i="1"/>
  <c r="F525" i="1"/>
  <c r="G525" i="1"/>
  <c r="H525" i="1"/>
  <c r="D684" i="1"/>
  <c r="E684" i="1"/>
  <c r="F684" i="1"/>
  <c r="G684" i="1"/>
  <c r="H684" i="1"/>
  <c r="D430" i="1"/>
  <c r="E430" i="1"/>
  <c r="F430" i="1"/>
  <c r="G430" i="1"/>
  <c r="H430" i="1"/>
  <c r="D163" i="1"/>
  <c r="E163" i="1"/>
  <c r="F163" i="1"/>
  <c r="G163" i="1"/>
  <c r="H163" i="1"/>
  <c r="D254" i="1"/>
  <c r="E254" i="1"/>
  <c r="F254" i="1"/>
  <c r="G254" i="1"/>
  <c r="H254" i="1"/>
  <c r="D119" i="1"/>
  <c r="E119" i="1"/>
  <c r="F119" i="1"/>
  <c r="G119" i="1"/>
  <c r="H119" i="1"/>
  <c r="D701" i="1"/>
  <c r="E701" i="1"/>
  <c r="F701" i="1"/>
  <c r="G701" i="1"/>
  <c r="H701" i="1"/>
  <c r="D976" i="1"/>
  <c r="E976" i="1"/>
  <c r="F976" i="1"/>
  <c r="G976" i="1"/>
  <c r="H976" i="1"/>
  <c r="D712" i="1"/>
  <c r="E712" i="1"/>
  <c r="F712" i="1"/>
  <c r="G712" i="1"/>
  <c r="H712" i="1"/>
  <c r="D263" i="1"/>
  <c r="E263" i="1"/>
  <c r="F263" i="1"/>
  <c r="G263" i="1"/>
  <c r="H263" i="1"/>
  <c r="D204" i="1"/>
  <c r="E204" i="1"/>
  <c r="F204" i="1"/>
  <c r="G204" i="1"/>
  <c r="H204" i="1"/>
  <c r="D717" i="1"/>
  <c r="E717" i="1"/>
  <c r="F717" i="1"/>
  <c r="G717" i="1"/>
  <c r="H717" i="1"/>
  <c r="D577" i="1"/>
  <c r="E577" i="1"/>
  <c r="F577" i="1"/>
  <c r="G577" i="1"/>
  <c r="H577" i="1"/>
  <c r="D734" i="1"/>
  <c r="E734" i="1"/>
  <c r="F734" i="1"/>
  <c r="G734" i="1"/>
  <c r="H734" i="1"/>
  <c r="D286" i="1"/>
  <c r="E286" i="1"/>
  <c r="F286" i="1"/>
  <c r="G286" i="1"/>
  <c r="H286" i="1"/>
  <c r="D685" i="1"/>
  <c r="E685" i="1"/>
  <c r="F685" i="1"/>
  <c r="G685" i="1"/>
  <c r="H685" i="1"/>
  <c r="D739" i="1"/>
  <c r="E739" i="1"/>
  <c r="F739" i="1"/>
  <c r="G739" i="1"/>
  <c r="H739" i="1"/>
  <c r="D603" i="1"/>
  <c r="E603" i="1"/>
  <c r="F603" i="1"/>
  <c r="G603" i="1"/>
  <c r="H603" i="1"/>
  <c r="D749" i="1"/>
  <c r="E749" i="1"/>
  <c r="F749" i="1"/>
  <c r="G749" i="1"/>
  <c r="H749" i="1"/>
  <c r="D466" i="1"/>
  <c r="E466" i="1"/>
  <c r="F466" i="1"/>
  <c r="G466" i="1"/>
  <c r="H466" i="1"/>
  <c r="D653" i="1"/>
  <c r="E653" i="1"/>
  <c r="F653" i="1"/>
  <c r="G653" i="1"/>
  <c r="H653" i="1"/>
  <c r="D404" i="1"/>
  <c r="E404" i="1"/>
  <c r="F404" i="1"/>
  <c r="G404" i="1"/>
  <c r="H404" i="1"/>
  <c r="D776" i="1"/>
  <c r="E776" i="1"/>
  <c r="F776" i="1"/>
  <c r="G776" i="1"/>
  <c r="H776" i="1"/>
  <c r="D600" i="1"/>
  <c r="E600" i="1"/>
  <c r="F600" i="1"/>
  <c r="G600" i="1"/>
  <c r="H600" i="1"/>
  <c r="D411" i="1"/>
  <c r="E411" i="1"/>
  <c r="F411" i="1"/>
  <c r="G411" i="1"/>
  <c r="H411" i="1"/>
  <c r="D431" i="1"/>
  <c r="E431" i="1"/>
  <c r="F431" i="1"/>
  <c r="G431" i="1"/>
  <c r="H431" i="1"/>
  <c r="D441" i="1"/>
  <c r="E441" i="1"/>
  <c r="F441" i="1"/>
  <c r="G441" i="1"/>
  <c r="H441" i="1"/>
  <c r="D493" i="1"/>
  <c r="E493" i="1"/>
  <c r="F493" i="1"/>
  <c r="G493" i="1"/>
  <c r="H493" i="1"/>
  <c r="D706" i="1"/>
  <c r="E706" i="1"/>
  <c r="F706" i="1"/>
  <c r="G706" i="1"/>
  <c r="H706" i="1"/>
  <c r="D313" i="1"/>
  <c r="E313" i="1"/>
  <c r="F313" i="1"/>
  <c r="G313" i="1"/>
  <c r="H313" i="1"/>
  <c r="D903" i="1"/>
  <c r="E903" i="1"/>
  <c r="F903" i="1"/>
  <c r="G903" i="1"/>
  <c r="H903" i="1"/>
  <c r="D546" i="1"/>
  <c r="E546" i="1"/>
  <c r="F546" i="1"/>
  <c r="G546" i="1"/>
  <c r="H546" i="1"/>
  <c r="D713" i="1"/>
  <c r="E713" i="1"/>
  <c r="F713" i="1"/>
  <c r="G713" i="1"/>
  <c r="H713" i="1"/>
  <c r="D350" i="1"/>
  <c r="E350" i="1"/>
  <c r="F350" i="1"/>
  <c r="G350" i="1"/>
  <c r="H350" i="1"/>
  <c r="D924" i="1"/>
  <c r="E924" i="1"/>
  <c r="F924" i="1"/>
  <c r="G924" i="1"/>
  <c r="H924" i="1"/>
  <c r="D581" i="1"/>
  <c r="E581" i="1"/>
  <c r="F581" i="1"/>
  <c r="G581" i="1"/>
  <c r="H581" i="1"/>
  <c r="D724" i="1"/>
  <c r="E724" i="1"/>
  <c r="F724" i="1"/>
  <c r="G724" i="1"/>
  <c r="H724" i="1"/>
  <c r="D351" i="1"/>
  <c r="E351" i="1"/>
  <c r="F351" i="1"/>
  <c r="G351" i="1"/>
  <c r="H351" i="1"/>
  <c r="D693" i="1"/>
  <c r="E693" i="1"/>
  <c r="F693" i="1"/>
  <c r="G693" i="1"/>
  <c r="H693" i="1"/>
  <c r="D617" i="1"/>
  <c r="E617" i="1"/>
  <c r="F617" i="1"/>
  <c r="G617" i="1"/>
  <c r="H617" i="1"/>
  <c r="D725" i="1"/>
  <c r="E725" i="1"/>
  <c r="F725" i="1"/>
  <c r="G725" i="1"/>
  <c r="H725" i="1"/>
  <c r="D387" i="1"/>
  <c r="E387" i="1"/>
  <c r="F387" i="1"/>
  <c r="G387" i="1"/>
  <c r="H387" i="1"/>
  <c r="D702" i="1"/>
  <c r="E702" i="1"/>
  <c r="F702" i="1"/>
  <c r="G702" i="1"/>
  <c r="H702" i="1"/>
  <c r="D445" i="1"/>
  <c r="E445" i="1"/>
  <c r="F445" i="1"/>
  <c r="G445" i="1"/>
  <c r="H445" i="1"/>
  <c r="D595" i="1"/>
  <c r="E595" i="1"/>
  <c r="F595" i="1"/>
  <c r="G595" i="1"/>
  <c r="H595" i="1"/>
  <c r="D388" i="1"/>
  <c r="E388" i="1"/>
  <c r="F388" i="1"/>
  <c r="G388" i="1"/>
  <c r="H388" i="1"/>
  <c r="D467" i="1"/>
  <c r="E467" i="1"/>
  <c r="F467" i="1"/>
  <c r="G467" i="1"/>
  <c r="H467" i="1"/>
  <c r="D629" i="1"/>
  <c r="E629" i="1"/>
  <c r="F629" i="1"/>
  <c r="G629" i="1"/>
  <c r="H629" i="1"/>
  <c r="D1008" i="1"/>
  <c r="E1008" i="1"/>
  <c r="F1008" i="1"/>
  <c r="G1008" i="1"/>
  <c r="H1008" i="1"/>
  <c r="D412" i="1"/>
  <c r="E412" i="1"/>
  <c r="F412" i="1"/>
  <c r="G412" i="1"/>
  <c r="H412" i="1"/>
  <c r="D9" i="1"/>
  <c r="E9" i="1"/>
  <c r="F9" i="1"/>
  <c r="G9" i="1"/>
  <c r="H9" i="1"/>
  <c r="D494" i="1"/>
  <c r="E494" i="1"/>
  <c r="F494" i="1"/>
  <c r="G494" i="1"/>
  <c r="H494" i="1"/>
  <c r="D679" i="1"/>
  <c r="E679" i="1"/>
  <c r="F679" i="1"/>
  <c r="G679" i="1"/>
  <c r="H679" i="1"/>
  <c r="D413" i="1"/>
  <c r="E413" i="1"/>
  <c r="F413" i="1"/>
  <c r="G413" i="1"/>
  <c r="H413" i="1"/>
  <c r="D951" i="1"/>
  <c r="E951" i="1"/>
  <c r="F951" i="1"/>
  <c r="G951" i="1"/>
  <c r="H951" i="1"/>
  <c r="D547" i="1"/>
  <c r="E547" i="1"/>
  <c r="F547" i="1"/>
  <c r="G547" i="1"/>
  <c r="H547" i="1"/>
  <c r="D714" i="1"/>
  <c r="E714" i="1"/>
  <c r="F714" i="1"/>
  <c r="G714" i="1"/>
  <c r="H714" i="1"/>
  <c r="D450" i="1"/>
  <c r="E450" i="1"/>
  <c r="F450" i="1"/>
  <c r="G450" i="1"/>
  <c r="H450" i="1"/>
  <c r="D972" i="1"/>
  <c r="E972" i="1"/>
  <c r="F972" i="1"/>
  <c r="G972" i="1"/>
  <c r="H972" i="1"/>
  <c r="D582" i="1"/>
  <c r="E582" i="1"/>
  <c r="F582" i="1"/>
  <c r="G582" i="1"/>
  <c r="H582" i="1"/>
  <c r="D559" i="1"/>
  <c r="E559" i="1"/>
  <c r="F559" i="1"/>
  <c r="G559" i="1"/>
  <c r="H559" i="1"/>
  <c r="D859" i="1"/>
  <c r="E859" i="1"/>
  <c r="F859" i="1"/>
  <c r="G859" i="1"/>
  <c r="H859" i="1"/>
  <c r="D884" i="1"/>
  <c r="E884" i="1"/>
  <c r="F884" i="1"/>
  <c r="G884" i="1"/>
  <c r="H884" i="1"/>
  <c r="D389" i="1"/>
  <c r="E389" i="1"/>
  <c r="F389" i="1"/>
  <c r="G389" i="1"/>
  <c r="H389" i="1"/>
  <c r="D598" i="1"/>
  <c r="E598" i="1"/>
  <c r="F598" i="1"/>
  <c r="G598" i="1"/>
  <c r="H598" i="1"/>
  <c r="D993" i="1"/>
  <c r="E993" i="1"/>
  <c r="F993" i="1"/>
  <c r="G993" i="1"/>
  <c r="H993" i="1"/>
  <c r="D981" i="1"/>
  <c r="E981" i="1"/>
  <c r="F981" i="1"/>
  <c r="G981" i="1"/>
  <c r="H981" i="1"/>
  <c r="D258" i="1"/>
  <c r="E258" i="1"/>
  <c r="F258" i="1"/>
  <c r="G258" i="1"/>
  <c r="H258" i="1"/>
  <c r="D630" i="1"/>
  <c r="E630" i="1"/>
  <c r="F630" i="1"/>
  <c r="G630" i="1"/>
  <c r="H630" i="1"/>
  <c r="D287" i="1"/>
  <c r="E287" i="1"/>
  <c r="F287" i="1"/>
  <c r="G287" i="1"/>
  <c r="H287" i="1"/>
  <c r="D839" i="1"/>
  <c r="E839" i="1"/>
  <c r="F839" i="1"/>
  <c r="G839" i="1"/>
  <c r="H839" i="1"/>
  <c r="D432" i="1"/>
  <c r="E432" i="1"/>
  <c r="F432" i="1"/>
  <c r="G432" i="1"/>
  <c r="H432" i="1"/>
  <c r="D654" i="1"/>
  <c r="E654" i="1"/>
  <c r="F654" i="1"/>
  <c r="G654" i="1"/>
  <c r="H654" i="1"/>
  <c r="D314" i="1"/>
  <c r="E314" i="1"/>
  <c r="F314" i="1"/>
  <c r="G314" i="1"/>
  <c r="H314" i="1"/>
  <c r="D540" i="1"/>
  <c r="E540" i="1"/>
  <c r="F540" i="1"/>
  <c r="G540" i="1"/>
  <c r="H540" i="1"/>
  <c r="D998" i="1"/>
  <c r="E998" i="1"/>
  <c r="F998" i="1"/>
  <c r="G998" i="1"/>
  <c r="H998" i="1"/>
  <c r="D881" i="1"/>
  <c r="E881" i="1"/>
  <c r="F881" i="1"/>
  <c r="G881" i="1"/>
  <c r="H881" i="1"/>
  <c r="D405" i="1"/>
  <c r="E405" i="1"/>
  <c r="F405" i="1"/>
  <c r="G405" i="1"/>
  <c r="H405" i="1"/>
  <c r="D560" i="1"/>
  <c r="E560" i="1"/>
  <c r="F560" i="1"/>
  <c r="G560" i="1"/>
  <c r="H560" i="1"/>
  <c r="D1012" i="1"/>
  <c r="E1012" i="1"/>
  <c r="F1012" i="1"/>
  <c r="G1012" i="1"/>
  <c r="H1012" i="1"/>
  <c r="D902" i="1"/>
  <c r="E902" i="1"/>
  <c r="F902" i="1"/>
  <c r="G902" i="1"/>
  <c r="H902" i="1"/>
  <c r="D823" i="1"/>
  <c r="E823" i="1"/>
  <c r="F823" i="1"/>
  <c r="G823" i="1"/>
  <c r="H823" i="1"/>
  <c r="D442" i="1"/>
  <c r="E442" i="1"/>
  <c r="F442" i="1"/>
  <c r="G442" i="1"/>
  <c r="H442" i="1"/>
  <c r="D917" i="1"/>
  <c r="E917" i="1"/>
  <c r="F917" i="1"/>
  <c r="G917" i="1"/>
  <c r="H917" i="1"/>
  <c r="D64" i="1"/>
  <c r="E64" i="1"/>
  <c r="F64" i="1"/>
  <c r="G64" i="1"/>
  <c r="H64" i="1"/>
  <c r="D878" i="1"/>
  <c r="E878" i="1"/>
  <c r="F878" i="1"/>
  <c r="G878" i="1"/>
  <c r="H878" i="1"/>
  <c r="D893" i="1"/>
  <c r="E893" i="1"/>
  <c r="F893" i="1"/>
  <c r="G893" i="1"/>
  <c r="H893" i="1"/>
  <c r="D495" i="1"/>
  <c r="E495" i="1"/>
  <c r="F495" i="1"/>
  <c r="G495" i="1"/>
  <c r="H495" i="1"/>
  <c r="D152" i="1"/>
  <c r="E152" i="1"/>
  <c r="F152" i="1"/>
  <c r="G152" i="1"/>
  <c r="H152" i="1"/>
  <c r="D973" i="1"/>
  <c r="E973" i="1"/>
  <c r="F973" i="1"/>
  <c r="G973" i="1"/>
  <c r="H973" i="1"/>
  <c r="D694" i="1"/>
  <c r="E694" i="1"/>
  <c r="F694" i="1"/>
  <c r="G694" i="1"/>
  <c r="H694" i="1"/>
  <c r="D548" i="1"/>
  <c r="E548" i="1"/>
  <c r="F548" i="1"/>
  <c r="G548" i="1"/>
  <c r="H548" i="1"/>
  <c r="D788" i="1"/>
  <c r="E788" i="1"/>
  <c r="F788" i="1"/>
  <c r="G788" i="1"/>
  <c r="H788" i="1"/>
  <c r="D1003" i="1"/>
  <c r="E1003" i="1"/>
  <c r="F1003" i="1"/>
  <c r="G1003" i="1"/>
  <c r="H1003" i="1"/>
  <c r="D735" i="1"/>
  <c r="E735" i="1"/>
  <c r="F735" i="1"/>
  <c r="G735" i="1"/>
  <c r="H735" i="1"/>
  <c r="D225" i="1"/>
  <c r="E225" i="1"/>
  <c r="F225" i="1"/>
  <c r="G225" i="1"/>
  <c r="H225" i="1"/>
  <c r="D870" i="1"/>
  <c r="E870" i="1"/>
  <c r="F870" i="1"/>
  <c r="G870" i="1"/>
  <c r="H870" i="1"/>
  <c r="D390" i="1"/>
  <c r="E390" i="1"/>
  <c r="F390" i="1"/>
  <c r="G390" i="1"/>
  <c r="H390" i="1"/>
  <c r="D812" i="1"/>
  <c r="E812" i="1"/>
  <c r="F812" i="1"/>
  <c r="G812" i="1"/>
  <c r="H812" i="1"/>
  <c r="D19" i="1"/>
  <c r="E19" i="1"/>
  <c r="F19" i="1"/>
  <c r="G19" i="1"/>
  <c r="H19" i="1"/>
  <c r="D940" i="1"/>
  <c r="E940" i="1"/>
  <c r="F940" i="1"/>
  <c r="G940" i="1"/>
  <c r="H940" i="1"/>
  <c r="D886" i="1"/>
  <c r="E886" i="1"/>
  <c r="F886" i="1"/>
  <c r="G886" i="1"/>
  <c r="H886" i="1"/>
  <c r="D315" i="1"/>
  <c r="E315" i="1"/>
  <c r="F315" i="1"/>
  <c r="G315" i="1"/>
  <c r="H315" i="1"/>
  <c r="D453" i="1"/>
  <c r="E453" i="1"/>
  <c r="F453" i="1"/>
  <c r="G453" i="1"/>
  <c r="H453" i="1"/>
  <c r="D266" i="1"/>
  <c r="E266" i="1"/>
  <c r="F266" i="1"/>
  <c r="G266" i="1"/>
  <c r="H266" i="1"/>
  <c r="D49" i="1"/>
  <c r="E49" i="1"/>
  <c r="F49" i="1"/>
  <c r="G49" i="1"/>
  <c r="H49" i="1"/>
  <c r="D890" i="1"/>
  <c r="E890" i="1"/>
  <c r="F890" i="1"/>
  <c r="G890" i="1"/>
  <c r="H890" i="1"/>
  <c r="D541" i="1"/>
  <c r="E541" i="1"/>
  <c r="F541" i="1"/>
  <c r="G541" i="1"/>
  <c r="H541" i="1"/>
  <c r="D526" i="1"/>
  <c r="E526" i="1"/>
  <c r="F526" i="1"/>
  <c r="G526" i="1"/>
  <c r="H526" i="1"/>
  <c r="D81" i="1"/>
  <c r="E81" i="1"/>
  <c r="F81" i="1"/>
  <c r="G81" i="1"/>
  <c r="H81" i="1"/>
  <c r="D132" i="1"/>
  <c r="E132" i="1"/>
  <c r="F132" i="1"/>
  <c r="G132" i="1"/>
  <c r="H132" i="1"/>
  <c r="D496" i="1"/>
  <c r="E496" i="1"/>
  <c r="F496" i="1"/>
  <c r="G496" i="1"/>
  <c r="H496" i="1"/>
  <c r="D527" i="1"/>
  <c r="E527" i="1"/>
  <c r="F527" i="1"/>
  <c r="G527" i="1"/>
  <c r="H527" i="1"/>
  <c r="D250" i="1"/>
  <c r="E250" i="1"/>
  <c r="F250" i="1"/>
  <c r="G250" i="1"/>
  <c r="H250" i="1"/>
  <c r="D270" i="1"/>
  <c r="E270" i="1"/>
  <c r="F270" i="1"/>
  <c r="G270" i="1"/>
  <c r="H270" i="1"/>
  <c r="D335" i="1"/>
  <c r="E335" i="1"/>
  <c r="F335" i="1"/>
  <c r="G335" i="1"/>
  <c r="H335" i="1"/>
  <c r="D549" i="1"/>
  <c r="E549" i="1"/>
  <c r="F549" i="1"/>
  <c r="G549" i="1"/>
  <c r="H549" i="1"/>
  <c r="D1006" i="1"/>
  <c r="E1006" i="1"/>
  <c r="F1006" i="1"/>
  <c r="G1006" i="1"/>
  <c r="H1006" i="1"/>
  <c r="D43" i="1"/>
  <c r="E43" i="1"/>
  <c r="F43" i="1"/>
  <c r="G43" i="1"/>
  <c r="H43" i="1"/>
  <c r="D91" i="1"/>
  <c r="E91" i="1"/>
  <c r="F91" i="1"/>
  <c r="G91" i="1"/>
  <c r="H91" i="1"/>
  <c r="D40" i="1"/>
  <c r="E40" i="1"/>
  <c r="F40" i="1"/>
  <c r="G40" i="1"/>
  <c r="H40" i="1"/>
  <c r="D31" i="1"/>
  <c r="E31" i="1"/>
  <c r="F31" i="1"/>
  <c r="G31" i="1"/>
  <c r="H31" i="1"/>
  <c r="D174" i="1"/>
  <c r="E174" i="1"/>
  <c r="F174" i="1"/>
  <c r="G174" i="1"/>
  <c r="H174" i="1"/>
  <c r="D218" i="1"/>
  <c r="E218" i="1"/>
  <c r="F218" i="1"/>
  <c r="G218" i="1"/>
  <c r="H218" i="1"/>
  <c r="D341" i="1"/>
  <c r="E341" i="1"/>
  <c r="F341" i="1"/>
  <c r="G341" i="1"/>
  <c r="H341" i="1"/>
  <c r="D452" i="1"/>
  <c r="E452" i="1"/>
  <c r="F452" i="1"/>
  <c r="G452" i="1"/>
  <c r="H452" i="1"/>
  <c r="D497" i="1"/>
  <c r="E497" i="1"/>
  <c r="F497" i="1"/>
  <c r="G497" i="1"/>
  <c r="H497" i="1"/>
  <c r="D528" i="1"/>
  <c r="E528" i="1"/>
  <c r="F528" i="1"/>
  <c r="G528" i="1"/>
  <c r="H528" i="1"/>
  <c r="D561" i="1"/>
  <c r="E561" i="1"/>
  <c r="F561" i="1"/>
  <c r="G561" i="1"/>
  <c r="H561" i="1"/>
  <c r="D655" i="1"/>
  <c r="E655" i="1"/>
  <c r="F655" i="1"/>
  <c r="G655" i="1"/>
  <c r="H655" i="1"/>
  <c r="D686" i="1"/>
  <c r="E686" i="1"/>
  <c r="F686" i="1"/>
  <c r="G686" i="1"/>
  <c r="H686" i="1"/>
  <c r="D726" i="1"/>
  <c r="E726" i="1"/>
  <c r="F726" i="1"/>
  <c r="G726" i="1"/>
  <c r="H726" i="1"/>
  <c r="D761" i="1"/>
  <c r="E761" i="1"/>
  <c r="F761" i="1"/>
  <c r="G761" i="1"/>
  <c r="H761" i="1"/>
  <c r="D578" i="1"/>
  <c r="E578" i="1"/>
  <c r="F578" i="1"/>
  <c r="G578" i="1"/>
  <c r="H578" i="1"/>
  <c r="D605" i="1"/>
  <c r="E605" i="1"/>
  <c r="F605" i="1"/>
  <c r="G605" i="1"/>
  <c r="H605" i="1"/>
  <c r="D796" i="1"/>
  <c r="E796" i="1"/>
  <c r="F796" i="1"/>
  <c r="G796" i="1"/>
  <c r="H796" i="1"/>
  <c r="D829" i="1"/>
  <c r="E829" i="1"/>
  <c r="F829" i="1"/>
  <c r="G829" i="1"/>
  <c r="H829" i="1"/>
  <c r="D433" i="1"/>
  <c r="E433" i="1"/>
  <c r="F433" i="1"/>
  <c r="G433" i="1"/>
  <c r="H433" i="1"/>
  <c r="D464" i="1"/>
  <c r="E464" i="1"/>
  <c r="F464" i="1"/>
  <c r="G464" i="1"/>
  <c r="H464" i="1"/>
  <c r="D498" i="1"/>
  <c r="E498" i="1"/>
  <c r="F498" i="1"/>
  <c r="G498" i="1"/>
  <c r="H498" i="1"/>
  <c r="D550" i="1"/>
  <c r="E550" i="1"/>
  <c r="F550" i="1"/>
  <c r="G550" i="1"/>
  <c r="H550" i="1"/>
  <c r="D874" i="1"/>
  <c r="E874" i="1"/>
  <c r="F874" i="1"/>
  <c r="G874" i="1"/>
  <c r="H874" i="1"/>
  <c r="D32" i="1"/>
  <c r="E32" i="1"/>
  <c r="F32" i="1"/>
  <c r="G32" i="1"/>
  <c r="H32" i="1"/>
  <c r="D92" i="1"/>
  <c r="E92" i="1"/>
  <c r="F92" i="1"/>
  <c r="G92" i="1"/>
  <c r="H92" i="1"/>
  <c r="D120" i="1"/>
  <c r="E120" i="1"/>
  <c r="F120" i="1"/>
  <c r="G120" i="1"/>
  <c r="H120" i="1"/>
  <c r="D33" i="1"/>
  <c r="E33" i="1"/>
  <c r="F33" i="1"/>
  <c r="G33" i="1"/>
  <c r="H33" i="1"/>
  <c r="D871" i="1"/>
  <c r="E871" i="1"/>
  <c r="F871" i="1"/>
  <c r="G871" i="1"/>
  <c r="H871" i="1"/>
  <c r="D891" i="1"/>
  <c r="E891" i="1"/>
  <c r="F891" i="1"/>
  <c r="G891" i="1"/>
  <c r="H891" i="1"/>
  <c r="D830" i="1"/>
  <c r="E830" i="1"/>
  <c r="F830" i="1"/>
  <c r="G830" i="1"/>
  <c r="H830" i="1"/>
  <c r="D661" i="1"/>
  <c r="E661" i="1"/>
  <c r="F661" i="1"/>
  <c r="G661" i="1"/>
  <c r="H661" i="1"/>
  <c r="D687" i="1"/>
  <c r="E687" i="1"/>
  <c r="F687" i="1"/>
  <c r="G687" i="1"/>
  <c r="H687" i="1"/>
  <c r="D727" i="1"/>
  <c r="E727" i="1"/>
  <c r="F727" i="1"/>
  <c r="G727" i="1"/>
  <c r="H727" i="1"/>
  <c r="D750" i="1"/>
  <c r="E750" i="1"/>
  <c r="F750" i="1"/>
  <c r="G750" i="1"/>
  <c r="H750" i="1"/>
  <c r="D474" i="1"/>
  <c r="E474" i="1"/>
  <c r="F474" i="1"/>
  <c r="G474" i="1"/>
  <c r="H474" i="1"/>
  <c r="D499" i="1"/>
  <c r="E499" i="1"/>
  <c r="F499" i="1"/>
  <c r="G499" i="1"/>
  <c r="H499" i="1"/>
  <c r="D510" i="1"/>
  <c r="E510" i="1"/>
  <c r="F510" i="1"/>
  <c r="G510" i="1"/>
  <c r="H510" i="1"/>
  <c r="D511" i="1"/>
  <c r="E511" i="1"/>
  <c r="F511" i="1"/>
  <c r="G511" i="1"/>
  <c r="H511" i="1"/>
  <c r="D238" i="1"/>
  <c r="E238" i="1"/>
  <c r="F238" i="1"/>
  <c r="G238" i="1"/>
  <c r="H238" i="1"/>
  <c r="D406" i="1"/>
  <c r="E406" i="1"/>
  <c r="F406" i="1"/>
  <c r="G406" i="1"/>
  <c r="H406" i="1"/>
  <c r="D44" i="1"/>
  <c r="E44" i="1"/>
  <c r="F44" i="1"/>
  <c r="G44" i="1"/>
  <c r="H44" i="1"/>
  <c r="D265" i="1"/>
  <c r="E265" i="1"/>
  <c r="F265" i="1"/>
  <c r="G265" i="1"/>
  <c r="H265" i="1"/>
  <c r="D443" i="1"/>
  <c r="E443" i="1"/>
  <c r="F443" i="1"/>
  <c r="G443" i="1"/>
  <c r="H443" i="1"/>
  <c r="D82" i="1"/>
  <c r="E82" i="1"/>
  <c r="F82" i="1"/>
  <c r="G82" i="1"/>
  <c r="H82" i="1"/>
  <c r="D316" i="1"/>
  <c r="E316" i="1"/>
  <c r="F316" i="1"/>
  <c r="G316" i="1"/>
  <c r="H316" i="1"/>
  <c r="D500" i="1"/>
  <c r="E500" i="1"/>
  <c r="F500" i="1"/>
  <c r="G500" i="1"/>
  <c r="H500" i="1"/>
  <c r="D121" i="1"/>
  <c r="E121" i="1"/>
  <c r="F121" i="1"/>
  <c r="G121" i="1"/>
  <c r="H121" i="1"/>
  <c r="D330" i="1"/>
  <c r="E330" i="1"/>
  <c r="F330" i="1"/>
  <c r="G330" i="1"/>
  <c r="H330" i="1"/>
  <c r="D519" i="1"/>
  <c r="E519" i="1"/>
  <c r="F519" i="1"/>
  <c r="G519" i="1"/>
  <c r="H519" i="1"/>
  <c r="D186" i="1"/>
  <c r="E186" i="1"/>
  <c r="F186" i="1"/>
  <c r="G186" i="1"/>
  <c r="H186" i="1"/>
  <c r="D358" i="1"/>
  <c r="E358" i="1"/>
  <c r="F358" i="1"/>
  <c r="G358" i="1"/>
  <c r="H358" i="1"/>
  <c r="D7" i="1"/>
  <c r="E7" i="1"/>
  <c r="F7" i="1"/>
  <c r="G7" i="1"/>
  <c r="H7" i="1"/>
  <c r="D842" i="1"/>
  <c r="E842" i="1"/>
  <c r="F842" i="1"/>
  <c r="G842" i="1"/>
  <c r="H842" i="1"/>
  <c r="D391" i="1"/>
  <c r="E391" i="1"/>
  <c r="F391" i="1"/>
  <c r="G391" i="1"/>
  <c r="H391" i="1"/>
  <c r="D93" i="1"/>
  <c r="E93" i="1"/>
  <c r="F93" i="1"/>
  <c r="G93" i="1"/>
  <c r="H93" i="1"/>
  <c r="D840" i="1"/>
  <c r="E840" i="1"/>
  <c r="F840" i="1"/>
  <c r="G840" i="1"/>
  <c r="H840" i="1"/>
  <c r="D418" i="1"/>
  <c r="E418" i="1"/>
  <c r="F418" i="1"/>
  <c r="G418" i="1"/>
  <c r="H418" i="1"/>
  <c r="D122" i="1"/>
  <c r="E122" i="1"/>
  <c r="F122" i="1"/>
  <c r="G122" i="1"/>
  <c r="H122" i="1"/>
  <c r="D850" i="1"/>
  <c r="E850" i="1"/>
  <c r="F850" i="1"/>
  <c r="G850" i="1"/>
  <c r="H850" i="1"/>
  <c r="D187" i="1"/>
  <c r="E187" i="1"/>
  <c r="F187" i="1"/>
  <c r="G187" i="1"/>
  <c r="H187" i="1"/>
  <c r="D458" i="1"/>
  <c r="E458" i="1"/>
  <c r="F458" i="1"/>
  <c r="G458" i="1"/>
  <c r="H458" i="1"/>
  <c r="D875" i="1"/>
  <c r="E875" i="1"/>
  <c r="F875" i="1"/>
  <c r="G875" i="1"/>
  <c r="H875" i="1"/>
  <c r="D751" i="1"/>
  <c r="E751" i="1"/>
  <c r="F751" i="1"/>
  <c r="G751" i="1"/>
  <c r="H751" i="1"/>
  <c r="D50" i="1"/>
  <c r="E50" i="1"/>
  <c r="F50" i="1"/>
  <c r="G50" i="1"/>
  <c r="H50" i="1"/>
  <c r="D188" i="1"/>
  <c r="E188" i="1"/>
  <c r="F188" i="1"/>
  <c r="G188" i="1"/>
  <c r="H188" i="1"/>
  <c r="D780" i="1"/>
  <c r="E780" i="1"/>
  <c r="F780" i="1"/>
  <c r="G780" i="1"/>
  <c r="H780" i="1"/>
  <c r="D70" i="1"/>
  <c r="E70" i="1"/>
  <c r="F70" i="1"/>
  <c r="G70" i="1"/>
  <c r="H70" i="1"/>
  <c r="D342" i="1"/>
  <c r="E342" i="1"/>
  <c r="F342" i="1"/>
  <c r="G342" i="1"/>
  <c r="H342" i="1"/>
  <c r="D783" i="1"/>
  <c r="E783" i="1"/>
  <c r="F783" i="1"/>
  <c r="G783" i="1"/>
  <c r="H783" i="1"/>
  <c r="D153" i="1"/>
  <c r="E153" i="1"/>
  <c r="F153" i="1"/>
  <c r="G153" i="1"/>
  <c r="H153" i="1"/>
  <c r="D375" i="1"/>
  <c r="E375" i="1"/>
  <c r="F375" i="1"/>
  <c r="G375" i="1"/>
  <c r="H375" i="1"/>
  <c r="D815" i="1"/>
  <c r="E815" i="1"/>
  <c r="F815" i="1"/>
  <c r="G815" i="1"/>
  <c r="H815" i="1"/>
  <c r="D205" i="1"/>
  <c r="E205" i="1"/>
  <c r="F205" i="1"/>
  <c r="G205" i="1"/>
  <c r="H205" i="1"/>
  <c r="D407" i="1"/>
  <c r="E407" i="1"/>
  <c r="F407" i="1"/>
  <c r="G407" i="1"/>
  <c r="H407" i="1"/>
  <c r="D446" i="1"/>
  <c r="E446" i="1"/>
  <c r="F446" i="1"/>
  <c r="G446" i="1"/>
  <c r="H446" i="1"/>
  <c r="D752" i="1"/>
  <c r="E752" i="1"/>
  <c r="F752" i="1"/>
  <c r="G752" i="1"/>
  <c r="H752" i="1"/>
  <c r="D501" i="1"/>
  <c r="E501" i="1"/>
  <c r="F501" i="1"/>
  <c r="G501" i="1"/>
  <c r="H501" i="1"/>
  <c r="D502" i="1"/>
  <c r="E502" i="1"/>
  <c r="F502" i="1"/>
  <c r="G502" i="1"/>
  <c r="H502" i="1"/>
  <c r="D785" i="1"/>
  <c r="E785" i="1"/>
  <c r="F785" i="1"/>
  <c r="G785" i="1"/>
  <c r="H785" i="1"/>
  <c r="D534" i="1"/>
  <c r="E534" i="1"/>
  <c r="F534" i="1"/>
  <c r="G534" i="1"/>
  <c r="H534" i="1"/>
  <c r="D520" i="1"/>
  <c r="E520" i="1"/>
  <c r="F520" i="1"/>
  <c r="G520" i="1"/>
  <c r="H520" i="1"/>
  <c r="D820" i="1"/>
  <c r="E820" i="1"/>
  <c r="F820" i="1"/>
  <c r="G820" i="1"/>
  <c r="H820" i="1"/>
  <c r="D566" i="1"/>
  <c r="E566" i="1"/>
  <c r="F566" i="1"/>
  <c r="G566" i="1"/>
  <c r="H566" i="1"/>
  <c r="D503" i="1"/>
  <c r="E503" i="1"/>
  <c r="F503" i="1"/>
  <c r="G503" i="1"/>
  <c r="H503" i="1"/>
  <c r="D164" i="1"/>
  <c r="E164" i="1"/>
  <c r="F164" i="1"/>
  <c r="G164" i="1"/>
  <c r="H164" i="1"/>
  <c r="D648" i="1"/>
  <c r="E648" i="1"/>
  <c r="F648" i="1"/>
  <c r="G648" i="1"/>
  <c r="H648" i="1"/>
  <c r="D656" i="1"/>
  <c r="E656" i="1"/>
  <c r="F656" i="1"/>
  <c r="G656" i="1"/>
  <c r="H656" i="1"/>
  <c r="D133" i="1"/>
  <c r="E133" i="1"/>
  <c r="F133" i="1"/>
  <c r="G133" i="1"/>
  <c r="H133" i="1"/>
  <c r="D963" i="1"/>
  <c r="E963" i="1"/>
  <c r="F963" i="1"/>
  <c r="G963" i="1"/>
  <c r="H963" i="1"/>
  <c r="D551" i="1"/>
  <c r="E551" i="1"/>
  <c r="F551" i="1"/>
  <c r="G551" i="1"/>
  <c r="H551" i="1"/>
  <c r="D154" i="1"/>
  <c r="E154" i="1"/>
  <c r="F154" i="1"/>
  <c r="G154" i="1"/>
  <c r="H154" i="1"/>
  <c r="D961" i="1"/>
  <c r="E961" i="1"/>
  <c r="F961" i="1"/>
  <c r="G961" i="1"/>
  <c r="H961" i="1"/>
  <c r="D567" i="1"/>
  <c r="E567" i="1"/>
  <c r="F567" i="1"/>
  <c r="G567" i="1"/>
  <c r="H567" i="1"/>
  <c r="D189" i="1"/>
  <c r="E189" i="1"/>
  <c r="F189" i="1"/>
  <c r="G189" i="1"/>
  <c r="H189" i="1"/>
  <c r="D1000" i="1"/>
  <c r="E1000" i="1"/>
  <c r="F1000" i="1"/>
  <c r="G1000" i="1"/>
  <c r="H1000" i="1"/>
  <c r="D392" i="1"/>
  <c r="E392" i="1"/>
  <c r="F392" i="1"/>
  <c r="G392" i="1"/>
  <c r="H392" i="1"/>
  <c r="D904" i="1"/>
  <c r="E904" i="1"/>
  <c r="F904" i="1"/>
  <c r="G904" i="1"/>
  <c r="H904" i="1"/>
  <c r="D892" i="1"/>
  <c r="E892" i="1"/>
  <c r="F892" i="1"/>
  <c r="G892" i="1"/>
  <c r="H892" i="1"/>
  <c r="D434" i="1"/>
  <c r="E434" i="1"/>
  <c r="F434" i="1"/>
  <c r="G434" i="1"/>
  <c r="H434" i="1"/>
  <c r="D1011" i="1"/>
  <c r="E1011" i="1"/>
  <c r="F1011" i="1"/>
  <c r="G1011" i="1"/>
  <c r="H1011" i="1"/>
  <c r="D20" i="1"/>
  <c r="E20" i="1"/>
  <c r="F20" i="1"/>
  <c r="G20" i="1"/>
  <c r="H20" i="1"/>
  <c r="D94" i="1"/>
  <c r="E94" i="1"/>
  <c r="F94" i="1"/>
  <c r="G94" i="1"/>
  <c r="H94" i="1"/>
  <c r="D941" i="1"/>
  <c r="E941" i="1"/>
  <c r="F941" i="1"/>
  <c r="G941" i="1"/>
  <c r="H941" i="1"/>
  <c r="D975" i="1"/>
  <c r="E975" i="1"/>
  <c r="F975" i="1"/>
  <c r="G975" i="1"/>
  <c r="H975" i="1"/>
  <c r="D982" i="1"/>
  <c r="E982" i="1"/>
  <c r="F982" i="1"/>
  <c r="G982" i="1"/>
  <c r="H982" i="1"/>
  <c r="D896" i="1"/>
  <c r="E896" i="1"/>
  <c r="F896" i="1"/>
  <c r="G896" i="1"/>
  <c r="H896" i="1"/>
  <c r="D36" i="1"/>
  <c r="E36" i="1"/>
  <c r="F36" i="1"/>
  <c r="G36" i="1"/>
  <c r="H36" i="1"/>
  <c r="D968" i="1"/>
  <c r="E968" i="1"/>
  <c r="F968" i="1"/>
  <c r="G968" i="1"/>
  <c r="H968" i="1"/>
  <c r="D987" i="1"/>
  <c r="E987" i="1"/>
  <c r="F987" i="1"/>
  <c r="G987" i="1"/>
  <c r="H987" i="1"/>
  <c r="D911" i="1"/>
  <c r="E911" i="1"/>
  <c r="F911" i="1"/>
  <c r="G911" i="1"/>
  <c r="H911" i="1"/>
  <c r="D219" i="1"/>
  <c r="E219" i="1"/>
  <c r="F219" i="1"/>
  <c r="G219" i="1"/>
  <c r="H219" i="1"/>
  <c r="D294" i="1"/>
  <c r="E294" i="1"/>
  <c r="F294" i="1"/>
  <c r="G294" i="1"/>
  <c r="H294" i="1"/>
  <c r="D319" i="1"/>
  <c r="E319" i="1"/>
  <c r="F319" i="1"/>
  <c r="G319" i="1"/>
  <c r="H319" i="1"/>
  <c r="D359" i="1"/>
  <c r="E359" i="1"/>
  <c r="F359" i="1"/>
  <c r="G359" i="1"/>
  <c r="H359" i="1"/>
  <c r="D858" i="1"/>
  <c r="E858" i="1"/>
  <c r="F858" i="1"/>
  <c r="G858" i="1"/>
  <c r="H858" i="1"/>
  <c r="D65" i="1"/>
  <c r="E65" i="1"/>
  <c r="F65" i="1"/>
  <c r="G65" i="1"/>
  <c r="H65" i="1"/>
  <c r="D155" i="1"/>
  <c r="E155" i="1"/>
  <c r="F155" i="1"/>
  <c r="G155" i="1"/>
  <c r="H155" i="1"/>
  <c r="D175" i="1"/>
  <c r="E175" i="1"/>
  <c r="F175" i="1"/>
  <c r="G175" i="1"/>
  <c r="H175" i="1"/>
  <c r="D784" i="1"/>
  <c r="E784" i="1"/>
  <c r="F784" i="1"/>
  <c r="G784" i="1"/>
  <c r="H784" i="1"/>
  <c r="D958" i="1"/>
  <c r="E958" i="1"/>
  <c r="F958" i="1"/>
  <c r="G958" i="1"/>
  <c r="H958" i="1"/>
  <c r="D994" i="1"/>
  <c r="E994" i="1"/>
  <c r="F994" i="1"/>
  <c r="G994" i="1"/>
  <c r="H994" i="1"/>
  <c r="D872" i="1"/>
  <c r="E872" i="1"/>
  <c r="F872" i="1"/>
  <c r="G872" i="1"/>
  <c r="H872" i="1"/>
  <c r="D562" i="1"/>
  <c r="E562" i="1"/>
  <c r="F562" i="1"/>
  <c r="G562" i="1"/>
  <c r="H562" i="1"/>
  <c r="D568" i="1"/>
  <c r="E568" i="1"/>
  <c r="F568" i="1"/>
  <c r="G568" i="1"/>
  <c r="H568" i="1"/>
  <c r="D620" i="1"/>
  <c r="E620" i="1"/>
  <c r="F620" i="1"/>
  <c r="G620" i="1"/>
  <c r="H620" i="1"/>
  <c r="D649" i="1"/>
  <c r="E649" i="1"/>
  <c r="F649" i="1"/>
  <c r="G649" i="1"/>
  <c r="H649" i="1"/>
  <c r="D731" i="1"/>
  <c r="E731" i="1"/>
  <c r="F731" i="1"/>
  <c r="G731" i="1"/>
  <c r="H731" i="1"/>
  <c r="D762" i="1"/>
  <c r="E762" i="1"/>
  <c r="F762" i="1"/>
  <c r="G762" i="1"/>
  <c r="H762" i="1"/>
  <c r="D800" i="1"/>
  <c r="E800" i="1"/>
  <c r="F800" i="1"/>
  <c r="G800" i="1"/>
  <c r="H800" i="1"/>
  <c r="D822" i="1"/>
  <c r="E822" i="1"/>
  <c r="F822" i="1"/>
  <c r="G822" i="1"/>
  <c r="H822" i="1"/>
  <c r="D949" i="1"/>
  <c r="E949" i="1"/>
  <c r="F949" i="1"/>
  <c r="G949" i="1"/>
  <c r="H949" i="1"/>
  <c r="D977" i="1"/>
  <c r="E977" i="1"/>
  <c r="F977" i="1"/>
  <c r="G977" i="1"/>
  <c r="H977" i="1"/>
  <c r="D674" i="1"/>
  <c r="E674" i="1"/>
  <c r="F674" i="1"/>
  <c r="G674" i="1"/>
  <c r="H674" i="1"/>
  <c r="D703" i="1"/>
  <c r="E703" i="1"/>
  <c r="F703" i="1"/>
  <c r="G703" i="1"/>
  <c r="H703" i="1"/>
  <c r="D552" i="1"/>
  <c r="E552" i="1"/>
  <c r="F552" i="1"/>
  <c r="G552" i="1"/>
  <c r="H552" i="1"/>
  <c r="D21" i="1"/>
  <c r="E21" i="1"/>
  <c r="F21" i="1"/>
  <c r="G21" i="1"/>
  <c r="H21" i="1"/>
  <c r="D34" i="1"/>
  <c r="E34" i="1"/>
  <c r="F34" i="1"/>
  <c r="G34" i="1"/>
  <c r="H34" i="1"/>
  <c r="D95" i="1"/>
  <c r="E95" i="1"/>
  <c r="F95" i="1"/>
  <c r="G95" i="1"/>
  <c r="H95" i="1"/>
  <c r="D398" i="1"/>
  <c r="E398" i="1"/>
  <c r="F398" i="1"/>
  <c r="G398" i="1"/>
  <c r="H398" i="1"/>
  <c r="D435" i="1"/>
  <c r="E435" i="1"/>
  <c r="F435" i="1"/>
  <c r="G435" i="1"/>
  <c r="H435" i="1"/>
  <c r="D468" i="1"/>
  <c r="E468" i="1"/>
  <c r="F468" i="1"/>
  <c r="G468" i="1"/>
  <c r="H468" i="1"/>
  <c r="D504" i="1"/>
  <c r="E504" i="1"/>
  <c r="F504" i="1"/>
  <c r="G504" i="1"/>
  <c r="H504" i="1"/>
  <c r="D688" i="1"/>
  <c r="E688" i="1"/>
  <c r="F688" i="1"/>
  <c r="G688" i="1"/>
  <c r="H688" i="1"/>
  <c r="D728" i="1"/>
  <c r="E728" i="1"/>
  <c r="F728" i="1"/>
  <c r="G728" i="1"/>
  <c r="H728" i="1"/>
  <c r="D763" i="1"/>
  <c r="E763" i="1"/>
  <c r="F763" i="1"/>
  <c r="G763" i="1"/>
  <c r="H763" i="1"/>
  <c r="D803" i="1"/>
  <c r="E803" i="1"/>
  <c r="F803" i="1"/>
  <c r="G803" i="1"/>
  <c r="H803" i="1"/>
  <c r="D662" i="1"/>
  <c r="E662" i="1"/>
  <c r="F662" i="1"/>
  <c r="G662" i="1"/>
  <c r="H662" i="1"/>
  <c r="D729" i="1"/>
  <c r="E729" i="1"/>
  <c r="F729" i="1"/>
  <c r="G729" i="1"/>
  <c r="H729" i="1"/>
  <c r="D764" i="1"/>
  <c r="E764" i="1"/>
  <c r="F764" i="1"/>
  <c r="G764" i="1"/>
  <c r="H764" i="1"/>
  <c r="D801" i="1"/>
  <c r="E801" i="1"/>
  <c r="F801" i="1"/>
  <c r="G801" i="1"/>
  <c r="H801" i="1"/>
  <c r="D221" i="1"/>
  <c r="E221" i="1"/>
  <c r="F221" i="1"/>
  <c r="G221" i="1"/>
  <c r="H221" i="1"/>
  <c r="D730" i="1"/>
  <c r="E730" i="1"/>
  <c r="F730" i="1"/>
  <c r="G730" i="1"/>
  <c r="H730" i="1"/>
  <c r="D574" i="1"/>
  <c r="E574" i="1"/>
  <c r="F574" i="1"/>
  <c r="G574" i="1"/>
  <c r="H574" i="1"/>
  <c r="D228" i="1"/>
  <c r="E228" i="1"/>
  <c r="F228" i="1"/>
  <c r="G228" i="1"/>
  <c r="H228" i="1"/>
  <c r="D765" i="1"/>
  <c r="E765" i="1"/>
  <c r="F765" i="1"/>
  <c r="G765" i="1"/>
  <c r="H765" i="1"/>
  <c r="D715" i="1"/>
  <c r="E715" i="1"/>
  <c r="F715" i="1"/>
  <c r="G715" i="1"/>
  <c r="H715" i="1"/>
  <c r="D232" i="1"/>
  <c r="E232" i="1"/>
  <c r="F232" i="1"/>
  <c r="G232" i="1"/>
  <c r="H232" i="1"/>
  <c r="D802" i="1"/>
  <c r="E802" i="1"/>
  <c r="F802" i="1"/>
  <c r="G802" i="1"/>
  <c r="H802" i="1"/>
  <c r="D753" i="1"/>
  <c r="E753" i="1"/>
  <c r="F753" i="1"/>
  <c r="G753" i="1"/>
  <c r="H753" i="1"/>
  <c r="D408" i="1"/>
  <c r="E408" i="1"/>
  <c r="F408" i="1"/>
  <c r="G408" i="1"/>
  <c r="H408" i="1"/>
  <c r="D834" i="1"/>
  <c r="E834" i="1"/>
  <c r="F834" i="1"/>
  <c r="G834" i="1"/>
  <c r="H834" i="1"/>
  <c r="D787" i="1"/>
  <c r="E787" i="1"/>
  <c r="F787" i="1"/>
  <c r="G787" i="1"/>
  <c r="H787" i="1"/>
  <c r="D521" i="1"/>
  <c r="E521" i="1"/>
  <c r="F521" i="1"/>
  <c r="G521" i="1"/>
  <c r="H521" i="1"/>
  <c r="D569" i="1"/>
  <c r="E569" i="1"/>
  <c r="F569" i="1"/>
  <c r="G569" i="1"/>
  <c r="H569" i="1"/>
  <c r="D857" i="1"/>
  <c r="E857" i="1"/>
  <c r="F857" i="1"/>
  <c r="G857" i="1"/>
  <c r="H857" i="1"/>
  <c r="D596" i="1"/>
  <c r="E596" i="1"/>
  <c r="F596" i="1"/>
  <c r="G596" i="1"/>
  <c r="H596" i="1"/>
  <c r="D650" i="1"/>
  <c r="E650" i="1"/>
  <c r="F650" i="1"/>
  <c r="G650" i="1"/>
  <c r="H650" i="1"/>
  <c r="D4" i="1"/>
  <c r="E4" i="1"/>
  <c r="F4" i="1"/>
  <c r="G4" i="1"/>
  <c r="H4" i="1"/>
  <c r="D657" i="1"/>
  <c r="E657" i="1"/>
  <c r="F657" i="1"/>
  <c r="G657" i="1"/>
  <c r="H657" i="1"/>
  <c r="D631" i="1"/>
  <c r="E631" i="1"/>
  <c r="F631" i="1"/>
  <c r="G631" i="1"/>
  <c r="H631" i="1"/>
  <c r="D618" i="1"/>
  <c r="E618" i="1"/>
  <c r="F618" i="1"/>
  <c r="G618" i="1"/>
  <c r="H618" i="1"/>
  <c r="D695" i="1"/>
  <c r="E695" i="1"/>
  <c r="F695" i="1"/>
  <c r="G695" i="1"/>
  <c r="H695" i="1"/>
  <c r="D537" i="1"/>
  <c r="E537" i="1"/>
  <c r="F537" i="1"/>
  <c r="G537" i="1"/>
  <c r="H537" i="1"/>
  <c r="D210" i="1"/>
  <c r="E210" i="1"/>
  <c r="F210" i="1"/>
  <c r="G210" i="1"/>
  <c r="H210" i="1"/>
  <c r="D346" i="1"/>
  <c r="E346" i="1"/>
  <c r="F346" i="1"/>
  <c r="G346" i="1"/>
  <c r="H346" i="1"/>
  <c r="D579" i="1"/>
  <c r="E579" i="1"/>
  <c r="F579" i="1"/>
  <c r="G579" i="1"/>
  <c r="H579" i="1"/>
  <c r="D35" i="1"/>
  <c r="E35" i="1"/>
  <c r="F35" i="1"/>
  <c r="G35" i="1"/>
  <c r="H35" i="1"/>
  <c r="D393" i="1"/>
  <c r="E393" i="1"/>
  <c r="F393" i="1"/>
  <c r="G393" i="1"/>
  <c r="H393" i="1"/>
  <c r="D134" i="1"/>
  <c r="E134" i="1"/>
  <c r="F134" i="1"/>
  <c r="G134" i="1"/>
  <c r="H134" i="1"/>
  <c r="D610" i="1"/>
  <c r="E610" i="1"/>
  <c r="F610" i="1"/>
  <c r="G610" i="1"/>
  <c r="H610" i="1"/>
  <c r="D414" i="1"/>
  <c r="E414" i="1"/>
  <c r="F414" i="1"/>
  <c r="G414" i="1"/>
  <c r="H414" i="1"/>
  <c r="D156" i="1"/>
  <c r="E156" i="1"/>
  <c r="F156" i="1"/>
  <c r="G156" i="1"/>
  <c r="H156" i="1"/>
  <c r="D790" i="1"/>
  <c r="E790" i="1"/>
  <c r="F790" i="1"/>
  <c r="G790" i="1"/>
  <c r="H790" i="1"/>
  <c r="D454" i="1"/>
  <c r="E454" i="1"/>
  <c r="F454" i="1"/>
  <c r="G454" i="1"/>
  <c r="H454" i="1"/>
  <c r="D206" i="1"/>
  <c r="E206" i="1"/>
  <c r="F206" i="1"/>
  <c r="G206" i="1"/>
  <c r="H206" i="1"/>
  <c r="D336" i="1"/>
  <c r="E336" i="1"/>
  <c r="F336" i="1"/>
  <c r="G336" i="1"/>
  <c r="H336" i="1"/>
  <c r="D106" i="1"/>
  <c r="E106" i="1"/>
  <c r="F106" i="1"/>
  <c r="G106" i="1"/>
  <c r="H106" i="1"/>
  <c r="D436" i="1"/>
  <c r="E436" i="1"/>
  <c r="F436" i="1"/>
  <c r="G436" i="1"/>
  <c r="H436" i="1"/>
  <c r="D542" i="1"/>
  <c r="E542" i="1"/>
  <c r="F542" i="1"/>
  <c r="G542" i="1"/>
  <c r="H542" i="1"/>
  <c r="D135" i="1"/>
  <c r="E135" i="1"/>
  <c r="F135" i="1"/>
  <c r="G135" i="1"/>
  <c r="H135" i="1"/>
  <c r="D971" i="1"/>
  <c r="E971" i="1"/>
  <c r="F971" i="1"/>
  <c r="G971" i="1"/>
  <c r="H971" i="1"/>
  <c r="D437" i="1"/>
  <c r="E437" i="1"/>
  <c r="F437" i="1"/>
  <c r="G437" i="1"/>
  <c r="H437" i="1"/>
  <c r="D165" i="1"/>
  <c r="E165" i="1"/>
  <c r="F165" i="1"/>
  <c r="G165" i="1"/>
  <c r="H165" i="1"/>
  <c r="D459" i="1"/>
  <c r="E459" i="1"/>
  <c r="F459" i="1"/>
  <c r="G459" i="1"/>
  <c r="H459" i="1"/>
  <c r="D1004" i="1"/>
  <c r="E1004" i="1"/>
  <c r="F1004" i="1"/>
  <c r="G1004" i="1"/>
  <c r="H1004" i="1"/>
  <c r="D517" i="1"/>
  <c r="E517" i="1"/>
  <c r="F517" i="1"/>
  <c r="G517" i="1"/>
  <c r="H517" i="1"/>
  <c r="D505" i="1"/>
  <c r="E505" i="1"/>
  <c r="F505" i="1"/>
  <c r="G505" i="1"/>
  <c r="H505" i="1"/>
  <c r="D996" i="1"/>
  <c r="E996" i="1"/>
  <c r="F996" i="1"/>
  <c r="G996" i="1"/>
  <c r="H996" i="1"/>
  <c r="D597" i="1"/>
  <c r="E597" i="1"/>
  <c r="F597" i="1"/>
  <c r="G597" i="1"/>
  <c r="H597" i="1"/>
  <c r="D699" i="1"/>
  <c r="E699" i="1"/>
  <c r="F699" i="1"/>
  <c r="G699" i="1"/>
  <c r="H699" i="1"/>
  <c r="D447" i="1"/>
  <c r="E447" i="1"/>
  <c r="F447" i="1"/>
  <c r="G447" i="1"/>
  <c r="H447" i="1"/>
  <c r="D611" i="1"/>
  <c r="E611" i="1"/>
  <c r="F611" i="1"/>
  <c r="G611" i="1"/>
  <c r="H611" i="1"/>
  <c r="D732" i="1"/>
  <c r="E732" i="1"/>
  <c r="F732" i="1"/>
  <c r="G732" i="1"/>
  <c r="H732" i="1"/>
  <c r="D506" i="1"/>
  <c r="E506" i="1"/>
  <c r="F506" i="1"/>
  <c r="G506" i="1"/>
  <c r="H506" i="1"/>
  <c r="D632" i="1"/>
  <c r="E632" i="1"/>
  <c r="F632" i="1"/>
  <c r="G632" i="1"/>
  <c r="H632" i="1"/>
  <c r="D754" i="1"/>
  <c r="E754" i="1"/>
  <c r="F754" i="1"/>
  <c r="G754" i="1"/>
  <c r="H754" i="1"/>
  <c r="D522" i="1"/>
  <c r="E522" i="1"/>
  <c r="F522" i="1"/>
  <c r="G522" i="1"/>
  <c r="H522" i="1"/>
  <c r="D633" i="1"/>
  <c r="E633" i="1"/>
  <c r="F633" i="1"/>
  <c r="G633" i="1"/>
  <c r="H633" i="1"/>
  <c r="D777" i="1"/>
  <c r="E777" i="1"/>
  <c r="F777" i="1"/>
  <c r="G777" i="1"/>
  <c r="H777" i="1"/>
  <c r="D1007" i="1"/>
  <c r="E1007" i="1"/>
  <c r="F1007" i="1"/>
  <c r="G1007" i="1"/>
  <c r="H1007" i="1"/>
  <c r="D658" i="1"/>
  <c r="E658" i="1"/>
  <c r="F658" i="1"/>
  <c r="G658" i="1"/>
  <c r="H658" i="1"/>
  <c r="D675" i="1"/>
  <c r="E675" i="1"/>
  <c r="F675" i="1"/>
  <c r="G675" i="1"/>
  <c r="H675" i="1"/>
  <c r="D700" i="1"/>
  <c r="E700" i="1"/>
  <c r="F700" i="1"/>
  <c r="G700" i="1"/>
  <c r="H700" i="1"/>
  <c r="D553" i="1"/>
  <c r="E553" i="1"/>
  <c r="F553" i="1"/>
  <c r="G553" i="1"/>
  <c r="H553" i="1"/>
  <c r="D317" i="1"/>
  <c r="E317" i="1"/>
  <c r="F317" i="1"/>
  <c r="G317" i="1"/>
  <c r="H317" i="1"/>
  <c r="D352" i="1"/>
  <c r="E352" i="1"/>
  <c r="F352" i="1"/>
  <c r="G352" i="1"/>
  <c r="H352" i="1"/>
  <c r="D583" i="1"/>
  <c r="E583" i="1"/>
  <c r="F583" i="1"/>
  <c r="G583" i="1"/>
  <c r="H583" i="1"/>
  <c r="D394" i="1"/>
  <c r="E394" i="1"/>
  <c r="F394" i="1"/>
  <c r="G394" i="1"/>
  <c r="H394" i="1"/>
  <c r="D602" i="1"/>
  <c r="E602" i="1"/>
  <c r="F602" i="1"/>
  <c r="G602" i="1"/>
  <c r="H602" i="1"/>
  <c r="D931" i="1"/>
  <c r="E931" i="1"/>
  <c r="F931" i="1"/>
  <c r="G931" i="1"/>
  <c r="H931" i="1"/>
  <c r="D805" i="1"/>
  <c r="E805" i="1"/>
  <c r="F805" i="1"/>
  <c r="G805" i="1"/>
  <c r="H805" i="1"/>
  <c r="D905" i="1"/>
  <c r="E905" i="1"/>
  <c r="F905" i="1"/>
  <c r="G905" i="1"/>
  <c r="H905" i="1"/>
  <c r="D967" i="1"/>
  <c r="E967" i="1"/>
  <c r="F967" i="1"/>
  <c r="G967" i="1"/>
  <c r="H967" i="1"/>
  <c r="D986" i="1"/>
  <c r="E986" i="1"/>
  <c r="F986" i="1"/>
  <c r="G986" i="1"/>
  <c r="H986" i="1"/>
  <c r="D999" i="1"/>
  <c r="E999" i="1"/>
  <c r="F999" i="1"/>
  <c r="G999" i="1"/>
  <c r="H999" i="1"/>
  <c r="D991" i="1"/>
  <c r="E991" i="1"/>
  <c r="F991" i="1"/>
  <c r="G991" i="1"/>
  <c r="H991" i="1"/>
  <c r="D836" i="1"/>
  <c r="E836" i="1"/>
  <c r="F836" i="1"/>
  <c r="G836" i="1"/>
  <c r="H836" i="1"/>
  <c r="D807" i="1"/>
  <c r="E807" i="1"/>
  <c r="F807" i="1"/>
  <c r="G807" i="1"/>
  <c r="H807" i="1"/>
  <c r="D838" i="1"/>
  <c r="E838" i="1"/>
  <c r="F838" i="1"/>
  <c r="G838" i="1"/>
  <c r="H838" i="1"/>
  <c r="D360" i="1"/>
  <c r="E360" i="1"/>
  <c r="F360" i="1"/>
  <c r="G360" i="1"/>
  <c r="H360" i="1"/>
  <c r="D825" i="1"/>
  <c r="E825" i="1"/>
  <c r="F825" i="1"/>
  <c r="G825" i="1"/>
  <c r="H825" i="1"/>
  <c r="D438" i="1"/>
  <c r="E438" i="1"/>
  <c r="F438" i="1"/>
  <c r="G438" i="1"/>
  <c r="H438" i="1"/>
  <c r="D887" i="1"/>
  <c r="E887" i="1"/>
  <c r="F887" i="1"/>
  <c r="G887" i="1"/>
  <c r="H887" i="1"/>
  <c r="D469" i="1"/>
  <c r="E469" i="1"/>
  <c r="F469" i="1"/>
  <c r="G469" i="1"/>
  <c r="H469" i="1"/>
  <c r="D906" i="1"/>
  <c r="E906" i="1"/>
  <c r="F906" i="1"/>
  <c r="G906" i="1"/>
  <c r="H906" i="1"/>
  <c r="D512" i="1"/>
  <c r="E512" i="1"/>
  <c r="F512" i="1"/>
  <c r="G512" i="1"/>
  <c r="H512" i="1"/>
  <c r="D833" i="1"/>
  <c r="E833" i="1"/>
  <c r="F833" i="1"/>
  <c r="G833" i="1"/>
  <c r="H833" i="1"/>
  <c r="D176" i="1"/>
  <c r="E176" i="1"/>
  <c r="F176" i="1"/>
  <c r="G176" i="1"/>
  <c r="H176" i="1"/>
  <c r="D933" i="1"/>
  <c r="E933" i="1"/>
  <c r="F933" i="1"/>
  <c r="G933" i="1"/>
  <c r="H933" i="1"/>
  <c r="D190" i="1"/>
  <c r="E190" i="1"/>
  <c r="F190" i="1"/>
  <c r="G190" i="1"/>
  <c r="H190" i="1"/>
  <c r="D244" i="1"/>
  <c r="E244" i="1"/>
  <c r="F244" i="1"/>
  <c r="G244" i="1"/>
  <c r="H244" i="1"/>
  <c r="D191" i="1"/>
  <c r="E191" i="1"/>
  <c r="F191" i="1"/>
  <c r="G191" i="1"/>
  <c r="H191" i="1"/>
  <c r="D288" i="1"/>
  <c r="E288" i="1"/>
  <c r="F288" i="1"/>
  <c r="G288" i="1"/>
  <c r="H288" i="1"/>
  <c r="D211" i="1"/>
  <c r="E211" i="1"/>
  <c r="F211" i="1"/>
  <c r="G211" i="1"/>
  <c r="H211" i="1"/>
  <c r="D322" i="1"/>
  <c r="E322" i="1"/>
  <c r="F322" i="1"/>
  <c r="G322" i="1"/>
  <c r="H322" i="1"/>
  <c r="D337" i="1"/>
  <c r="E337" i="1"/>
  <c r="F337" i="1"/>
  <c r="G337" i="1"/>
  <c r="H337" i="1"/>
  <c r="D460" i="1"/>
  <c r="E460" i="1"/>
  <c r="F460" i="1"/>
  <c r="G460" i="1"/>
  <c r="H460" i="1"/>
  <c r="D368" i="1"/>
  <c r="E368" i="1"/>
  <c r="F368" i="1"/>
  <c r="G368" i="1"/>
  <c r="H368" i="1"/>
  <c r="D538" i="1"/>
  <c r="E538" i="1"/>
  <c r="F538" i="1"/>
  <c r="G538" i="1"/>
  <c r="H538" i="1"/>
  <c r="D778" i="1"/>
  <c r="E778" i="1"/>
  <c r="F778" i="1"/>
  <c r="G778" i="1"/>
  <c r="H778" i="1"/>
  <c r="D570" i="1"/>
  <c r="E570" i="1"/>
  <c r="F570" i="1"/>
  <c r="G570" i="1"/>
  <c r="H570" i="1"/>
  <c r="D475" i="1"/>
  <c r="E475" i="1"/>
  <c r="F475" i="1"/>
  <c r="G475" i="1"/>
  <c r="H475" i="1"/>
  <c r="D96" i="1"/>
  <c r="E96" i="1"/>
  <c r="F96" i="1"/>
  <c r="G96" i="1"/>
  <c r="H96" i="1"/>
  <c r="D22" i="1"/>
  <c r="E22" i="1"/>
  <c r="F22" i="1"/>
  <c r="G22" i="1"/>
  <c r="H22" i="1"/>
  <c r="D136" i="1"/>
  <c r="E136" i="1"/>
  <c r="F136" i="1"/>
  <c r="G136" i="1"/>
  <c r="H136" i="1"/>
  <c r="D166" i="1"/>
  <c r="E166" i="1"/>
  <c r="F166" i="1"/>
  <c r="G166" i="1"/>
  <c r="H166" i="1"/>
</calcChain>
</file>

<file path=xl/sharedStrings.xml><?xml version="1.0" encoding="utf-8"?>
<sst xmlns="http://schemas.openxmlformats.org/spreadsheetml/2006/main" count="17" uniqueCount="17">
  <si>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</si>
  <si>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</si>
  <si>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</si>
  <si>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</si>
  <si>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</si>
  <si>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</si>
  <si>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</si>
  <si>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</si>
  <si>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</si>
  <si>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Первый руководитель или лицо, уполномоченное им на подписание отчета:</t>
  </si>
  <si>
    <t>Заместитель Председателя Правления     ____________________    Карпыкова А.С.</t>
  </si>
  <si>
    <t>Главный бухгалтер или лицо, уполномоченное на подписание отчета:</t>
  </si>
  <si>
    <t>Главный бухгалтер    ____________________    Чеусов П.А.</t>
  </si>
  <si>
    <t>Исполнитель:</t>
  </si>
  <si>
    <t>Гл.менеджер    ____________________    Молдабаева М.Б.</t>
  </si>
  <si>
    <t>Номер телефона    332-26-44</t>
  </si>
  <si>
    <t>Дата подписания: 11 января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</si>
</sst>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#,##0_-;\-\ #,##0_-;_-\ &quot; &quot;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33" borderId="0" xfId="0" applyFill="1"/>
    <xf numFmtId="4" fontId="0" fillId="33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 wrapText="1"/>
    </xf>
    <xf numFmtId="164" fontId="18" fillId="0" borderId="0" xfId="0" applyNumberFormat="1" applyFont="1" applyAlignment="1">
      <alignment horizontal="right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0"/>
  <sheetViews>
    <sheetView tabSelected="1" workbookViewId="0">
      <selection activeCell="Q992" sqref="Q992"/>
    </sheetView>
  </sheetViews>
  <sheetFormatPr defaultRowHeight="15" x14ac:dyDescent="0.25"/>
  <cols>
    <col min="2" max="2" width="13.5703125" bestFit="1" customWidth="1"/>
    <col min="9" max="9" width="20.5703125" style="2" bestFit="1" customWidth="1"/>
    <col min="10" max="10" width="1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</row>
    <row r="2" spans="1:9" x14ac:dyDescent="0.25">
      <c r="A2">
        <v>1</v>
      </c>
      <c r="B2" s="1">
        <v>44561</v>
      </c>
      <c r="C2">
        <v>14</v>
      </c>
      <c r="D2" t="str">
        <f>"1001"</f>
        <v>1001</v>
      </c>
      <c r="E2" t="str">
        <f>"Наличность в кассе"</f>
        <v>Наличность в кассе</v>
      </c>
      <c r="F2" t="str">
        <f>"2"</f>
        <v>2</v>
      </c>
      <c r="G2" t="str">
        <f>"3"</f>
        <v>3</v>
      </c>
      <c r="H2" t="str">
        <f>"3"</f>
        <v>3</v>
      </c>
      <c r="I2" s="2">
        <v>14116436314</v>
      </c>
    </row>
    <row r="3" spans="1:9" x14ac:dyDescent="0.25">
      <c r="A3">
        <v>2</v>
      </c>
      <c r="B3" s="1">
        <v>44561</v>
      </c>
      <c r="C3">
        <v>14</v>
      </c>
      <c r="D3" t="str">
        <f>"1001"</f>
        <v>1001</v>
      </c>
      <c r="E3" t="str">
        <f>"Наличность в кассе"</f>
        <v>Наличность в кассе</v>
      </c>
      <c r="F3" t="str">
        <f>"1"</f>
        <v>1</v>
      </c>
      <c r="G3" t="str">
        <f>"3"</f>
        <v>3</v>
      </c>
      <c r="H3" t="str">
        <f>"1"</f>
        <v>1</v>
      </c>
      <c r="I3" s="2">
        <v>54806536988</v>
      </c>
    </row>
    <row r="4" spans="1:9" x14ac:dyDescent="0.25">
      <c r="A4">
        <v>3</v>
      </c>
      <c r="B4" s="1">
        <v>44561</v>
      </c>
      <c r="C4">
        <v>14</v>
      </c>
      <c r="D4" t="str">
        <f>"1001"</f>
        <v>1001</v>
      </c>
      <c r="E4" t="str">
        <f>"Наличность в кассе"</f>
        <v>Наличность в кассе</v>
      </c>
      <c r="F4" t="str">
        <f>"2"</f>
        <v>2</v>
      </c>
      <c r="G4" t="str">
        <f>"3"</f>
        <v>3</v>
      </c>
      <c r="H4" t="str">
        <f>"2"</f>
        <v>2</v>
      </c>
      <c r="I4" s="2">
        <v>78302175999</v>
      </c>
    </row>
    <row r="5" spans="1:9" x14ac:dyDescent="0.25">
      <c r="A5">
        <v>4</v>
      </c>
      <c r="B5" s="1">
        <v>44561</v>
      </c>
      <c r="C5">
        <v>14</v>
      </c>
      <c r="D5" t="str">
        <f>"1005"</f>
        <v>1005</v>
      </c>
      <c r="E5" t="str">
        <f>"Наличность в банкоматах и электронных терминалах"</f>
        <v>Наличность в банкоматах и электронных терминалах</v>
      </c>
      <c r="F5" t="str">
        <f>"2"</f>
        <v>2</v>
      </c>
      <c r="G5" t="str">
        <f>"3"</f>
        <v>3</v>
      </c>
      <c r="H5" t="str">
        <f>"3"</f>
        <v>3</v>
      </c>
      <c r="I5" s="2">
        <v>2357568</v>
      </c>
    </row>
    <row r="6" spans="1:9" x14ac:dyDescent="0.25">
      <c r="A6">
        <v>5</v>
      </c>
      <c r="B6" s="1">
        <v>44561</v>
      </c>
      <c r="C6">
        <v>14</v>
      </c>
      <c r="D6" t="str">
        <f>"1005"</f>
        <v>1005</v>
      </c>
      <c r="E6" t="str">
        <f>"Наличность в банкоматах и электронных терминалах"</f>
        <v>Наличность в банкоматах и электронных терминалах</v>
      </c>
      <c r="F6" t="str">
        <f>"2"</f>
        <v>2</v>
      </c>
      <c r="G6" t="str">
        <f>"3"</f>
        <v>3</v>
      </c>
      <c r="H6" t="str">
        <f>"2"</f>
        <v>2</v>
      </c>
      <c r="I6" s="2">
        <v>980751090</v>
      </c>
    </row>
    <row r="7" spans="1:9" x14ac:dyDescent="0.25">
      <c r="A7">
        <v>6</v>
      </c>
      <c r="B7" s="1">
        <v>44561</v>
      </c>
      <c r="C7">
        <v>14</v>
      </c>
      <c r="D7" t="str">
        <f>"1005"</f>
        <v>1005</v>
      </c>
      <c r="E7" t="str">
        <f>"Наличность в банкоматах и электронных терминалах"</f>
        <v>Наличность в банкоматах и электронных терминалах</v>
      </c>
      <c r="F7" t="str">
        <f>"1"</f>
        <v>1</v>
      </c>
      <c r="G7" t="str">
        <f>"3"</f>
        <v>3</v>
      </c>
      <c r="H7" t="str">
        <f>"1"</f>
        <v>1</v>
      </c>
      <c r="I7" s="2">
        <v>78958271161</v>
      </c>
    </row>
    <row r="8" spans="1:9" x14ac:dyDescent="0.25">
      <c r="A8">
        <v>7</v>
      </c>
      <c r="B8" s="1">
        <v>44561</v>
      </c>
      <c r="C8">
        <v>14</v>
      </c>
      <c r="D8" t="str">
        <f>"1011"</f>
        <v>1011</v>
      </c>
      <c r="E8" t="str">
        <f>"Аффинированные драгоценные металлы"</f>
        <v>Аффинированные драгоценные металлы</v>
      </c>
      <c r="F8" t="str">
        <f>""</f>
        <v/>
      </c>
      <c r="G8" t="str">
        <f>""</f>
        <v/>
      </c>
      <c r="H8" t="str">
        <f>""</f>
        <v/>
      </c>
      <c r="I8" s="2">
        <v>1298457946</v>
      </c>
    </row>
    <row r="9" spans="1:9" x14ac:dyDescent="0.25">
      <c r="A9">
        <v>8</v>
      </c>
      <c r="B9" s="1">
        <v>44561</v>
      </c>
      <c r="C9">
        <v>14</v>
      </c>
      <c r="D9" t="str">
        <f>"1013"</f>
        <v>1013</v>
      </c>
      <c r="E9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F9" t="str">
        <f>"2"</f>
        <v>2</v>
      </c>
      <c r="G9" t="str">
        <f>"4"</f>
        <v>4</v>
      </c>
      <c r="H9" t="str">
        <f>""</f>
        <v/>
      </c>
      <c r="I9" s="2">
        <v>16985229043</v>
      </c>
    </row>
    <row r="10" spans="1:9" x14ac:dyDescent="0.25">
      <c r="A10">
        <v>9</v>
      </c>
      <c r="B10" s="1">
        <v>44561</v>
      </c>
      <c r="C10">
        <v>14</v>
      </c>
      <c r="D10" t="str">
        <f>"1051"</f>
        <v>1051</v>
      </c>
      <c r="E10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0" t="str">
        <f>"1"</f>
        <v>1</v>
      </c>
      <c r="G10" t="str">
        <f>"3"</f>
        <v>3</v>
      </c>
      <c r="H10" t="str">
        <f>"2"</f>
        <v>2</v>
      </c>
      <c r="I10" s="2">
        <v>141853090742</v>
      </c>
    </row>
    <row r="11" spans="1:9" x14ac:dyDescent="0.25">
      <c r="A11">
        <v>10</v>
      </c>
      <c r="B11" s="1">
        <v>44561</v>
      </c>
      <c r="C11">
        <v>14</v>
      </c>
      <c r="D11" t="str">
        <f>"1051"</f>
        <v>1051</v>
      </c>
      <c r="E1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1" t="str">
        <f>"1"</f>
        <v>1</v>
      </c>
      <c r="G11" t="str">
        <f>"3"</f>
        <v>3</v>
      </c>
      <c r="H11" t="str">
        <f>"1"</f>
        <v>1</v>
      </c>
      <c r="I11" s="2">
        <v>144325716780</v>
      </c>
    </row>
    <row r="12" spans="1:9" x14ac:dyDescent="0.25">
      <c r="A12">
        <v>11</v>
      </c>
      <c r="B12" s="1">
        <v>44561</v>
      </c>
      <c r="C12">
        <v>14</v>
      </c>
      <c r="D12" t="str">
        <f t="shared" ref="D12:D22" si="0">"1052"</f>
        <v>1052</v>
      </c>
      <c r="E12" t="str">
        <f t="shared" ref="E12:E22" si="1">"Корреспондентские счета в других банках"</f>
        <v>Корреспондентские счета в других банках</v>
      </c>
      <c r="F12" t="str">
        <f>"2"</f>
        <v>2</v>
      </c>
      <c r="G12" t="str">
        <f>"4"</f>
        <v>4</v>
      </c>
      <c r="H12" t="str">
        <f>"3"</f>
        <v>3</v>
      </c>
      <c r="I12" s="2">
        <v>9874625120</v>
      </c>
    </row>
    <row r="13" spans="1:9" x14ac:dyDescent="0.25">
      <c r="A13">
        <v>12</v>
      </c>
      <c r="B13" s="1">
        <v>44561</v>
      </c>
      <c r="C13">
        <v>14</v>
      </c>
      <c r="D13" t="str">
        <f t="shared" si="0"/>
        <v>1052</v>
      </c>
      <c r="E13" t="str">
        <f t="shared" si="1"/>
        <v>Корреспондентские счета в других банках</v>
      </c>
      <c r="F13" t="str">
        <f>"1"</f>
        <v>1</v>
      </c>
      <c r="G13" t="str">
        <f>"5"</f>
        <v>5</v>
      </c>
      <c r="H13" t="str">
        <f>"1"</f>
        <v>1</v>
      </c>
      <c r="I13" s="2">
        <v>369749797</v>
      </c>
    </row>
    <row r="14" spans="1:9" x14ac:dyDescent="0.25">
      <c r="A14">
        <v>13</v>
      </c>
      <c r="B14" s="1">
        <v>44561</v>
      </c>
      <c r="C14">
        <v>14</v>
      </c>
      <c r="D14" t="str">
        <f t="shared" si="0"/>
        <v>1052</v>
      </c>
      <c r="E14" t="str">
        <f t="shared" si="1"/>
        <v>Корреспондентские счета в других банках</v>
      </c>
      <c r="F14" t="str">
        <f>"1"</f>
        <v>1</v>
      </c>
      <c r="G14" t="str">
        <f>"4"</f>
        <v>4</v>
      </c>
      <c r="H14" t="str">
        <f>"1"</f>
        <v>1</v>
      </c>
      <c r="I14" s="2">
        <v>208125138</v>
      </c>
    </row>
    <row r="15" spans="1:9" x14ac:dyDescent="0.25">
      <c r="A15">
        <v>14</v>
      </c>
      <c r="B15" s="1">
        <v>44561</v>
      </c>
      <c r="C15">
        <v>14</v>
      </c>
      <c r="D15" t="str">
        <f t="shared" si="0"/>
        <v>1052</v>
      </c>
      <c r="E15" t="str">
        <f t="shared" si="1"/>
        <v>Корреспондентские счета в других банках</v>
      </c>
      <c r="F15" t="str">
        <f>"2"</f>
        <v>2</v>
      </c>
      <c r="G15" t="str">
        <f>"5"</f>
        <v>5</v>
      </c>
      <c r="H15" t="str">
        <f>"2"</f>
        <v>2</v>
      </c>
      <c r="I15" s="2">
        <v>1407861141</v>
      </c>
    </row>
    <row r="16" spans="1:9" x14ac:dyDescent="0.25">
      <c r="A16">
        <v>15</v>
      </c>
      <c r="B16" s="1">
        <v>44561</v>
      </c>
      <c r="C16">
        <v>14</v>
      </c>
      <c r="D16" t="str">
        <f t="shared" si="0"/>
        <v>1052</v>
      </c>
      <c r="E16" t="str">
        <f t="shared" si="1"/>
        <v>Корреспондентские счета в других банках</v>
      </c>
      <c r="F16" t="str">
        <f>"2"</f>
        <v>2</v>
      </c>
      <c r="G16" t="str">
        <f>"5"</f>
        <v>5</v>
      </c>
      <c r="H16" t="str">
        <f>"1"</f>
        <v>1</v>
      </c>
      <c r="I16" s="2">
        <v>338134253</v>
      </c>
    </row>
    <row r="17" spans="1:9" x14ac:dyDescent="0.25">
      <c r="A17">
        <v>16</v>
      </c>
      <c r="B17" s="1">
        <v>44561</v>
      </c>
      <c r="C17">
        <v>14</v>
      </c>
      <c r="D17" t="str">
        <f t="shared" si="0"/>
        <v>1052</v>
      </c>
      <c r="E17" t="str">
        <f t="shared" si="1"/>
        <v>Корреспондентские счета в других банках</v>
      </c>
      <c r="F17" t="str">
        <f>"2"</f>
        <v>2</v>
      </c>
      <c r="G17" t="str">
        <f>"3"</f>
        <v>3</v>
      </c>
      <c r="H17" t="str">
        <f>"3"</f>
        <v>3</v>
      </c>
      <c r="I17" s="2">
        <v>2143264</v>
      </c>
    </row>
    <row r="18" spans="1:9" x14ac:dyDescent="0.25">
      <c r="A18">
        <v>17</v>
      </c>
      <c r="B18" s="1">
        <v>44561</v>
      </c>
      <c r="C18">
        <v>14</v>
      </c>
      <c r="D18" t="str">
        <f t="shared" si="0"/>
        <v>1052</v>
      </c>
      <c r="E18" t="str">
        <f t="shared" si="1"/>
        <v>Корреспондентские счета в других банках</v>
      </c>
      <c r="F18" t="str">
        <f>"2"</f>
        <v>2</v>
      </c>
      <c r="G18" t="str">
        <f>"4"</f>
        <v>4</v>
      </c>
      <c r="H18" t="str">
        <f>"2"</f>
        <v>2</v>
      </c>
      <c r="I18" s="2">
        <v>143449684845</v>
      </c>
    </row>
    <row r="19" spans="1:9" x14ac:dyDescent="0.25">
      <c r="A19">
        <v>18</v>
      </c>
      <c r="B19" s="1">
        <v>44561</v>
      </c>
      <c r="C19">
        <v>14</v>
      </c>
      <c r="D19" t="str">
        <f t="shared" si="0"/>
        <v>1052</v>
      </c>
      <c r="E19" t="str">
        <f t="shared" si="1"/>
        <v>Корреспондентские счета в других банках</v>
      </c>
      <c r="F19" t="str">
        <f>"1"</f>
        <v>1</v>
      </c>
      <c r="G19" t="str">
        <f>"4"</f>
        <v>4</v>
      </c>
      <c r="H19" t="str">
        <f>"2"</f>
        <v>2</v>
      </c>
      <c r="I19" s="2">
        <v>1843775798</v>
      </c>
    </row>
    <row r="20" spans="1:9" x14ac:dyDescent="0.25">
      <c r="A20">
        <v>19</v>
      </c>
      <c r="B20" s="1">
        <v>44561</v>
      </c>
      <c r="C20">
        <v>14</v>
      </c>
      <c r="D20" t="str">
        <f t="shared" si="0"/>
        <v>1052</v>
      </c>
      <c r="E20" t="str">
        <f t="shared" si="1"/>
        <v>Корреспондентские счета в других банках</v>
      </c>
      <c r="F20" t="str">
        <f>"1"</f>
        <v>1</v>
      </c>
      <c r="G20" t="str">
        <f>"5"</f>
        <v>5</v>
      </c>
      <c r="H20" t="str">
        <f>"2"</f>
        <v>2</v>
      </c>
      <c r="I20" s="2">
        <v>3045078052</v>
      </c>
    </row>
    <row r="21" spans="1:9" x14ac:dyDescent="0.25">
      <c r="A21">
        <v>20</v>
      </c>
      <c r="B21" s="1">
        <v>44561</v>
      </c>
      <c r="C21">
        <v>14</v>
      </c>
      <c r="D21" t="str">
        <f t="shared" si="0"/>
        <v>1052</v>
      </c>
      <c r="E21" t="str">
        <f t="shared" si="1"/>
        <v>Корреспондентские счета в других банках</v>
      </c>
      <c r="F21" t="str">
        <f>"1"</f>
        <v>1</v>
      </c>
      <c r="G21" t="str">
        <f>"5"</f>
        <v>5</v>
      </c>
      <c r="H21" t="str">
        <f>"3"</f>
        <v>3</v>
      </c>
      <c r="I21" s="2">
        <v>1338604770</v>
      </c>
    </row>
    <row r="22" spans="1:9" x14ac:dyDescent="0.25">
      <c r="A22">
        <v>21</v>
      </c>
      <c r="B22" s="1">
        <v>44561</v>
      </c>
      <c r="C22">
        <v>14</v>
      </c>
      <c r="D22" t="str">
        <f t="shared" si="0"/>
        <v>1052</v>
      </c>
      <c r="E22" t="str">
        <f t="shared" si="1"/>
        <v>Корреспондентские счета в других банках</v>
      </c>
      <c r="F22" t="str">
        <f>"2"</f>
        <v>2</v>
      </c>
      <c r="G22" t="str">
        <f>"5"</f>
        <v>5</v>
      </c>
      <c r="H22" t="str">
        <f>"3"</f>
        <v>3</v>
      </c>
      <c r="I22" s="2">
        <v>380878812</v>
      </c>
    </row>
    <row r="23" spans="1:9" x14ac:dyDescent="0.25">
      <c r="A23">
        <v>22</v>
      </c>
      <c r="B23" s="1">
        <v>44561</v>
      </c>
      <c r="C23">
        <v>14</v>
      </c>
      <c r="D23" t="str">
        <f t="shared" ref="D23:D35" si="2">"1054"</f>
        <v>1054</v>
      </c>
      <c r="E23" t="str">
        <f t="shared" ref="E23:E35" si="3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3" t="str">
        <f>"2"</f>
        <v>2</v>
      </c>
      <c r="G23" t="str">
        <f>"5"</f>
        <v>5</v>
      </c>
      <c r="H23" t="str">
        <f>"2"</f>
        <v>2</v>
      </c>
      <c r="I23" s="2">
        <v>-17846</v>
      </c>
    </row>
    <row r="24" spans="1:9" x14ac:dyDescent="0.25">
      <c r="A24">
        <v>23</v>
      </c>
      <c r="B24" s="1">
        <v>44561</v>
      </c>
      <c r="C24">
        <v>14</v>
      </c>
      <c r="D24" t="str">
        <f t="shared" si="2"/>
        <v>1054</v>
      </c>
      <c r="E24" t="str">
        <f t="shared" si="3"/>
        <v>Резервы (провизии) по корреспондентским счетам в других банках и текущим счетам ипотечных организаций</v>
      </c>
      <c r="F24" t="str">
        <f>"2"</f>
        <v>2</v>
      </c>
      <c r="G24" t="str">
        <f>"5"</f>
        <v>5</v>
      </c>
      <c r="H24" t="str">
        <f>"3"</f>
        <v>3</v>
      </c>
      <c r="I24" s="2">
        <v>-6437</v>
      </c>
    </row>
    <row r="25" spans="1:9" x14ac:dyDescent="0.25">
      <c r="A25">
        <v>24</v>
      </c>
      <c r="B25" s="1">
        <v>44561</v>
      </c>
      <c r="C25">
        <v>14</v>
      </c>
      <c r="D25" t="str">
        <f t="shared" si="2"/>
        <v>1054</v>
      </c>
      <c r="E25" t="str">
        <f t="shared" si="3"/>
        <v>Резервы (провизии) по корреспондентским счетам в других банках и текущим счетам ипотечных организаций</v>
      </c>
      <c r="F25" t="str">
        <f>"2"</f>
        <v>2</v>
      </c>
      <c r="G25" t="str">
        <f>"4"</f>
        <v>4</v>
      </c>
      <c r="H25" t="str">
        <f>"3"</f>
        <v>3</v>
      </c>
      <c r="I25" s="2">
        <v>-106774</v>
      </c>
    </row>
    <row r="26" spans="1:9" x14ac:dyDescent="0.25">
      <c r="A26">
        <v>25</v>
      </c>
      <c r="B26" s="1">
        <v>44561</v>
      </c>
      <c r="C26">
        <v>14</v>
      </c>
      <c r="D26" t="str">
        <f t="shared" si="2"/>
        <v>1054</v>
      </c>
      <c r="E26" t="str">
        <f t="shared" si="3"/>
        <v>Резервы (провизии) по корреспондентским счетам в других банках и текущим счетам ипотечных организаций</v>
      </c>
      <c r="F26" t="str">
        <f t="shared" ref="F26:F31" si="4">"1"</f>
        <v>1</v>
      </c>
      <c r="G26" t="str">
        <f>"5"</f>
        <v>5</v>
      </c>
      <c r="H26" t="str">
        <f>"1"</f>
        <v>1</v>
      </c>
      <c r="I26" s="2">
        <v>-3716</v>
      </c>
    </row>
    <row r="27" spans="1:9" x14ac:dyDescent="0.25">
      <c r="A27">
        <v>26</v>
      </c>
      <c r="B27" s="1">
        <v>44561</v>
      </c>
      <c r="C27">
        <v>14</v>
      </c>
      <c r="D27" t="str">
        <f t="shared" si="2"/>
        <v>1054</v>
      </c>
      <c r="E27" t="str">
        <f t="shared" si="3"/>
        <v>Резервы (провизии) по корреспондентским счетам в других банках и текущим счетам ипотечных организаций</v>
      </c>
      <c r="F27" t="str">
        <f t="shared" si="4"/>
        <v>1</v>
      </c>
      <c r="G27" t="str">
        <f>"4"</f>
        <v>4</v>
      </c>
      <c r="H27" t="str">
        <f>"1"</f>
        <v>1</v>
      </c>
      <c r="I27" s="2">
        <v>-1091</v>
      </c>
    </row>
    <row r="28" spans="1:9" x14ac:dyDescent="0.25">
      <c r="A28">
        <v>27</v>
      </c>
      <c r="B28" s="1">
        <v>44561</v>
      </c>
      <c r="C28">
        <v>14</v>
      </c>
      <c r="D28" t="str">
        <f t="shared" si="2"/>
        <v>1054</v>
      </c>
      <c r="E28" t="str">
        <f t="shared" si="3"/>
        <v>Резервы (провизии) по корреспондентским счетам в других банках и текущим счетам ипотечных организаций</v>
      </c>
      <c r="F28" t="str">
        <f t="shared" si="4"/>
        <v>1</v>
      </c>
      <c r="G28" t="str">
        <f>"4"</f>
        <v>4</v>
      </c>
      <c r="H28" t="str">
        <f>"2"</f>
        <v>2</v>
      </c>
      <c r="I28" s="2">
        <v>-9661</v>
      </c>
    </row>
    <row r="29" spans="1:9" x14ac:dyDescent="0.25">
      <c r="A29">
        <v>28</v>
      </c>
      <c r="B29" s="1">
        <v>44561</v>
      </c>
      <c r="C29">
        <v>14</v>
      </c>
      <c r="D29" t="str">
        <f t="shared" si="2"/>
        <v>1054</v>
      </c>
      <c r="E29" t="str">
        <f t="shared" si="3"/>
        <v>Резервы (провизии) по корреспондентским счетам в других банках и текущим счетам ипотечных организаций</v>
      </c>
      <c r="F29" t="str">
        <f t="shared" si="4"/>
        <v>1</v>
      </c>
      <c r="G29" t="str">
        <f>"5"</f>
        <v>5</v>
      </c>
      <c r="H29" t="str">
        <f>"2"</f>
        <v>2</v>
      </c>
      <c r="I29" s="2">
        <v>-30601</v>
      </c>
    </row>
    <row r="30" spans="1:9" x14ac:dyDescent="0.25">
      <c r="A30">
        <v>29</v>
      </c>
      <c r="B30" s="1">
        <v>44561</v>
      </c>
      <c r="C30">
        <v>14</v>
      </c>
      <c r="D30" t="str">
        <f t="shared" si="2"/>
        <v>1054</v>
      </c>
      <c r="E30" t="str">
        <f t="shared" si="3"/>
        <v>Резервы (провизии) по корреспондентским счетам в других банках и текущим счетам ипотечных организаций</v>
      </c>
      <c r="F30" t="str">
        <f t="shared" si="4"/>
        <v>1</v>
      </c>
      <c r="G30" t="str">
        <f>"5"</f>
        <v>5</v>
      </c>
      <c r="H30" t="str">
        <f>"3"</f>
        <v>3</v>
      </c>
      <c r="I30" s="2">
        <v>-13452</v>
      </c>
    </row>
    <row r="31" spans="1:9" x14ac:dyDescent="0.25">
      <c r="A31">
        <v>30</v>
      </c>
      <c r="B31" s="1">
        <v>44561</v>
      </c>
      <c r="C31">
        <v>14</v>
      </c>
      <c r="D31" t="str">
        <f t="shared" si="2"/>
        <v>1054</v>
      </c>
      <c r="E31" t="str">
        <f t="shared" si="3"/>
        <v>Резервы (провизии) по корреспондентским счетам в других банках и текущим счетам ипотечных организаций</v>
      </c>
      <c r="F31" t="str">
        <f t="shared" si="4"/>
        <v>1</v>
      </c>
      <c r="G31" t="str">
        <f>"3"</f>
        <v>3</v>
      </c>
      <c r="H31" t="str">
        <f>"1"</f>
        <v>1</v>
      </c>
      <c r="I31" s="2">
        <v>-574739</v>
      </c>
    </row>
    <row r="32" spans="1:9" x14ac:dyDescent="0.25">
      <c r="A32">
        <v>31</v>
      </c>
      <c r="B32" s="1">
        <v>44561</v>
      </c>
      <c r="C32">
        <v>14</v>
      </c>
      <c r="D32" t="str">
        <f t="shared" si="2"/>
        <v>1054</v>
      </c>
      <c r="E32" t="str">
        <f t="shared" si="3"/>
        <v>Резервы (провизии) по корреспондентским счетам в других банках и текущим счетам ипотечных организаций</v>
      </c>
      <c r="F32" t="str">
        <f>"2"</f>
        <v>2</v>
      </c>
      <c r="G32" t="str">
        <f>"4"</f>
        <v>4</v>
      </c>
      <c r="H32" t="str">
        <f>"2"</f>
        <v>2</v>
      </c>
      <c r="I32" s="2">
        <v>-424715</v>
      </c>
    </row>
    <row r="33" spans="1:9" x14ac:dyDescent="0.25">
      <c r="A33">
        <v>32</v>
      </c>
      <c r="B33" s="1">
        <v>44561</v>
      </c>
      <c r="C33">
        <v>14</v>
      </c>
      <c r="D33" t="str">
        <f t="shared" si="2"/>
        <v>1054</v>
      </c>
      <c r="E33" t="str">
        <f t="shared" si="3"/>
        <v>Резервы (провизии) по корреспондентским счетам в других банках и текущим счетам ипотечных организаций</v>
      </c>
      <c r="F33" t="str">
        <f>"2"</f>
        <v>2</v>
      </c>
      <c r="G33" t="str">
        <f>"3"</f>
        <v>3</v>
      </c>
      <c r="H33" t="str">
        <f>"3"</f>
        <v>3</v>
      </c>
      <c r="I33" s="2">
        <v>-15</v>
      </c>
    </row>
    <row r="34" spans="1:9" x14ac:dyDescent="0.25">
      <c r="A34">
        <v>33</v>
      </c>
      <c r="B34" s="1">
        <v>44561</v>
      </c>
      <c r="C34">
        <v>14</v>
      </c>
      <c r="D34" t="str">
        <f t="shared" si="2"/>
        <v>1054</v>
      </c>
      <c r="E34" t="str">
        <f t="shared" si="3"/>
        <v>Резервы (провизии) по корреспондентским счетам в других банках и текущим счетам ипотечных организаций</v>
      </c>
      <c r="F34" t="str">
        <f>"1"</f>
        <v>1</v>
      </c>
      <c r="G34" t="str">
        <f>"3"</f>
        <v>3</v>
      </c>
      <c r="H34" t="str">
        <f>"2"</f>
        <v>2</v>
      </c>
      <c r="I34" s="2">
        <v>-483448</v>
      </c>
    </row>
    <row r="35" spans="1:9" x14ac:dyDescent="0.25">
      <c r="A35">
        <v>34</v>
      </c>
      <c r="B35" s="1">
        <v>44561</v>
      </c>
      <c r="C35">
        <v>14</v>
      </c>
      <c r="D35" t="str">
        <f t="shared" si="2"/>
        <v>1054</v>
      </c>
      <c r="E35" t="str">
        <f t="shared" si="3"/>
        <v>Резервы (провизии) по корреспондентским счетам в других банках и текущим счетам ипотечных организаций</v>
      </c>
      <c r="F35" t="str">
        <f>"2"</f>
        <v>2</v>
      </c>
      <c r="G35" t="str">
        <f>"5"</f>
        <v>5</v>
      </c>
      <c r="H35" t="str">
        <f>"1"</f>
        <v>1</v>
      </c>
      <c r="I35" s="2">
        <v>-4286</v>
      </c>
    </row>
    <row r="36" spans="1:9" x14ac:dyDescent="0.25">
      <c r="A36">
        <v>35</v>
      </c>
      <c r="B36" s="1">
        <v>44561</v>
      </c>
      <c r="C36">
        <v>14</v>
      </c>
      <c r="D36" t="str">
        <f>"1055"</f>
        <v>1055</v>
      </c>
      <c r="E36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36" t="str">
        <f>"1"</f>
        <v>1</v>
      </c>
      <c r="G36" t="str">
        <f>"3"</f>
        <v>3</v>
      </c>
      <c r="H36" t="str">
        <f>"1"</f>
        <v>1</v>
      </c>
      <c r="I36" s="2">
        <v>24313959300</v>
      </c>
    </row>
    <row r="37" spans="1:9" x14ac:dyDescent="0.25">
      <c r="A37">
        <v>36</v>
      </c>
      <c r="B37" s="1">
        <v>44561</v>
      </c>
      <c r="C37">
        <v>14</v>
      </c>
      <c r="D37" t="str">
        <f>"1101"</f>
        <v>1101</v>
      </c>
      <c r="E37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37" t="str">
        <f>"1"</f>
        <v>1</v>
      </c>
      <c r="G37" t="str">
        <f>"3"</f>
        <v>3</v>
      </c>
      <c r="H37" t="str">
        <f>"1"</f>
        <v>1</v>
      </c>
      <c r="I37" s="2">
        <v>50000000000</v>
      </c>
    </row>
    <row r="38" spans="1:9" x14ac:dyDescent="0.25">
      <c r="A38">
        <v>37</v>
      </c>
      <c r="B38" s="1">
        <v>44561</v>
      </c>
      <c r="C38">
        <v>14</v>
      </c>
      <c r="D38" t="str">
        <f>"1103"</f>
        <v>1103</v>
      </c>
      <c r="E38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38" t="str">
        <f>"1"</f>
        <v>1</v>
      </c>
      <c r="G38" t="str">
        <f>"3"</f>
        <v>3</v>
      </c>
      <c r="H38" t="str">
        <f>"2"</f>
        <v>2</v>
      </c>
      <c r="I38" s="2">
        <v>906780000000</v>
      </c>
    </row>
    <row r="39" spans="1:9" x14ac:dyDescent="0.25">
      <c r="A39">
        <v>38</v>
      </c>
      <c r="B39" s="1">
        <v>44561</v>
      </c>
      <c r="C39">
        <v>14</v>
      </c>
      <c r="D39" t="str">
        <f>"1251"</f>
        <v>1251</v>
      </c>
      <c r="E39" t="str">
        <f>"Вклады, размещенные в других банках (на одну ночь)"</f>
        <v>Вклады, размещенные в других банках (на одну ночь)</v>
      </c>
      <c r="F39" t="str">
        <f t="shared" ref="F39:F46" si="5">"2"</f>
        <v>2</v>
      </c>
      <c r="G39" t="str">
        <f>"4"</f>
        <v>4</v>
      </c>
      <c r="H39" t="str">
        <f>"2"</f>
        <v>2</v>
      </c>
      <c r="I39" s="2">
        <v>86360000000</v>
      </c>
    </row>
    <row r="40" spans="1:9" x14ac:dyDescent="0.25">
      <c r="A40">
        <v>39</v>
      </c>
      <c r="B40" s="1">
        <v>44561</v>
      </c>
      <c r="C40">
        <v>14</v>
      </c>
      <c r="D40" t="str">
        <f>"1253"</f>
        <v>1253</v>
      </c>
      <c r="E40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F40" t="str">
        <f t="shared" si="5"/>
        <v>2</v>
      </c>
      <c r="G40" t="str">
        <f>"3"</f>
        <v>3</v>
      </c>
      <c r="H40" t="str">
        <f>"2"</f>
        <v>2</v>
      </c>
      <c r="I40" s="2">
        <v>8636000000</v>
      </c>
    </row>
    <row r="41" spans="1:9" x14ac:dyDescent="0.25">
      <c r="A41">
        <v>40</v>
      </c>
      <c r="B41" s="1">
        <v>44561</v>
      </c>
      <c r="C41">
        <v>14</v>
      </c>
      <c r="D41" t="str">
        <f>"1254"</f>
        <v>1254</v>
      </c>
      <c r="E41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F41" t="str">
        <f t="shared" si="5"/>
        <v>2</v>
      </c>
      <c r="G41" t="str">
        <f>"4"</f>
        <v>4</v>
      </c>
      <c r="H41" t="str">
        <f>"1"</f>
        <v>1</v>
      </c>
      <c r="I41" s="2">
        <v>1115000000</v>
      </c>
    </row>
    <row r="42" spans="1:9" x14ac:dyDescent="0.25">
      <c r="A42">
        <v>41</v>
      </c>
      <c r="B42" s="1">
        <v>44561</v>
      </c>
      <c r="C42">
        <v>14</v>
      </c>
      <c r="D42" t="str">
        <f>"1254"</f>
        <v>1254</v>
      </c>
      <c r="E42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F42" t="str">
        <f t="shared" si="5"/>
        <v>2</v>
      </c>
      <c r="G42" t="str">
        <f>"4"</f>
        <v>4</v>
      </c>
      <c r="H42" t="str">
        <f>"2"</f>
        <v>2</v>
      </c>
      <c r="I42" s="2">
        <v>113976783800</v>
      </c>
    </row>
    <row r="43" spans="1:9" x14ac:dyDescent="0.25">
      <c r="A43">
        <v>42</v>
      </c>
      <c r="B43" s="1">
        <v>44561</v>
      </c>
      <c r="C43">
        <v>14</v>
      </c>
      <c r="D43" t="str">
        <f>"1255"</f>
        <v>1255</v>
      </c>
      <c r="E43" t="str">
        <f>"Долгосрочные вклады, размещенные в других банках"</f>
        <v>Долгосрочные вклады, размещенные в других банках</v>
      </c>
      <c r="F43" t="str">
        <f t="shared" si="5"/>
        <v>2</v>
      </c>
      <c r="G43" t="str">
        <f>"4"</f>
        <v>4</v>
      </c>
      <c r="H43" t="str">
        <f>"1"</f>
        <v>1</v>
      </c>
      <c r="I43" s="2">
        <v>3000000000</v>
      </c>
    </row>
    <row r="44" spans="1:9" x14ac:dyDescent="0.25">
      <c r="A44">
        <v>43</v>
      </c>
      <c r="B44" s="1">
        <v>44561</v>
      </c>
      <c r="C44">
        <v>14</v>
      </c>
      <c r="D44" t="str">
        <f>"1255"</f>
        <v>1255</v>
      </c>
      <c r="E44" t="str">
        <f>"Долгосрочные вклады, размещенные в других банках"</f>
        <v>Долгосрочные вклады, размещенные в других банках</v>
      </c>
      <c r="F44" t="str">
        <f t="shared" si="5"/>
        <v>2</v>
      </c>
      <c r="G44" t="str">
        <f>"4"</f>
        <v>4</v>
      </c>
      <c r="H44" t="str">
        <f>"2"</f>
        <v>2</v>
      </c>
      <c r="I44" s="2">
        <v>23017566600</v>
      </c>
    </row>
    <row r="45" spans="1:9" x14ac:dyDescent="0.25">
      <c r="A45">
        <v>44</v>
      </c>
      <c r="B45" s="1">
        <v>44561</v>
      </c>
      <c r="C45">
        <v>14</v>
      </c>
      <c r="D45" t="str">
        <f t="shared" ref="D45:D50" si="6">"1259"</f>
        <v>1259</v>
      </c>
      <c r="E45" t="str">
        <f t="shared" ref="E45:E50" si="7">"Резервы (провизии) по вкладам, размещенным в других банках"</f>
        <v>Резервы (провизии) по вкладам, размещенным в других банках</v>
      </c>
      <c r="F45" t="str">
        <f t="shared" si="5"/>
        <v>2</v>
      </c>
      <c r="G45" t="str">
        <f>"4"</f>
        <v>4</v>
      </c>
      <c r="H45" t="str">
        <f>"1"</f>
        <v>1</v>
      </c>
      <c r="I45" s="2">
        <v>-6275596</v>
      </c>
    </row>
    <row r="46" spans="1:9" x14ac:dyDescent="0.25">
      <c r="A46">
        <v>45</v>
      </c>
      <c r="B46" s="1">
        <v>44561</v>
      </c>
      <c r="C46">
        <v>14</v>
      </c>
      <c r="D46" t="str">
        <f t="shared" si="6"/>
        <v>1259</v>
      </c>
      <c r="E46" t="str">
        <f t="shared" si="7"/>
        <v>Резервы (провизии) по вкладам, размещенным в других банках</v>
      </c>
      <c r="F46" t="str">
        <f t="shared" si="5"/>
        <v>2</v>
      </c>
      <c r="G46" t="str">
        <f>"5"</f>
        <v>5</v>
      </c>
      <c r="H46" t="str">
        <f>"2"</f>
        <v>2</v>
      </c>
      <c r="I46" s="2">
        <v>-3848089</v>
      </c>
    </row>
    <row r="47" spans="1:9" x14ac:dyDescent="0.25">
      <c r="A47">
        <v>46</v>
      </c>
      <c r="B47" s="1">
        <v>44561</v>
      </c>
      <c r="C47">
        <v>14</v>
      </c>
      <c r="D47" t="str">
        <f t="shared" si="6"/>
        <v>1259</v>
      </c>
      <c r="E47" t="str">
        <f t="shared" si="7"/>
        <v>Резервы (провизии) по вкладам, размещенным в других банках</v>
      </c>
      <c r="F47" t="str">
        <f>"1"</f>
        <v>1</v>
      </c>
      <c r="G47" t="str">
        <f>"3"</f>
        <v>3</v>
      </c>
      <c r="H47" t="str">
        <f>"2"</f>
        <v>2</v>
      </c>
      <c r="I47" s="2">
        <v>-74970381</v>
      </c>
    </row>
    <row r="48" spans="1:9" x14ac:dyDescent="0.25">
      <c r="A48">
        <v>47</v>
      </c>
      <c r="B48" s="1">
        <v>44561</v>
      </c>
      <c r="C48">
        <v>14</v>
      </c>
      <c r="D48" t="str">
        <f t="shared" si="6"/>
        <v>1259</v>
      </c>
      <c r="E48" t="str">
        <f t="shared" si="7"/>
        <v>Резервы (провизии) по вкладам, размещенным в других банках</v>
      </c>
      <c r="F48" t="str">
        <f>"2"</f>
        <v>2</v>
      </c>
      <c r="G48" t="str">
        <f>"4"</f>
        <v>4</v>
      </c>
      <c r="H48" t="str">
        <f>"2"</f>
        <v>2</v>
      </c>
      <c r="I48" s="2">
        <v>-91252029</v>
      </c>
    </row>
    <row r="49" spans="1:9" x14ac:dyDescent="0.25">
      <c r="A49">
        <v>48</v>
      </c>
      <c r="B49" s="1">
        <v>44561</v>
      </c>
      <c r="C49">
        <v>14</v>
      </c>
      <c r="D49" t="str">
        <f t="shared" si="6"/>
        <v>1259</v>
      </c>
      <c r="E49" t="str">
        <f t="shared" si="7"/>
        <v>Резервы (провизии) по вкладам, размещенным в других банках</v>
      </c>
      <c r="F49" t="str">
        <f>"2"</f>
        <v>2</v>
      </c>
      <c r="G49" t="str">
        <f>"3"</f>
        <v>3</v>
      </c>
      <c r="H49" t="str">
        <f>"2"</f>
        <v>2</v>
      </c>
      <c r="I49" s="2">
        <v>-49052</v>
      </c>
    </row>
    <row r="50" spans="1:9" x14ac:dyDescent="0.25">
      <c r="A50">
        <v>49</v>
      </c>
      <c r="B50" s="1">
        <v>44561</v>
      </c>
      <c r="C50">
        <v>14</v>
      </c>
      <c r="D50" t="str">
        <f t="shared" si="6"/>
        <v>1259</v>
      </c>
      <c r="E50" t="str">
        <f t="shared" si="7"/>
        <v>Резервы (провизии) по вкладам, размещенным в других банках</v>
      </c>
      <c r="F50" t="str">
        <f>"1"</f>
        <v>1</v>
      </c>
      <c r="G50" t="str">
        <f>"3"</f>
        <v>3</v>
      </c>
      <c r="H50" t="str">
        <f>"1"</f>
        <v>1</v>
      </c>
      <c r="I50" s="2">
        <v>-284006</v>
      </c>
    </row>
    <row r="51" spans="1:9" x14ac:dyDescent="0.25">
      <c r="A51">
        <v>50</v>
      </c>
      <c r="B51" s="1">
        <v>44561</v>
      </c>
      <c r="C51">
        <v>14</v>
      </c>
      <c r="D51" t="str">
        <f>"1264"</f>
        <v>1264</v>
      </c>
      <c r="E51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51" t="str">
        <f>"2"</f>
        <v>2</v>
      </c>
      <c r="G51" t="str">
        <f>"5"</f>
        <v>5</v>
      </c>
      <c r="H51" t="str">
        <f>"2"</f>
        <v>2</v>
      </c>
      <c r="I51" s="2">
        <v>11246546646</v>
      </c>
    </row>
    <row r="52" spans="1:9" x14ac:dyDescent="0.25">
      <c r="A52">
        <v>51</v>
      </c>
      <c r="B52" s="1">
        <v>44561</v>
      </c>
      <c r="C52">
        <v>14</v>
      </c>
      <c r="D52" t="str">
        <f>"1264"</f>
        <v>1264</v>
      </c>
      <c r="E52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52" t="str">
        <f>"2"</f>
        <v>2</v>
      </c>
      <c r="G52" t="str">
        <f>"4"</f>
        <v>4</v>
      </c>
      <c r="H52" t="str">
        <f>"2"</f>
        <v>2</v>
      </c>
      <c r="I52" s="2">
        <v>19383502000</v>
      </c>
    </row>
    <row r="53" spans="1:9" x14ac:dyDescent="0.25">
      <c r="A53">
        <v>52</v>
      </c>
      <c r="B53" s="1">
        <v>44561</v>
      </c>
      <c r="C53">
        <v>14</v>
      </c>
      <c r="D53" t="str">
        <f>"1267"</f>
        <v>1267</v>
      </c>
      <c r="E53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3" t="str">
        <f>"1"</f>
        <v>1</v>
      </c>
      <c r="G53" t="str">
        <f>"5"</f>
        <v>5</v>
      </c>
      <c r="H53" t="str">
        <f>"2"</f>
        <v>2</v>
      </c>
      <c r="I53" s="2">
        <v>1295400000</v>
      </c>
    </row>
    <row r="54" spans="1:9" x14ac:dyDescent="0.25">
      <c r="A54">
        <v>53</v>
      </c>
      <c r="B54" s="1">
        <v>44561</v>
      </c>
      <c r="C54">
        <v>14</v>
      </c>
      <c r="D54" t="str">
        <f>"1267"</f>
        <v>1267</v>
      </c>
      <c r="E5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54" t="str">
        <f>"1"</f>
        <v>1</v>
      </c>
      <c r="G54" t="str">
        <f>"5"</f>
        <v>5</v>
      </c>
      <c r="H54" t="str">
        <f>"1"</f>
        <v>1</v>
      </c>
      <c r="I54" s="2">
        <v>403095593</v>
      </c>
    </row>
    <row r="55" spans="1:9" x14ac:dyDescent="0.25">
      <c r="A55">
        <v>54</v>
      </c>
      <c r="B55" s="1">
        <v>44561</v>
      </c>
      <c r="C55">
        <v>14</v>
      </c>
      <c r="D55" t="str">
        <f>"1301"</f>
        <v>1301</v>
      </c>
      <c r="E55" t="str">
        <f>"Займы овердрафт по корреспондентским счетам других банков"</f>
        <v>Займы овердрафт по корреспондентским счетам других банков</v>
      </c>
      <c r="F55" t="str">
        <f>"1"</f>
        <v>1</v>
      </c>
      <c r="G55" t="str">
        <f>"4"</f>
        <v>4</v>
      </c>
      <c r="H55" t="str">
        <f t="shared" ref="H55:H60" si="8">"2"</f>
        <v>2</v>
      </c>
      <c r="I55" s="2">
        <v>22949635</v>
      </c>
    </row>
    <row r="56" spans="1:9" x14ac:dyDescent="0.25">
      <c r="A56">
        <v>55</v>
      </c>
      <c r="B56" s="1">
        <v>44561</v>
      </c>
      <c r="C56">
        <v>14</v>
      </c>
      <c r="D56" t="str">
        <f>"1302"</f>
        <v>1302</v>
      </c>
      <c r="E56" t="str">
        <f>"Краткосрочные займы, предоставленные другим банкам"</f>
        <v>Краткосрочные займы, предоставленные другим банкам</v>
      </c>
      <c r="F56" t="str">
        <f t="shared" ref="F56:F61" si="9">"2"</f>
        <v>2</v>
      </c>
      <c r="G56" t="str">
        <f>"4"</f>
        <v>4</v>
      </c>
      <c r="H56" t="str">
        <f t="shared" si="8"/>
        <v>2</v>
      </c>
      <c r="I56" s="2">
        <v>9156007415</v>
      </c>
    </row>
    <row r="57" spans="1:9" x14ac:dyDescent="0.25">
      <c r="A57">
        <v>56</v>
      </c>
      <c r="B57" s="1">
        <v>44561</v>
      </c>
      <c r="C57">
        <v>14</v>
      </c>
      <c r="D57" t="str">
        <f>"1304"</f>
        <v>1304</v>
      </c>
      <c r="E57" t="str">
        <f>"Долгосрочные займы, предоставленные другим банкам"</f>
        <v>Долгосрочные займы, предоставленные другим банкам</v>
      </c>
      <c r="F57" t="str">
        <f t="shared" si="9"/>
        <v>2</v>
      </c>
      <c r="G57" t="str">
        <f>"4"</f>
        <v>4</v>
      </c>
      <c r="H57" t="str">
        <f t="shared" si="8"/>
        <v>2</v>
      </c>
      <c r="I57" s="2">
        <v>70754180000</v>
      </c>
    </row>
    <row r="58" spans="1:9" x14ac:dyDescent="0.25">
      <c r="A58">
        <v>57</v>
      </c>
      <c r="B58" s="1">
        <v>44561</v>
      </c>
      <c r="C58">
        <v>14</v>
      </c>
      <c r="D58" t="str">
        <f>"1312"</f>
        <v>1312</v>
      </c>
      <c r="E58" t="str">
        <f>"Дисконт по займам, предоставленным другим банкам"</f>
        <v>Дисконт по займам, предоставленным другим банкам</v>
      </c>
      <c r="F58" t="str">
        <f t="shared" si="9"/>
        <v>2</v>
      </c>
      <c r="G58" t="str">
        <f>"4"</f>
        <v>4</v>
      </c>
      <c r="H58" t="str">
        <f t="shared" si="8"/>
        <v>2</v>
      </c>
      <c r="I58" s="2">
        <v>-31212251</v>
      </c>
    </row>
    <row r="59" spans="1:9" x14ac:dyDescent="0.25">
      <c r="A59">
        <v>58</v>
      </c>
      <c r="B59" s="1">
        <v>44561</v>
      </c>
      <c r="C59">
        <v>14</v>
      </c>
      <c r="D59" t="str">
        <f>"1319"</f>
        <v>1319</v>
      </c>
      <c r="E59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F59" t="str">
        <f t="shared" si="9"/>
        <v>2</v>
      </c>
      <c r="G59" t="str">
        <f>"4"</f>
        <v>4</v>
      </c>
      <c r="H59" t="str">
        <f t="shared" si="8"/>
        <v>2</v>
      </c>
      <c r="I59" s="2">
        <v>-171017197</v>
      </c>
    </row>
    <row r="60" spans="1:9" x14ac:dyDescent="0.25">
      <c r="A60">
        <v>59</v>
      </c>
      <c r="B60" s="1">
        <v>44561</v>
      </c>
      <c r="C60">
        <v>14</v>
      </c>
      <c r="D60" t="str">
        <f t="shared" ref="D60:D65" si="10">"1401"</f>
        <v>1401</v>
      </c>
      <c r="E60" t="str">
        <f t="shared" ref="E60:E65" si="11">"Займы овердрафт, предоставленные клиентам"</f>
        <v>Займы овердрафт, предоставленные клиентам</v>
      </c>
      <c r="F60" t="str">
        <f t="shared" si="9"/>
        <v>2</v>
      </c>
      <c r="G60" t="str">
        <f>"9"</f>
        <v>9</v>
      </c>
      <c r="H60" t="str">
        <f t="shared" si="8"/>
        <v>2</v>
      </c>
      <c r="I60" s="2">
        <v>12759638</v>
      </c>
    </row>
    <row r="61" spans="1:9" x14ac:dyDescent="0.25">
      <c r="A61">
        <v>60</v>
      </c>
      <c r="B61" s="1">
        <v>44561</v>
      </c>
      <c r="C61">
        <v>14</v>
      </c>
      <c r="D61" t="str">
        <f t="shared" si="10"/>
        <v>1401</v>
      </c>
      <c r="E61" t="str">
        <f t="shared" si="11"/>
        <v>Займы овердрафт, предоставленные клиентам</v>
      </c>
      <c r="F61" t="str">
        <f t="shared" si="9"/>
        <v>2</v>
      </c>
      <c r="G61" t="str">
        <f>"9"</f>
        <v>9</v>
      </c>
      <c r="H61" t="str">
        <f>"1"</f>
        <v>1</v>
      </c>
      <c r="I61" s="2">
        <v>10147971</v>
      </c>
    </row>
    <row r="62" spans="1:9" x14ac:dyDescent="0.25">
      <c r="A62">
        <v>61</v>
      </c>
      <c r="B62" s="1">
        <v>44561</v>
      </c>
      <c r="C62">
        <v>14</v>
      </c>
      <c r="D62" t="str">
        <f t="shared" si="10"/>
        <v>1401</v>
      </c>
      <c r="E62" t="str">
        <f t="shared" si="11"/>
        <v>Займы овердрафт, предоставленные клиентам</v>
      </c>
      <c r="F62" t="str">
        <f t="shared" ref="F62:F68" si="12">"1"</f>
        <v>1</v>
      </c>
      <c r="G62" t="str">
        <f>"9"</f>
        <v>9</v>
      </c>
      <c r="H62" t="str">
        <f>"1"</f>
        <v>1</v>
      </c>
      <c r="I62" s="2">
        <v>12075169254</v>
      </c>
    </row>
    <row r="63" spans="1:9" x14ac:dyDescent="0.25">
      <c r="A63">
        <v>62</v>
      </c>
      <c r="B63" s="1">
        <v>44561</v>
      </c>
      <c r="C63">
        <v>14</v>
      </c>
      <c r="D63" t="str">
        <f t="shared" si="10"/>
        <v>1401</v>
      </c>
      <c r="E63" t="str">
        <f t="shared" si="11"/>
        <v>Займы овердрафт, предоставленные клиентам</v>
      </c>
      <c r="F63" t="str">
        <f t="shared" si="12"/>
        <v>1</v>
      </c>
      <c r="G63" t="str">
        <f>"7"</f>
        <v>7</v>
      </c>
      <c r="H63" t="str">
        <f>"1"</f>
        <v>1</v>
      </c>
      <c r="I63" s="2">
        <v>505181350</v>
      </c>
    </row>
    <row r="64" spans="1:9" x14ac:dyDescent="0.25">
      <c r="A64">
        <v>63</v>
      </c>
      <c r="B64" s="1">
        <v>44561</v>
      </c>
      <c r="C64">
        <v>14</v>
      </c>
      <c r="D64" t="str">
        <f t="shared" si="10"/>
        <v>1401</v>
      </c>
      <c r="E64" t="str">
        <f t="shared" si="11"/>
        <v>Займы овердрафт, предоставленные клиентам</v>
      </c>
      <c r="F64" t="str">
        <f t="shared" si="12"/>
        <v>1</v>
      </c>
      <c r="G64" t="str">
        <f>"7"</f>
        <v>7</v>
      </c>
      <c r="H64" t="str">
        <f>"2"</f>
        <v>2</v>
      </c>
      <c r="I64" s="2">
        <v>1607337</v>
      </c>
    </row>
    <row r="65" spans="1:9" x14ac:dyDescent="0.25">
      <c r="A65">
        <v>64</v>
      </c>
      <c r="B65" s="1">
        <v>44561</v>
      </c>
      <c r="C65">
        <v>14</v>
      </c>
      <c r="D65" t="str">
        <f t="shared" si="10"/>
        <v>1401</v>
      </c>
      <c r="E65" t="str">
        <f t="shared" si="11"/>
        <v>Займы овердрафт, предоставленные клиентам</v>
      </c>
      <c r="F65" t="str">
        <f t="shared" si="12"/>
        <v>1</v>
      </c>
      <c r="G65" t="str">
        <f>"9"</f>
        <v>9</v>
      </c>
      <c r="H65" t="str">
        <f>"2"</f>
        <v>2</v>
      </c>
      <c r="I65" s="2">
        <v>427133882</v>
      </c>
    </row>
    <row r="66" spans="1:9" x14ac:dyDescent="0.25">
      <c r="A66">
        <v>65</v>
      </c>
      <c r="B66" s="1">
        <v>44561</v>
      </c>
      <c r="C66">
        <v>14</v>
      </c>
      <c r="D66" t="str">
        <f>"1403"</f>
        <v>1403</v>
      </c>
      <c r="E66" t="str">
        <f>"Счета по кредитным карточкам клиентов"</f>
        <v>Счета по кредитным карточкам клиентов</v>
      </c>
      <c r="F66" t="str">
        <f t="shared" si="12"/>
        <v>1</v>
      </c>
      <c r="G66" t="str">
        <f>"9"</f>
        <v>9</v>
      </c>
      <c r="H66" t="str">
        <f>"1"</f>
        <v>1</v>
      </c>
      <c r="I66" s="2">
        <v>1309137758000</v>
      </c>
    </row>
    <row r="67" spans="1:9" x14ac:dyDescent="0.25">
      <c r="A67">
        <v>66</v>
      </c>
      <c r="B67" s="1">
        <v>44561</v>
      </c>
      <c r="C67">
        <v>14</v>
      </c>
      <c r="D67" t="str">
        <f>"1403"</f>
        <v>1403</v>
      </c>
      <c r="E67" t="str">
        <f>"Счета по кредитным карточкам клиентов"</f>
        <v>Счета по кредитным карточкам клиентов</v>
      </c>
      <c r="F67" t="str">
        <f t="shared" si="12"/>
        <v>1</v>
      </c>
      <c r="G67" t="str">
        <f>"7"</f>
        <v>7</v>
      </c>
      <c r="H67" t="str">
        <f>"1"</f>
        <v>1</v>
      </c>
      <c r="I67" s="2">
        <v>82795760</v>
      </c>
    </row>
    <row r="68" spans="1:9" x14ac:dyDescent="0.25">
      <c r="A68">
        <v>67</v>
      </c>
      <c r="B68" s="1">
        <v>44561</v>
      </c>
      <c r="C68">
        <v>14</v>
      </c>
      <c r="D68" t="str">
        <f>"1403"</f>
        <v>1403</v>
      </c>
      <c r="E68" t="str">
        <f>"Счета по кредитным карточкам клиентов"</f>
        <v>Счета по кредитным карточкам клиентов</v>
      </c>
      <c r="F68" t="str">
        <f t="shared" si="12"/>
        <v>1</v>
      </c>
      <c r="G68" t="str">
        <f>"9"</f>
        <v>9</v>
      </c>
      <c r="H68" t="str">
        <f>"2"</f>
        <v>2</v>
      </c>
      <c r="I68" s="2">
        <v>154264027</v>
      </c>
    </row>
    <row r="69" spans="1:9" x14ac:dyDescent="0.25">
      <c r="A69">
        <v>68</v>
      </c>
      <c r="B69" s="1">
        <v>44561</v>
      </c>
      <c r="C69">
        <v>14</v>
      </c>
      <c r="D69" t="str">
        <f>"1403"</f>
        <v>1403</v>
      </c>
      <c r="E69" t="str">
        <f>"Счета по кредитным карточкам клиентов"</f>
        <v>Счета по кредитным карточкам клиентов</v>
      </c>
      <c r="F69" t="str">
        <f>"2"</f>
        <v>2</v>
      </c>
      <c r="G69" t="str">
        <f>"9"</f>
        <v>9</v>
      </c>
      <c r="H69" t="str">
        <f>"1"</f>
        <v>1</v>
      </c>
      <c r="I69" s="2">
        <v>18962634</v>
      </c>
    </row>
    <row r="70" spans="1:9" x14ac:dyDescent="0.25">
      <c r="A70">
        <v>69</v>
      </c>
      <c r="B70" s="1">
        <v>44561</v>
      </c>
      <c r="C70">
        <v>14</v>
      </c>
      <c r="D70" t="str">
        <f>"1407"</f>
        <v>1407</v>
      </c>
      <c r="E70" t="str">
        <f>"Факторинг клиентам"</f>
        <v>Факторинг клиентам</v>
      </c>
      <c r="F70" t="str">
        <f t="shared" ref="F70:F75" si="13">"1"</f>
        <v>1</v>
      </c>
      <c r="G70" t="str">
        <f>"7"</f>
        <v>7</v>
      </c>
      <c r="H70" t="str">
        <f>"1"</f>
        <v>1</v>
      </c>
      <c r="I70" s="2">
        <v>1015501904</v>
      </c>
    </row>
    <row r="71" spans="1:9" x14ac:dyDescent="0.25">
      <c r="A71">
        <v>70</v>
      </c>
      <c r="B71" s="1">
        <v>44561</v>
      </c>
      <c r="C71">
        <v>14</v>
      </c>
      <c r="D71" t="str">
        <f>"1409"</f>
        <v>1409</v>
      </c>
      <c r="E71" t="str">
        <f>"Просроченная задолженность клиентов по факторингу"</f>
        <v>Просроченная задолженность клиентов по факторингу</v>
      </c>
      <c r="F71" t="str">
        <f t="shared" si="13"/>
        <v>1</v>
      </c>
      <c r="G71" t="str">
        <f>"7"</f>
        <v>7</v>
      </c>
      <c r="H71" t="str">
        <f>"1"</f>
        <v>1</v>
      </c>
      <c r="I71" s="2">
        <v>277744656</v>
      </c>
    </row>
    <row r="72" spans="1:9" x14ac:dyDescent="0.25">
      <c r="A72">
        <v>71</v>
      </c>
      <c r="B72" s="1">
        <v>44561</v>
      </c>
      <c r="C72">
        <v>14</v>
      </c>
      <c r="D72" t="str">
        <f t="shared" ref="D72:D82" si="14">"1411"</f>
        <v>1411</v>
      </c>
      <c r="E72" t="str">
        <f t="shared" ref="E72:E82" si="15">"Краткосрочные займы, предоставленные клиентам"</f>
        <v>Краткосрочные займы, предоставленные клиентам</v>
      </c>
      <c r="F72" t="str">
        <f t="shared" si="13"/>
        <v>1</v>
      </c>
      <c r="G72" t="str">
        <f>"6"</f>
        <v>6</v>
      </c>
      <c r="H72" t="str">
        <f>"1"</f>
        <v>1</v>
      </c>
      <c r="I72" s="2">
        <v>2925545979</v>
      </c>
    </row>
    <row r="73" spans="1:9" x14ac:dyDescent="0.25">
      <c r="A73">
        <v>72</v>
      </c>
      <c r="B73" s="1">
        <v>44561</v>
      </c>
      <c r="C73">
        <v>14</v>
      </c>
      <c r="D73" t="str">
        <f t="shared" si="14"/>
        <v>1411</v>
      </c>
      <c r="E73" t="str">
        <f t="shared" si="15"/>
        <v>Краткосрочные займы, предоставленные клиентам</v>
      </c>
      <c r="F73" t="str">
        <f t="shared" si="13"/>
        <v>1</v>
      </c>
      <c r="G73" t="str">
        <f>"7"</f>
        <v>7</v>
      </c>
      <c r="H73" t="str">
        <f>"2"</f>
        <v>2</v>
      </c>
      <c r="I73" s="2">
        <v>127726538953</v>
      </c>
    </row>
    <row r="74" spans="1:9" x14ac:dyDescent="0.25">
      <c r="A74">
        <v>73</v>
      </c>
      <c r="B74" s="1">
        <v>44561</v>
      </c>
      <c r="C74">
        <v>14</v>
      </c>
      <c r="D74" t="str">
        <f t="shared" si="14"/>
        <v>1411</v>
      </c>
      <c r="E74" t="str">
        <f t="shared" si="15"/>
        <v>Краткосрочные займы, предоставленные клиентам</v>
      </c>
      <c r="F74" t="str">
        <f t="shared" si="13"/>
        <v>1</v>
      </c>
      <c r="G74" t="str">
        <f>"9"</f>
        <v>9</v>
      </c>
      <c r="H74" t="str">
        <f>"1"</f>
        <v>1</v>
      </c>
      <c r="I74" s="2">
        <v>22805485073</v>
      </c>
    </row>
    <row r="75" spans="1:9" x14ac:dyDescent="0.25">
      <c r="A75">
        <v>74</v>
      </c>
      <c r="B75" s="1">
        <v>44561</v>
      </c>
      <c r="C75">
        <v>14</v>
      </c>
      <c r="D75" t="str">
        <f t="shared" si="14"/>
        <v>1411</v>
      </c>
      <c r="E75" t="str">
        <f t="shared" si="15"/>
        <v>Краткосрочные займы, предоставленные клиентам</v>
      </c>
      <c r="F75" t="str">
        <f t="shared" si="13"/>
        <v>1</v>
      </c>
      <c r="G75" t="str">
        <f>"6"</f>
        <v>6</v>
      </c>
      <c r="H75" t="str">
        <f>"3"</f>
        <v>3</v>
      </c>
      <c r="I75" s="2">
        <v>7488000000</v>
      </c>
    </row>
    <row r="76" spans="1:9" x14ac:dyDescent="0.25">
      <c r="A76">
        <v>75</v>
      </c>
      <c r="B76" s="1">
        <v>44561</v>
      </c>
      <c r="C76">
        <v>14</v>
      </c>
      <c r="D76" t="str">
        <f t="shared" si="14"/>
        <v>1411</v>
      </c>
      <c r="E76" t="str">
        <f t="shared" si="15"/>
        <v>Краткосрочные займы, предоставленные клиентам</v>
      </c>
      <c r="F76" t="str">
        <f>"2"</f>
        <v>2</v>
      </c>
      <c r="G76" t="str">
        <f>"7"</f>
        <v>7</v>
      </c>
      <c r="H76" t="str">
        <f>"2"</f>
        <v>2</v>
      </c>
      <c r="I76" s="2">
        <v>44915456711</v>
      </c>
    </row>
    <row r="77" spans="1:9" x14ac:dyDescent="0.25">
      <c r="A77">
        <v>76</v>
      </c>
      <c r="B77" s="1">
        <v>44561</v>
      </c>
      <c r="C77">
        <v>14</v>
      </c>
      <c r="D77" t="str">
        <f t="shared" si="14"/>
        <v>1411</v>
      </c>
      <c r="E77" t="str">
        <f t="shared" si="15"/>
        <v>Краткосрочные займы, предоставленные клиентам</v>
      </c>
      <c r="F77" t="str">
        <f>"1"</f>
        <v>1</v>
      </c>
      <c r="G77" t="str">
        <f>"7"</f>
        <v>7</v>
      </c>
      <c r="H77" t="str">
        <f>"1"</f>
        <v>1</v>
      </c>
      <c r="I77" s="2">
        <v>854007103175</v>
      </c>
    </row>
    <row r="78" spans="1:9" x14ac:dyDescent="0.25">
      <c r="A78">
        <v>77</v>
      </c>
      <c r="B78" s="1">
        <v>44561</v>
      </c>
      <c r="C78">
        <v>14</v>
      </c>
      <c r="D78" t="str">
        <f t="shared" si="14"/>
        <v>1411</v>
      </c>
      <c r="E78" t="str">
        <f t="shared" si="15"/>
        <v>Краткосрочные займы, предоставленные клиентам</v>
      </c>
      <c r="F78" t="str">
        <f>"1"</f>
        <v>1</v>
      </c>
      <c r="G78" t="str">
        <f>"5"</f>
        <v>5</v>
      </c>
      <c r="H78" t="str">
        <f>"1"</f>
        <v>1</v>
      </c>
      <c r="I78" s="2">
        <v>13053541641</v>
      </c>
    </row>
    <row r="79" spans="1:9" x14ac:dyDescent="0.25">
      <c r="A79">
        <v>78</v>
      </c>
      <c r="B79" s="1">
        <v>44561</v>
      </c>
      <c r="C79">
        <v>14</v>
      </c>
      <c r="D79" t="str">
        <f t="shared" si="14"/>
        <v>1411</v>
      </c>
      <c r="E79" t="str">
        <f t="shared" si="15"/>
        <v>Краткосрочные займы, предоставленные клиентам</v>
      </c>
      <c r="F79" t="str">
        <f>"1"</f>
        <v>1</v>
      </c>
      <c r="G79" t="str">
        <f>"5"</f>
        <v>5</v>
      </c>
      <c r="H79" t="str">
        <f>"2"</f>
        <v>2</v>
      </c>
      <c r="I79" s="2">
        <v>8308040616</v>
      </c>
    </row>
    <row r="80" spans="1:9" x14ac:dyDescent="0.25">
      <c r="A80">
        <v>79</v>
      </c>
      <c r="B80" s="1">
        <v>44561</v>
      </c>
      <c r="C80">
        <v>14</v>
      </c>
      <c r="D80" t="str">
        <f t="shared" si="14"/>
        <v>1411</v>
      </c>
      <c r="E80" t="str">
        <f t="shared" si="15"/>
        <v>Краткосрочные займы, предоставленные клиентам</v>
      </c>
      <c r="F80" t="str">
        <f>"2"</f>
        <v>2</v>
      </c>
      <c r="G80" t="str">
        <f>"9"</f>
        <v>9</v>
      </c>
      <c r="H80" t="str">
        <f>"1"</f>
        <v>1</v>
      </c>
      <c r="I80" s="2">
        <v>2137432</v>
      </c>
    </row>
    <row r="81" spans="1:9" x14ac:dyDescent="0.25">
      <c r="A81">
        <v>80</v>
      </c>
      <c r="B81" s="1">
        <v>44561</v>
      </c>
      <c r="C81">
        <v>14</v>
      </c>
      <c r="D81" t="str">
        <f t="shared" si="14"/>
        <v>1411</v>
      </c>
      <c r="E81" t="str">
        <f t="shared" si="15"/>
        <v>Краткосрочные займы, предоставленные клиентам</v>
      </c>
      <c r="F81" t="str">
        <f>"1"</f>
        <v>1</v>
      </c>
      <c r="G81" t="str">
        <f>"8"</f>
        <v>8</v>
      </c>
      <c r="H81" t="str">
        <f>"1"</f>
        <v>1</v>
      </c>
      <c r="I81" s="2">
        <v>900000000</v>
      </c>
    </row>
    <row r="82" spans="1:9" x14ac:dyDescent="0.25">
      <c r="A82">
        <v>81</v>
      </c>
      <c r="B82" s="1">
        <v>44561</v>
      </c>
      <c r="C82">
        <v>14</v>
      </c>
      <c r="D82" t="str">
        <f t="shared" si="14"/>
        <v>1411</v>
      </c>
      <c r="E82" t="str">
        <f t="shared" si="15"/>
        <v>Краткосрочные займы, предоставленные клиентам</v>
      </c>
      <c r="F82" t="str">
        <f>"1"</f>
        <v>1</v>
      </c>
      <c r="G82" t="str">
        <f>"7"</f>
        <v>7</v>
      </c>
      <c r="H82" t="str">
        <f>"3"</f>
        <v>3</v>
      </c>
      <c r="I82" s="2">
        <v>2848566066</v>
      </c>
    </row>
    <row r="83" spans="1:9" x14ac:dyDescent="0.25">
      <c r="A83">
        <v>82</v>
      </c>
      <c r="B83" s="1">
        <v>44561</v>
      </c>
      <c r="C83">
        <v>14</v>
      </c>
      <c r="D83" t="str">
        <f t="shared" ref="D83:D96" si="16">"1417"</f>
        <v>1417</v>
      </c>
      <c r="E83" t="str">
        <f t="shared" ref="E83:E96" si="17">"Долгосрочные займы, предоставленные клиентам"</f>
        <v>Долгосрочные займы, предоставленные клиентам</v>
      </c>
      <c r="F83" t="str">
        <f>"1"</f>
        <v>1</v>
      </c>
      <c r="G83" t="str">
        <f>"6"</f>
        <v>6</v>
      </c>
      <c r="H83" t="str">
        <f>"1"</f>
        <v>1</v>
      </c>
      <c r="I83" s="2">
        <v>19004379000</v>
      </c>
    </row>
    <row r="84" spans="1:9" x14ac:dyDescent="0.25">
      <c r="A84">
        <v>83</v>
      </c>
      <c r="B84" s="1">
        <v>44561</v>
      </c>
      <c r="C84">
        <v>14</v>
      </c>
      <c r="D84" t="str">
        <f t="shared" si="16"/>
        <v>1417</v>
      </c>
      <c r="E84" t="str">
        <f t="shared" si="17"/>
        <v>Долгосрочные займы, предоставленные клиентам</v>
      </c>
      <c r="F84" t="str">
        <f>"1"</f>
        <v>1</v>
      </c>
      <c r="G84" t="str">
        <f>"7"</f>
        <v>7</v>
      </c>
      <c r="H84" t="str">
        <f>"1"</f>
        <v>1</v>
      </c>
      <c r="I84" s="2">
        <v>1863963426000</v>
      </c>
    </row>
    <row r="85" spans="1:9" x14ac:dyDescent="0.25">
      <c r="A85">
        <v>84</v>
      </c>
      <c r="B85" s="1">
        <v>44561</v>
      </c>
      <c r="C85">
        <v>14</v>
      </c>
      <c r="D85" t="str">
        <f t="shared" si="16"/>
        <v>1417</v>
      </c>
      <c r="E85" t="str">
        <f t="shared" si="17"/>
        <v>Долгосрочные займы, предоставленные клиентам</v>
      </c>
      <c r="F85" t="str">
        <f>"2"</f>
        <v>2</v>
      </c>
      <c r="G85" t="str">
        <f>"7"</f>
        <v>7</v>
      </c>
      <c r="H85" t="str">
        <f>"2"</f>
        <v>2</v>
      </c>
      <c r="I85" s="2">
        <v>72051111782</v>
      </c>
    </row>
    <row r="86" spans="1:9" x14ac:dyDescent="0.25">
      <c r="A86">
        <v>85</v>
      </c>
      <c r="B86" s="1">
        <v>44561</v>
      </c>
      <c r="C86">
        <v>14</v>
      </c>
      <c r="D86" t="str">
        <f t="shared" si="16"/>
        <v>1417</v>
      </c>
      <c r="E86" t="str">
        <f t="shared" si="17"/>
        <v>Долгосрочные займы, предоставленные клиентам</v>
      </c>
      <c r="F86" t="str">
        <f>"1"</f>
        <v>1</v>
      </c>
      <c r="G86" t="str">
        <f>"9"</f>
        <v>9</v>
      </c>
      <c r="H86" t="str">
        <f>"2"</f>
        <v>2</v>
      </c>
      <c r="I86" s="2">
        <v>254036990</v>
      </c>
    </row>
    <row r="87" spans="1:9" x14ac:dyDescent="0.25">
      <c r="A87">
        <v>86</v>
      </c>
      <c r="B87" s="1">
        <v>44561</v>
      </c>
      <c r="C87">
        <v>14</v>
      </c>
      <c r="D87" t="str">
        <f t="shared" si="16"/>
        <v>1417</v>
      </c>
      <c r="E87" t="str">
        <f t="shared" si="17"/>
        <v>Долгосрочные займы, предоставленные клиентам</v>
      </c>
      <c r="F87" t="str">
        <f>"1"</f>
        <v>1</v>
      </c>
      <c r="G87" t="str">
        <f>"8"</f>
        <v>8</v>
      </c>
      <c r="H87" t="str">
        <f>"1"</f>
        <v>1</v>
      </c>
      <c r="I87" s="2">
        <v>929842623</v>
      </c>
    </row>
    <row r="88" spans="1:9" x14ac:dyDescent="0.25">
      <c r="A88">
        <v>87</v>
      </c>
      <c r="B88" s="1">
        <v>44561</v>
      </c>
      <c r="C88">
        <v>14</v>
      </c>
      <c r="D88" t="str">
        <f t="shared" si="16"/>
        <v>1417</v>
      </c>
      <c r="E88" t="str">
        <f t="shared" si="17"/>
        <v>Долгосрочные займы, предоставленные клиентам</v>
      </c>
      <c r="F88" t="str">
        <f>"1"</f>
        <v>1</v>
      </c>
      <c r="G88" t="str">
        <f>"6"</f>
        <v>6</v>
      </c>
      <c r="H88" t="str">
        <f>"2"</f>
        <v>2</v>
      </c>
      <c r="I88" s="2">
        <v>17272000000</v>
      </c>
    </row>
    <row r="89" spans="1:9" x14ac:dyDescent="0.25">
      <c r="A89">
        <v>88</v>
      </c>
      <c r="B89" s="1">
        <v>44561</v>
      </c>
      <c r="C89">
        <v>14</v>
      </c>
      <c r="D89" t="str">
        <f t="shared" si="16"/>
        <v>1417</v>
      </c>
      <c r="E89" t="str">
        <f t="shared" si="17"/>
        <v>Долгосрочные займы, предоставленные клиентам</v>
      </c>
      <c r="F89" t="str">
        <f>"1"</f>
        <v>1</v>
      </c>
      <c r="G89" t="str">
        <f>"5"</f>
        <v>5</v>
      </c>
      <c r="H89" t="str">
        <f>"2"</f>
        <v>2</v>
      </c>
      <c r="I89" s="2">
        <v>1079500000</v>
      </c>
    </row>
    <row r="90" spans="1:9" x14ac:dyDescent="0.25">
      <c r="A90">
        <v>89</v>
      </c>
      <c r="B90" s="1">
        <v>44561</v>
      </c>
      <c r="C90">
        <v>14</v>
      </c>
      <c r="D90" t="str">
        <f t="shared" si="16"/>
        <v>1417</v>
      </c>
      <c r="E90" t="str">
        <f t="shared" si="17"/>
        <v>Долгосрочные займы, предоставленные клиентам</v>
      </c>
      <c r="F90" t="str">
        <f>"2"</f>
        <v>2</v>
      </c>
      <c r="G90" t="str">
        <f>"7"</f>
        <v>7</v>
      </c>
      <c r="H90" t="str">
        <f>"1"</f>
        <v>1</v>
      </c>
      <c r="I90" s="2">
        <v>3161376387</v>
      </c>
    </row>
    <row r="91" spans="1:9" x14ac:dyDescent="0.25">
      <c r="A91">
        <v>90</v>
      </c>
      <c r="B91" s="1">
        <v>44561</v>
      </c>
      <c r="C91">
        <v>14</v>
      </c>
      <c r="D91" t="str">
        <f t="shared" si="16"/>
        <v>1417</v>
      </c>
      <c r="E91" t="str">
        <f t="shared" si="17"/>
        <v>Долгосрочные займы, предоставленные клиентам</v>
      </c>
      <c r="F91" t="str">
        <f>"1"</f>
        <v>1</v>
      </c>
      <c r="G91" t="str">
        <f>"5"</f>
        <v>5</v>
      </c>
      <c r="H91" t="str">
        <f>"1"</f>
        <v>1</v>
      </c>
      <c r="I91" s="2">
        <v>181542723105</v>
      </c>
    </row>
    <row r="92" spans="1:9" x14ac:dyDescent="0.25">
      <c r="A92">
        <v>91</v>
      </c>
      <c r="B92" s="1">
        <v>44561</v>
      </c>
      <c r="C92">
        <v>14</v>
      </c>
      <c r="D92" t="str">
        <f t="shared" si="16"/>
        <v>1417</v>
      </c>
      <c r="E92" t="str">
        <f t="shared" si="17"/>
        <v>Долгосрочные займы, предоставленные клиентам</v>
      </c>
      <c r="F92" t="str">
        <f>"2"</f>
        <v>2</v>
      </c>
      <c r="G92" t="str">
        <f>"7"</f>
        <v>7</v>
      </c>
      <c r="H92" t="str">
        <f>"3"</f>
        <v>3</v>
      </c>
      <c r="I92" s="2">
        <v>33553217506</v>
      </c>
    </row>
    <row r="93" spans="1:9" x14ac:dyDescent="0.25">
      <c r="A93">
        <v>92</v>
      </c>
      <c r="B93" s="1">
        <v>44561</v>
      </c>
      <c r="C93">
        <v>14</v>
      </c>
      <c r="D93" t="str">
        <f t="shared" si="16"/>
        <v>1417</v>
      </c>
      <c r="E93" t="str">
        <f t="shared" si="17"/>
        <v>Долгосрочные займы, предоставленные клиентам</v>
      </c>
      <c r="F93" t="str">
        <f>"1"</f>
        <v>1</v>
      </c>
      <c r="G93" t="str">
        <f>"9"</f>
        <v>9</v>
      </c>
      <c r="H93" t="str">
        <f>"1"</f>
        <v>1</v>
      </c>
      <c r="I93" s="2">
        <v>583233828771</v>
      </c>
    </row>
    <row r="94" spans="1:9" x14ac:dyDescent="0.25">
      <c r="A94">
        <v>93</v>
      </c>
      <c r="B94" s="1">
        <v>44561</v>
      </c>
      <c r="C94">
        <v>14</v>
      </c>
      <c r="D94" t="str">
        <f t="shared" si="16"/>
        <v>1417</v>
      </c>
      <c r="E94" t="str">
        <f t="shared" si="17"/>
        <v>Долгосрочные займы, предоставленные клиентам</v>
      </c>
      <c r="F94" t="str">
        <f>"1"</f>
        <v>1</v>
      </c>
      <c r="G94" t="str">
        <f>"7"</f>
        <v>7</v>
      </c>
      <c r="H94" t="str">
        <f>"3"</f>
        <v>3</v>
      </c>
      <c r="I94" s="2">
        <v>2862909455</v>
      </c>
    </row>
    <row r="95" spans="1:9" x14ac:dyDescent="0.25">
      <c r="A95">
        <v>94</v>
      </c>
      <c r="B95" s="1">
        <v>44561</v>
      </c>
      <c r="C95">
        <v>14</v>
      </c>
      <c r="D95" t="str">
        <f t="shared" si="16"/>
        <v>1417</v>
      </c>
      <c r="E95" t="str">
        <f t="shared" si="17"/>
        <v>Долгосрочные займы, предоставленные клиентам</v>
      </c>
      <c r="F95" t="str">
        <f>"1"</f>
        <v>1</v>
      </c>
      <c r="G95" t="str">
        <f>"7"</f>
        <v>7</v>
      </c>
      <c r="H95" t="str">
        <f>"2"</f>
        <v>2</v>
      </c>
      <c r="I95" s="2">
        <v>658460238220</v>
      </c>
    </row>
    <row r="96" spans="1:9" x14ac:dyDescent="0.25">
      <c r="A96">
        <v>95</v>
      </c>
      <c r="B96" s="1">
        <v>44561</v>
      </c>
      <c r="C96">
        <v>14</v>
      </c>
      <c r="D96" t="str">
        <f t="shared" si="16"/>
        <v>1417</v>
      </c>
      <c r="E96" t="str">
        <f t="shared" si="17"/>
        <v>Долгосрочные займы, предоставленные клиентам</v>
      </c>
      <c r="F96" t="str">
        <f>"2"</f>
        <v>2</v>
      </c>
      <c r="G96" t="str">
        <f>"9"</f>
        <v>9</v>
      </c>
      <c r="H96" t="str">
        <f>"1"</f>
        <v>1</v>
      </c>
      <c r="I96" s="2">
        <v>63576364</v>
      </c>
    </row>
    <row r="97" spans="1:9" x14ac:dyDescent="0.25">
      <c r="A97">
        <v>96</v>
      </c>
      <c r="B97" s="1">
        <v>44561</v>
      </c>
      <c r="C97">
        <v>14</v>
      </c>
      <c r="D97" t="str">
        <f>"1421"</f>
        <v>1421</v>
      </c>
      <c r="E97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F97" t="str">
        <f>"1"</f>
        <v>1</v>
      </c>
      <c r="G97" t="str">
        <f>"7"</f>
        <v>7</v>
      </c>
      <c r="H97" t="str">
        <f>"1"</f>
        <v>1</v>
      </c>
      <c r="I97" s="2">
        <v>57890389</v>
      </c>
    </row>
    <row r="98" spans="1:9" x14ac:dyDescent="0.25">
      <c r="A98">
        <v>97</v>
      </c>
      <c r="B98" s="1">
        <v>44561</v>
      </c>
      <c r="C98">
        <v>14</v>
      </c>
      <c r="D98" t="str">
        <f t="shared" ref="D98:D106" si="18">"1424"</f>
        <v>1424</v>
      </c>
      <c r="E98" t="str">
        <f t="shared" ref="E98:E106" si="19">"Просроченная задолженность клиентов по займам"</f>
        <v>Просроченная задолженность клиентов по займам</v>
      </c>
      <c r="F98" t="str">
        <f>"1"</f>
        <v>1</v>
      </c>
      <c r="G98" t="str">
        <f>"8"</f>
        <v>8</v>
      </c>
      <c r="H98" t="str">
        <f>"1"</f>
        <v>1</v>
      </c>
      <c r="I98" s="2">
        <v>87427475</v>
      </c>
    </row>
    <row r="99" spans="1:9" x14ac:dyDescent="0.25">
      <c r="A99">
        <v>98</v>
      </c>
      <c r="B99" s="1">
        <v>44561</v>
      </c>
      <c r="C99">
        <v>14</v>
      </c>
      <c r="D99" t="str">
        <f t="shared" si="18"/>
        <v>1424</v>
      </c>
      <c r="E99" t="str">
        <f t="shared" si="19"/>
        <v>Просроченная задолженность клиентов по займам</v>
      </c>
      <c r="F99" t="str">
        <f>"1"</f>
        <v>1</v>
      </c>
      <c r="G99" t="str">
        <f>"7"</f>
        <v>7</v>
      </c>
      <c r="H99" t="str">
        <f>"1"</f>
        <v>1</v>
      </c>
      <c r="I99" s="2">
        <v>35410617000</v>
      </c>
    </row>
    <row r="100" spans="1:9" x14ac:dyDescent="0.25">
      <c r="A100">
        <v>99</v>
      </c>
      <c r="B100" s="1">
        <v>44561</v>
      </c>
      <c r="C100">
        <v>14</v>
      </c>
      <c r="D100" t="str">
        <f t="shared" si="18"/>
        <v>1424</v>
      </c>
      <c r="E100" t="str">
        <f t="shared" si="19"/>
        <v>Просроченная задолженность клиентов по займам</v>
      </c>
      <c r="F100" t="str">
        <f>"1"</f>
        <v>1</v>
      </c>
      <c r="G100" t="str">
        <f>"5"</f>
        <v>5</v>
      </c>
      <c r="H100" t="str">
        <f>"1"</f>
        <v>1</v>
      </c>
      <c r="I100" s="2">
        <v>100515886</v>
      </c>
    </row>
    <row r="101" spans="1:9" x14ac:dyDescent="0.25">
      <c r="A101">
        <v>100</v>
      </c>
      <c r="B101" s="1">
        <v>44561</v>
      </c>
      <c r="C101">
        <v>14</v>
      </c>
      <c r="D101" t="str">
        <f t="shared" si="18"/>
        <v>1424</v>
      </c>
      <c r="E101" t="str">
        <f t="shared" si="19"/>
        <v>Просроченная задолженность клиентов по займам</v>
      </c>
      <c r="F101" t="str">
        <f>"2"</f>
        <v>2</v>
      </c>
      <c r="G101" t="str">
        <f>"7"</f>
        <v>7</v>
      </c>
      <c r="H101" t="str">
        <f>"2"</f>
        <v>2</v>
      </c>
      <c r="I101" s="2">
        <v>8636000000</v>
      </c>
    </row>
    <row r="102" spans="1:9" x14ac:dyDescent="0.25">
      <c r="A102">
        <v>101</v>
      </c>
      <c r="B102" s="1">
        <v>44561</v>
      </c>
      <c r="C102">
        <v>14</v>
      </c>
      <c r="D102" t="str">
        <f t="shared" si="18"/>
        <v>1424</v>
      </c>
      <c r="E102" t="str">
        <f t="shared" si="19"/>
        <v>Просроченная задолженность клиентов по займам</v>
      </c>
      <c r="F102" t="str">
        <f>"1"</f>
        <v>1</v>
      </c>
      <c r="G102" t="str">
        <f>"9"</f>
        <v>9</v>
      </c>
      <c r="H102" t="str">
        <f>"1"</f>
        <v>1</v>
      </c>
      <c r="I102" s="2">
        <v>56909756000</v>
      </c>
    </row>
    <row r="103" spans="1:9" x14ac:dyDescent="0.25">
      <c r="A103">
        <v>102</v>
      </c>
      <c r="B103" s="1">
        <v>44561</v>
      </c>
      <c r="C103">
        <v>14</v>
      </c>
      <c r="D103" t="str">
        <f t="shared" si="18"/>
        <v>1424</v>
      </c>
      <c r="E103" t="str">
        <f t="shared" si="19"/>
        <v>Просроченная задолженность клиентов по займам</v>
      </c>
      <c r="F103" t="str">
        <f>"2"</f>
        <v>2</v>
      </c>
      <c r="G103" t="str">
        <f>"9"</f>
        <v>9</v>
      </c>
      <c r="H103" t="str">
        <f>"1"</f>
        <v>1</v>
      </c>
      <c r="I103" s="2">
        <v>49636893</v>
      </c>
    </row>
    <row r="104" spans="1:9" x14ac:dyDescent="0.25">
      <c r="A104">
        <v>103</v>
      </c>
      <c r="B104" s="1">
        <v>44561</v>
      </c>
      <c r="C104">
        <v>14</v>
      </c>
      <c r="D104" t="str">
        <f t="shared" si="18"/>
        <v>1424</v>
      </c>
      <c r="E104" t="str">
        <f t="shared" si="19"/>
        <v>Просроченная задолженность клиентов по займам</v>
      </c>
      <c r="F104" t="str">
        <f>"2"</f>
        <v>2</v>
      </c>
      <c r="G104" t="str">
        <f>"9"</f>
        <v>9</v>
      </c>
      <c r="H104" t="str">
        <f>"2"</f>
        <v>2</v>
      </c>
      <c r="I104" s="2">
        <v>14508769</v>
      </c>
    </row>
    <row r="105" spans="1:9" x14ac:dyDescent="0.25">
      <c r="A105">
        <v>104</v>
      </c>
      <c r="B105" s="1">
        <v>44561</v>
      </c>
      <c r="C105">
        <v>14</v>
      </c>
      <c r="D105" t="str">
        <f t="shared" si="18"/>
        <v>1424</v>
      </c>
      <c r="E105" t="str">
        <f t="shared" si="19"/>
        <v>Просроченная задолженность клиентов по займам</v>
      </c>
      <c r="F105" t="str">
        <f>"1"</f>
        <v>1</v>
      </c>
      <c r="G105" t="str">
        <f>"9"</f>
        <v>9</v>
      </c>
      <c r="H105" t="str">
        <f>"2"</f>
        <v>2</v>
      </c>
      <c r="I105" s="2">
        <v>2930429000</v>
      </c>
    </row>
    <row r="106" spans="1:9" x14ac:dyDescent="0.25">
      <c r="A106">
        <v>105</v>
      </c>
      <c r="B106" s="1">
        <v>44561</v>
      </c>
      <c r="C106">
        <v>14</v>
      </c>
      <c r="D106" t="str">
        <f t="shared" si="18"/>
        <v>1424</v>
      </c>
      <c r="E106" t="str">
        <f t="shared" si="19"/>
        <v>Просроченная задолженность клиентов по займам</v>
      </c>
      <c r="F106" t="str">
        <f>"1"</f>
        <v>1</v>
      </c>
      <c r="G106" t="str">
        <f>"7"</f>
        <v>7</v>
      </c>
      <c r="H106" t="str">
        <f>"2"</f>
        <v>2</v>
      </c>
      <c r="I106" s="2">
        <v>3171944336</v>
      </c>
    </row>
    <row r="107" spans="1:9" x14ac:dyDescent="0.25">
      <c r="A107">
        <v>106</v>
      </c>
      <c r="B107" s="1">
        <v>44561</v>
      </c>
      <c r="C107">
        <v>14</v>
      </c>
      <c r="D107" t="str">
        <f t="shared" ref="D107:D122" si="20">"1428"</f>
        <v>1428</v>
      </c>
      <c r="E107" t="str">
        <f t="shared" ref="E107:E122" si="21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07" t="str">
        <f>"1"</f>
        <v>1</v>
      </c>
      <c r="G107" t="str">
        <f>"6"</f>
        <v>6</v>
      </c>
      <c r="H107" t="str">
        <f>"2"</f>
        <v>2</v>
      </c>
      <c r="I107" s="2">
        <v>-51949927</v>
      </c>
    </row>
    <row r="108" spans="1:9" x14ac:dyDescent="0.25">
      <c r="A108">
        <v>107</v>
      </c>
      <c r="B108" s="1">
        <v>44561</v>
      </c>
      <c r="C108">
        <v>14</v>
      </c>
      <c r="D108" t="str">
        <f t="shared" si="20"/>
        <v>1428</v>
      </c>
      <c r="E108" t="str">
        <f t="shared" si="21"/>
        <v>Резервы (провизии) по займам и финансовому лизингу, предоставленным клиентам</v>
      </c>
      <c r="F108" t="str">
        <f>"2"</f>
        <v>2</v>
      </c>
      <c r="G108" t="str">
        <f>"7"</f>
        <v>7</v>
      </c>
      <c r="H108" t="str">
        <f>"3"</f>
        <v>3</v>
      </c>
      <c r="I108" s="2">
        <v>-8123092308</v>
      </c>
    </row>
    <row r="109" spans="1:9" x14ac:dyDescent="0.25">
      <c r="A109">
        <v>108</v>
      </c>
      <c r="B109" s="1">
        <v>44561</v>
      </c>
      <c r="C109">
        <v>14</v>
      </c>
      <c r="D109" t="str">
        <f t="shared" si="20"/>
        <v>1428</v>
      </c>
      <c r="E109" t="str">
        <f t="shared" si="21"/>
        <v>Резервы (провизии) по займам и финансовому лизингу, предоставленным клиентам</v>
      </c>
      <c r="F109" t="str">
        <f>"1"</f>
        <v>1</v>
      </c>
      <c r="G109" t="str">
        <f>"9"</f>
        <v>9</v>
      </c>
      <c r="H109" t="str">
        <f>"2"</f>
        <v>2</v>
      </c>
      <c r="I109" s="2">
        <v>-4454394174</v>
      </c>
    </row>
    <row r="110" spans="1:9" x14ac:dyDescent="0.25">
      <c r="A110">
        <v>109</v>
      </c>
      <c r="B110" s="1">
        <v>44561</v>
      </c>
      <c r="C110">
        <v>14</v>
      </c>
      <c r="D110" t="str">
        <f t="shared" si="20"/>
        <v>1428</v>
      </c>
      <c r="E110" t="str">
        <f t="shared" si="21"/>
        <v>Резервы (провизии) по займам и финансовому лизингу, предоставленным клиентам</v>
      </c>
      <c r="F110" t="str">
        <f>"1"</f>
        <v>1</v>
      </c>
      <c r="G110" t="str">
        <f>"6"</f>
        <v>6</v>
      </c>
      <c r="H110" t="str">
        <f>"3"</f>
        <v>3</v>
      </c>
      <c r="I110" s="2">
        <v>-7503902</v>
      </c>
    </row>
    <row r="111" spans="1:9" x14ac:dyDescent="0.25">
      <c r="A111">
        <v>110</v>
      </c>
      <c r="B111" s="1">
        <v>44561</v>
      </c>
      <c r="C111">
        <v>14</v>
      </c>
      <c r="D111" t="str">
        <f t="shared" si="20"/>
        <v>1428</v>
      </c>
      <c r="E111" t="str">
        <f t="shared" si="21"/>
        <v>Резервы (провизии) по займам и финансовому лизингу, предоставленным клиентам</v>
      </c>
      <c r="F111" t="str">
        <f>"2"</f>
        <v>2</v>
      </c>
      <c r="G111" t="str">
        <f>"7"</f>
        <v>7</v>
      </c>
      <c r="H111" t="str">
        <f>"2"</f>
        <v>2</v>
      </c>
      <c r="I111" s="2">
        <v>-36726103373</v>
      </c>
    </row>
    <row r="112" spans="1:9" x14ac:dyDescent="0.25">
      <c r="A112">
        <v>111</v>
      </c>
      <c r="B112" s="1">
        <v>44561</v>
      </c>
      <c r="C112">
        <v>14</v>
      </c>
      <c r="D112" t="str">
        <f t="shared" si="20"/>
        <v>1428</v>
      </c>
      <c r="E112" t="str">
        <f t="shared" si="21"/>
        <v>Резервы (провизии) по займам и финансовому лизингу, предоставленным клиентам</v>
      </c>
      <c r="F112" t="str">
        <f>"1"</f>
        <v>1</v>
      </c>
      <c r="G112" t="str">
        <f>"8"</f>
        <v>8</v>
      </c>
      <c r="H112" t="str">
        <f>"1"</f>
        <v>1</v>
      </c>
      <c r="I112" s="2">
        <v>-86251525</v>
      </c>
    </row>
    <row r="113" spans="1:9" x14ac:dyDescent="0.25">
      <c r="A113">
        <v>112</v>
      </c>
      <c r="B113" s="1">
        <v>44561</v>
      </c>
      <c r="C113">
        <v>14</v>
      </c>
      <c r="D113" t="str">
        <f t="shared" si="20"/>
        <v>1428</v>
      </c>
      <c r="E113" t="str">
        <f t="shared" si="21"/>
        <v>Резервы (провизии) по займам и финансовому лизингу, предоставленным клиентам</v>
      </c>
      <c r="F113" t="str">
        <f>"1"</f>
        <v>1</v>
      </c>
      <c r="G113" t="str">
        <f>"5"</f>
        <v>5</v>
      </c>
      <c r="H113" t="str">
        <f>"2"</f>
        <v>2</v>
      </c>
      <c r="I113" s="2">
        <v>-3645022</v>
      </c>
    </row>
    <row r="114" spans="1:9" x14ac:dyDescent="0.25">
      <c r="A114">
        <v>113</v>
      </c>
      <c r="B114" s="1">
        <v>44561</v>
      </c>
      <c r="C114">
        <v>14</v>
      </c>
      <c r="D114" t="str">
        <f t="shared" si="20"/>
        <v>1428</v>
      </c>
      <c r="E114" t="str">
        <f t="shared" si="21"/>
        <v>Резервы (провизии) по займам и финансовому лизингу, предоставленным клиентам</v>
      </c>
      <c r="F114" t="str">
        <f>"1"</f>
        <v>1</v>
      </c>
      <c r="G114" t="str">
        <f>"7"</f>
        <v>7</v>
      </c>
      <c r="H114" t="str">
        <f>"2"</f>
        <v>2</v>
      </c>
      <c r="I114" s="2">
        <v>-12320864241</v>
      </c>
    </row>
    <row r="115" spans="1:9" x14ac:dyDescent="0.25">
      <c r="A115">
        <v>114</v>
      </c>
      <c r="B115" s="1">
        <v>44561</v>
      </c>
      <c r="C115">
        <v>14</v>
      </c>
      <c r="D115" t="str">
        <f t="shared" si="20"/>
        <v>1428</v>
      </c>
      <c r="E115" t="str">
        <f t="shared" si="21"/>
        <v>Резервы (провизии) по займам и финансовому лизингу, предоставленным клиентам</v>
      </c>
      <c r="F115" t="str">
        <f>"1"</f>
        <v>1</v>
      </c>
      <c r="G115" t="str">
        <f>"9"</f>
        <v>9</v>
      </c>
      <c r="H115" t="str">
        <f>"1"</f>
        <v>1</v>
      </c>
      <c r="I115" s="2">
        <v>-144605442843</v>
      </c>
    </row>
    <row r="116" spans="1:9" x14ac:dyDescent="0.25">
      <c r="A116">
        <v>115</v>
      </c>
      <c r="B116" s="1">
        <v>44561</v>
      </c>
      <c r="C116">
        <v>14</v>
      </c>
      <c r="D116" t="str">
        <f t="shared" si="20"/>
        <v>1428</v>
      </c>
      <c r="E116" t="str">
        <f t="shared" si="21"/>
        <v>Резервы (провизии) по займам и финансовому лизингу, предоставленным клиентам</v>
      </c>
      <c r="F116" t="str">
        <f>"1"</f>
        <v>1</v>
      </c>
      <c r="G116" t="str">
        <f>"6"</f>
        <v>6</v>
      </c>
      <c r="H116" t="str">
        <f>"1"</f>
        <v>1</v>
      </c>
      <c r="I116" s="2">
        <v>-16990989228</v>
      </c>
    </row>
    <row r="117" spans="1:9" x14ac:dyDescent="0.25">
      <c r="A117">
        <v>116</v>
      </c>
      <c r="B117" s="1">
        <v>44561</v>
      </c>
      <c r="C117">
        <v>14</v>
      </c>
      <c r="D117" t="str">
        <f t="shared" si="20"/>
        <v>1428</v>
      </c>
      <c r="E117" t="str">
        <f t="shared" si="21"/>
        <v>Резервы (провизии) по займам и финансовому лизингу, предоставленным клиентам</v>
      </c>
      <c r="F117" t="str">
        <f>"2"</f>
        <v>2</v>
      </c>
      <c r="G117" t="str">
        <f>"9"</f>
        <v>9</v>
      </c>
      <c r="H117" t="str">
        <f>"1"</f>
        <v>1</v>
      </c>
      <c r="I117" s="2">
        <v>-40170341</v>
      </c>
    </row>
    <row r="118" spans="1:9" x14ac:dyDescent="0.25">
      <c r="A118">
        <v>117</v>
      </c>
      <c r="B118" s="1">
        <v>44561</v>
      </c>
      <c r="C118">
        <v>14</v>
      </c>
      <c r="D118" t="str">
        <f t="shared" si="20"/>
        <v>1428</v>
      </c>
      <c r="E118" t="str">
        <f t="shared" si="21"/>
        <v>Резервы (провизии) по займам и финансовому лизингу, предоставленным клиентам</v>
      </c>
      <c r="F118" t="str">
        <f>"1"</f>
        <v>1</v>
      </c>
      <c r="G118" t="str">
        <f>"5"</f>
        <v>5</v>
      </c>
      <c r="H118" t="str">
        <f>"1"</f>
        <v>1</v>
      </c>
      <c r="I118" s="2">
        <v>-310903658</v>
      </c>
    </row>
    <row r="119" spans="1:9" x14ac:dyDescent="0.25">
      <c r="A119">
        <v>118</v>
      </c>
      <c r="B119" s="1">
        <v>44561</v>
      </c>
      <c r="C119">
        <v>14</v>
      </c>
      <c r="D119" t="str">
        <f t="shared" si="20"/>
        <v>1428</v>
      </c>
      <c r="E119" t="str">
        <f t="shared" si="21"/>
        <v>Резервы (провизии) по займам и финансовому лизингу, предоставленным клиентам</v>
      </c>
      <c r="F119" t="str">
        <f>"1"</f>
        <v>1</v>
      </c>
      <c r="G119" t="str">
        <f>"7"</f>
        <v>7</v>
      </c>
      <c r="H119" t="str">
        <f>"3"</f>
        <v>3</v>
      </c>
      <c r="I119" s="2">
        <v>-21881746</v>
      </c>
    </row>
    <row r="120" spans="1:9" x14ac:dyDescent="0.25">
      <c r="A120">
        <v>119</v>
      </c>
      <c r="B120" s="1">
        <v>44561</v>
      </c>
      <c r="C120">
        <v>14</v>
      </c>
      <c r="D120" t="str">
        <f t="shared" si="20"/>
        <v>1428</v>
      </c>
      <c r="E120" t="str">
        <f t="shared" si="21"/>
        <v>Резервы (провизии) по займам и финансовому лизингу, предоставленным клиентам</v>
      </c>
      <c r="F120" t="str">
        <f>"2"</f>
        <v>2</v>
      </c>
      <c r="G120" t="str">
        <f>"9"</f>
        <v>9</v>
      </c>
      <c r="H120" t="str">
        <f>"2"</f>
        <v>2</v>
      </c>
      <c r="I120" s="2">
        <v>-4786753</v>
      </c>
    </row>
    <row r="121" spans="1:9" x14ac:dyDescent="0.25">
      <c r="A121">
        <v>120</v>
      </c>
      <c r="B121" s="1">
        <v>44561</v>
      </c>
      <c r="C121">
        <v>14</v>
      </c>
      <c r="D121" t="str">
        <f t="shared" si="20"/>
        <v>1428</v>
      </c>
      <c r="E121" t="str">
        <f t="shared" si="21"/>
        <v>Резервы (провизии) по займам и финансовому лизингу, предоставленным клиентам</v>
      </c>
      <c r="F121" t="str">
        <f>"1"</f>
        <v>1</v>
      </c>
      <c r="G121" t="str">
        <f>"7"</f>
        <v>7</v>
      </c>
      <c r="H121" t="str">
        <f>"1"</f>
        <v>1</v>
      </c>
      <c r="I121" s="2">
        <v>-146403137793</v>
      </c>
    </row>
    <row r="122" spans="1:9" x14ac:dyDescent="0.25">
      <c r="A122">
        <v>121</v>
      </c>
      <c r="B122" s="1">
        <v>44561</v>
      </c>
      <c r="C122">
        <v>14</v>
      </c>
      <c r="D122" t="str">
        <f t="shared" si="20"/>
        <v>1428</v>
      </c>
      <c r="E122" t="str">
        <f t="shared" si="21"/>
        <v>Резервы (провизии) по займам и финансовому лизингу, предоставленным клиентам</v>
      </c>
      <c r="F122" t="str">
        <f>"2"</f>
        <v>2</v>
      </c>
      <c r="G122" t="str">
        <f>"7"</f>
        <v>7</v>
      </c>
      <c r="H122" t="str">
        <f>"1"</f>
        <v>1</v>
      </c>
      <c r="I122" s="2">
        <v>-6630186716</v>
      </c>
    </row>
    <row r="123" spans="1:9" x14ac:dyDescent="0.25">
      <c r="A123">
        <v>122</v>
      </c>
      <c r="B123" s="1">
        <v>44561</v>
      </c>
      <c r="C123">
        <v>14</v>
      </c>
      <c r="D123" t="str">
        <f t="shared" ref="D123:D136" si="22">"1434"</f>
        <v>1434</v>
      </c>
      <c r="E123" t="str">
        <f t="shared" ref="E123:E136" si="23">"Дисконт по займам, предоставленным клиентам"</f>
        <v>Дисконт по займам, предоставленным клиентам</v>
      </c>
      <c r="F123" t="str">
        <f>"1"</f>
        <v>1</v>
      </c>
      <c r="G123" t="str">
        <f>"9"</f>
        <v>9</v>
      </c>
      <c r="H123" t="str">
        <f>"2"</f>
        <v>2</v>
      </c>
      <c r="I123" s="2">
        <v>2063594000</v>
      </c>
    </row>
    <row r="124" spans="1:9" x14ac:dyDescent="0.25">
      <c r="A124">
        <v>123</v>
      </c>
      <c r="B124" s="1">
        <v>44561</v>
      </c>
      <c r="C124">
        <v>14</v>
      </c>
      <c r="D124" t="str">
        <f t="shared" si="22"/>
        <v>1434</v>
      </c>
      <c r="E124" t="str">
        <f t="shared" si="23"/>
        <v>Дисконт по займам, предоставленным клиентам</v>
      </c>
      <c r="F124" t="str">
        <f>"1"</f>
        <v>1</v>
      </c>
      <c r="G124" t="str">
        <f>"9"</f>
        <v>9</v>
      </c>
      <c r="H124" t="str">
        <f>"1"</f>
        <v>1</v>
      </c>
      <c r="I124" s="2">
        <v>-2995502837</v>
      </c>
    </row>
    <row r="125" spans="1:9" x14ac:dyDescent="0.25">
      <c r="A125">
        <v>124</v>
      </c>
      <c r="B125" s="1">
        <v>44561</v>
      </c>
      <c r="C125">
        <v>14</v>
      </c>
      <c r="D125" t="str">
        <f t="shared" si="22"/>
        <v>1434</v>
      </c>
      <c r="E125" t="str">
        <f t="shared" si="23"/>
        <v>Дисконт по займам, предоставленным клиентам</v>
      </c>
      <c r="F125" t="str">
        <f>"2"</f>
        <v>2</v>
      </c>
      <c r="G125" t="str">
        <f>"9"</f>
        <v>9</v>
      </c>
      <c r="H125" t="str">
        <f>"1"</f>
        <v>1</v>
      </c>
      <c r="I125" s="2">
        <v>-8693176</v>
      </c>
    </row>
    <row r="126" spans="1:9" x14ac:dyDescent="0.25">
      <c r="A126">
        <v>125</v>
      </c>
      <c r="B126" s="1">
        <v>44561</v>
      </c>
      <c r="C126">
        <v>14</v>
      </c>
      <c r="D126" t="str">
        <f t="shared" si="22"/>
        <v>1434</v>
      </c>
      <c r="E126" t="str">
        <f t="shared" si="23"/>
        <v>Дисконт по займам, предоставленным клиентам</v>
      </c>
      <c r="F126" t="str">
        <f>"2"</f>
        <v>2</v>
      </c>
      <c r="G126" t="str">
        <f>"7"</f>
        <v>7</v>
      </c>
      <c r="H126" t="str">
        <f>"2"</f>
        <v>2</v>
      </c>
      <c r="I126" s="2">
        <v>-295645761</v>
      </c>
    </row>
    <row r="127" spans="1:9" x14ac:dyDescent="0.25">
      <c r="A127">
        <v>126</v>
      </c>
      <c r="B127" s="1">
        <v>44561</v>
      </c>
      <c r="C127">
        <v>14</v>
      </c>
      <c r="D127" t="str">
        <f t="shared" si="22"/>
        <v>1434</v>
      </c>
      <c r="E127" t="str">
        <f t="shared" si="23"/>
        <v>Дисконт по займам, предоставленным клиентам</v>
      </c>
      <c r="F127" t="str">
        <f>"1"</f>
        <v>1</v>
      </c>
      <c r="G127" t="str">
        <f>"8"</f>
        <v>8</v>
      </c>
      <c r="H127" t="str">
        <f>"1"</f>
        <v>1</v>
      </c>
      <c r="I127" s="2">
        <v>-8809190</v>
      </c>
    </row>
    <row r="128" spans="1:9" x14ac:dyDescent="0.25">
      <c r="A128">
        <v>127</v>
      </c>
      <c r="B128" s="1">
        <v>44561</v>
      </c>
      <c r="C128">
        <v>14</v>
      </c>
      <c r="D128" t="str">
        <f t="shared" si="22"/>
        <v>1434</v>
      </c>
      <c r="E128" t="str">
        <f t="shared" si="23"/>
        <v>Дисконт по займам, предоставленным клиентам</v>
      </c>
      <c r="F128" t="str">
        <f>"1"</f>
        <v>1</v>
      </c>
      <c r="G128" t="str">
        <f>"5"</f>
        <v>5</v>
      </c>
      <c r="H128" t="str">
        <f>"1"</f>
        <v>1</v>
      </c>
      <c r="I128" s="2">
        <v>-515024328</v>
      </c>
    </row>
    <row r="129" spans="1:9" x14ac:dyDescent="0.25">
      <c r="A129">
        <v>128</v>
      </c>
      <c r="B129" s="1">
        <v>44561</v>
      </c>
      <c r="C129">
        <v>14</v>
      </c>
      <c r="D129" t="str">
        <f t="shared" si="22"/>
        <v>1434</v>
      </c>
      <c r="E129" t="str">
        <f t="shared" si="23"/>
        <v>Дисконт по займам, предоставленным клиентам</v>
      </c>
      <c r="F129" t="str">
        <f>"1"</f>
        <v>1</v>
      </c>
      <c r="G129" t="str">
        <f>"5"</f>
        <v>5</v>
      </c>
      <c r="H129" t="str">
        <f>"2"</f>
        <v>2</v>
      </c>
      <c r="I129" s="2">
        <v>-4746289</v>
      </c>
    </row>
    <row r="130" spans="1:9" x14ac:dyDescent="0.25">
      <c r="A130">
        <v>129</v>
      </c>
      <c r="B130" s="1">
        <v>44561</v>
      </c>
      <c r="C130">
        <v>14</v>
      </c>
      <c r="D130" t="str">
        <f t="shared" si="22"/>
        <v>1434</v>
      </c>
      <c r="E130" t="str">
        <f t="shared" si="23"/>
        <v>Дисконт по займам, предоставленным клиентам</v>
      </c>
      <c r="F130" t="str">
        <f>"2"</f>
        <v>2</v>
      </c>
      <c r="G130" t="str">
        <f>"7"</f>
        <v>7</v>
      </c>
      <c r="H130" t="str">
        <f>"1"</f>
        <v>1</v>
      </c>
      <c r="I130" s="2">
        <v>-366522174</v>
      </c>
    </row>
    <row r="131" spans="1:9" x14ac:dyDescent="0.25">
      <c r="A131">
        <v>130</v>
      </c>
      <c r="B131" s="1">
        <v>44561</v>
      </c>
      <c r="C131">
        <v>14</v>
      </c>
      <c r="D131" t="str">
        <f t="shared" si="22"/>
        <v>1434</v>
      </c>
      <c r="E131" t="str">
        <f t="shared" si="23"/>
        <v>Дисконт по займам, предоставленным клиентам</v>
      </c>
      <c r="F131" t="str">
        <f>"1"</f>
        <v>1</v>
      </c>
      <c r="G131" t="str">
        <f>"7"</f>
        <v>7</v>
      </c>
      <c r="H131" t="str">
        <f>"2"</f>
        <v>2</v>
      </c>
      <c r="I131" s="2">
        <v>450069580</v>
      </c>
    </row>
    <row r="132" spans="1:9" x14ac:dyDescent="0.25">
      <c r="A132">
        <v>131</v>
      </c>
      <c r="B132" s="1">
        <v>44561</v>
      </c>
      <c r="C132">
        <v>14</v>
      </c>
      <c r="D132" t="str">
        <f t="shared" si="22"/>
        <v>1434</v>
      </c>
      <c r="E132" t="str">
        <f t="shared" si="23"/>
        <v>Дисконт по займам, предоставленным клиентам</v>
      </c>
      <c r="F132" t="str">
        <f>"2"</f>
        <v>2</v>
      </c>
      <c r="G132" t="str">
        <f>"7"</f>
        <v>7</v>
      </c>
      <c r="H132" t="str">
        <f>"3"</f>
        <v>3</v>
      </c>
      <c r="I132" s="2">
        <v>-551530002</v>
      </c>
    </row>
    <row r="133" spans="1:9" x14ac:dyDescent="0.25">
      <c r="A133">
        <v>132</v>
      </c>
      <c r="B133" s="1">
        <v>44561</v>
      </c>
      <c r="C133">
        <v>14</v>
      </c>
      <c r="D133" t="str">
        <f t="shared" si="22"/>
        <v>1434</v>
      </c>
      <c r="E133" t="str">
        <f t="shared" si="23"/>
        <v>Дисконт по займам, предоставленным клиентам</v>
      </c>
      <c r="F133" t="str">
        <f>"1"</f>
        <v>1</v>
      </c>
      <c r="G133" t="str">
        <f>"6"</f>
        <v>6</v>
      </c>
      <c r="H133" t="str">
        <f>"3"</f>
        <v>3</v>
      </c>
      <c r="I133" s="2">
        <v>-14049899</v>
      </c>
    </row>
    <row r="134" spans="1:9" x14ac:dyDescent="0.25">
      <c r="A134">
        <v>133</v>
      </c>
      <c r="B134" s="1">
        <v>44561</v>
      </c>
      <c r="C134">
        <v>14</v>
      </c>
      <c r="D134" t="str">
        <f t="shared" si="22"/>
        <v>1434</v>
      </c>
      <c r="E134" t="str">
        <f t="shared" si="23"/>
        <v>Дисконт по займам, предоставленным клиентам</v>
      </c>
      <c r="F134" t="str">
        <f>"1"</f>
        <v>1</v>
      </c>
      <c r="G134" t="str">
        <f>"7"</f>
        <v>7</v>
      </c>
      <c r="H134" t="str">
        <f>"1"</f>
        <v>1</v>
      </c>
      <c r="I134" s="2">
        <v>-50288094887</v>
      </c>
    </row>
    <row r="135" spans="1:9" x14ac:dyDescent="0.25">
      <c r="A135">
        <v>134</v>
      </c>
      <c r="B135" s="1">
        <v>44561</v>
      </c>
      <c r="C135">
        <v>14</v>
      </c>
      <c r="D135" t="str">
        <f t="shared" si="22"/>
        <v>1434</v>
      </c>
      <c r="E135" t="str">
        <f t="shared" si="23"/>
        <v>Дисконт по займам, предоставленным клиентам</v>
      </c>
      <c r="F135" t="str">
        <f>"1"</f>
        <v>1</v>
      </c>
      <c r="G135" t="str">
        <f>"7"</f>
        <v>7</v>
      </c>
      <c r="H135" t="str">
        <f>"3"</f>
        <v>3</v>
      </c>
      <c r="I135" s="2">
        <v>-551638302</v>
      </c>
    </row>
    <row r="136" spans="1:9" x14ac:dyDescent="0.25">
      <c r="A136">
        <v>135</v>
      </c>
      <c r="B136" s="1">
        <v>44561</v>
      </c>
      <c r="C136">
        <v>14</v>
      </c>
      <c r="D136" t="str">
        <f t="shared" si="22"/>
        <v>1434</v>
      </c>
      <c r="E136" t="str">
        <f t="shared" si="23"/>
        <v>Дисконт по займам, предоставленным клиентам</v>
      </c>
      <c r="F136" t="str">
        <f>"1"</f>
        <v>1</v>
      </c>
      <c r="G136" t="str">
        <f>"6"</f>
        <v>6</v>
      </c>
      <c r="H136" t="str">
        <f>"1"</f>
        <v>1</v>
      </c>
      <c r="I136" s="2">
        <v>-3053572033</v>
      </c>
    </row>
    <row r="137" spans="1:9" x14ac:dyDescent="0.25">
      <c r="A137">
        <v>136</v>
      </c>
      <c r="B137" s="1">
        <v>44561</v>
      </c>
      <c r="C137">
        <v>14</v>
      </c>
      <c r="D137" t="str">
        <f t="shared" ref="D137:D156" si="24">"1452"</f>
        <v>1452</v>
      </c>
      <c r="E137" t="str">
        <f t="shared" ref="E137:E156" si="25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37" t="str">
        <f>"1"</f>
        <v>1</v>
      </c>
      <c r="G137" t="str">
        <f>"2"</f>
        <v>2</v>
      </c>
      <c r="H137" t="str">
        <f>"1"</f>
        <v>1</v>
      </c>
      <c r="I137" s="2">
        <v>11200000000</v>
      </c>
    </row>
    <row r="138" spans="1:9" x14ac:dyDescent="0.25">
      <c r="A138">
        <v>137</v>
      </c>
      <c r="B138" s="1">
        <v>44561</v>
      </c>
      <c r="C138">
        <v>14</v>
      </c>
      <c r="D138" t="str">
        <f t="shared" si="24"/>
        <v>1452</v>
      </c>
      <c r="E138" t="str">
        <f t="shared" si="25"/>
        <v>Ценные бумаги, учитываемые по справедливой стоимости через прочий совокупный доход</v>
      </c>
      <c r="F138" t="str">
        <f>"2"</f>
        <v>2</v>
      </c>
      <c r="G138" t="str">
        <f>"5"</f>
        <v>5</v>
      </c>
      <c r="H138" t="str">
        <f>"3"</f>
        <v>3</v>
      </c>
      <c r="I138" s="2">
        <v>4320000000</v>
      </c>
    </row>
    <row r="139" spans="1:9" x14ac:dyDescent="0.25">
      <c r="A139">
        <v>138</v>
      </c>
      <c r="B139" s="1">
        <v>44561</v>
      </c>
      <c r="C139">
        <v>14</v>
      </c>
      <c r="D139" t="str">
        <f t="shared" si="24"/>
        <v>1452</v>
      </c>
      <c r="E139" t="str">
        <f t="shared" si="25"/>
        <v>Ценные бумаги, учитываемые по справедливой стоимости через прочий совокупный доход</v>
      </c>
      <c r="F139" t="str">
        <f>"2"</f>
        <v>2</v>
      </c>
      <c r="G139" t="str">
        <f>"5"</f>
        <v>5</v>
      </c>
      <c r="H139" t="str">
        <f>"2"</f>
        <v>2</v>
      </c>
      <c r="I139" s="2">
        <v>26481000000</v>
      </c>
    </row>
    <row r="140" spans="1:9" x14ac:dyDescent="0.25">
      <c r="A140">
        <v>139</v>
      </c>
      <c r="B140" s="1">
        <v>44561</v>
      </c>
      <c r="C140">
        <v>14</v>
      </c>
      <c r="D140" t="str">
        <f t="shared" si="24"/>
        <v>1452</v>
      </c>
      <c r="E140" t="str">
        <f t="shared" si="25"/>
        <v>Ценные бумаги, учитываемые по справедливой стоимости через прочий совокупный доход</v>
      </c>
      <c r="F140" t="str">
        <f>"1"</f>
        <v>1</v>
      </c>
      <c r="G140" t="str">
        <f>"4"</f>
        <v>4</v>
      </c>
      <c r="H140" t="str">
        <f>"2"</f>
        <v>2</v>
      </c>
      <c r="I140" s="2">
        <v>175589915520</v>
      </c>
    </row>
    <row r="141" spans="1:9" x14ac:dyDescent="0.25">
      <c r="A141">
        <v>140</v>
      </c>
      <c r="B141" s="1">
        <v>44561</v>
      </c>
      <c r="C141">
        <v>14</v>
      </c>
      <c r="D141" t="str">
        <f t="shared" si="24"/>
        <v>1452</v>
      </c>
      <c r="E141" t="str">
        <f t="shared" si="25"/>
        <v>Ценные бумаги, учитываемые по справедливой стоимости через прочий совокупный доход</v>
      </c>
      <c r="F141" t="str">
        <f>"2"</f>
        <v>2</v>
      </c>
      <c r="G141" t="str">
        <f>"4"</f>
        <v>4</v>
      </c>
      <c r="H141" t="str">
        <f>"1"</f>
        <v>1</v>
      </c>
      <c r="I141" s="2">
        <v>4664195000</v>
      </c>
    </row>
    <row r="142" spans="1:9" x14ac:dyDescent="0.25">
      <c r="A142">
        <v>141</v>
      </c>
      <c r="B142" s="1">
        <v>44561</v>
      </c>
      <c r="C142">
        <v>14</v>
      </c>
      <c r="D142" t="str">
        <f t="shared" si="24"/>
        <v>1452</v>
      </c>
      <c r="E142" t="str">
        <f t="shared" si="25"/>
        <v>Ценные бумаги, учитываемые по справедливой стоимости через прочий совокупный доход</v>
      </c>
      <c r="F142" t="str">
        <f>"1"</f>
        <v>1</v>
      </c>
      <c r="G142" t="str">
        <f>"6"</f>
        <v>6</v>
      </c>
      <c r="H142" t="str">
        <f>"3"</f>
        <v>3</v>
      </c>
      <c r="I142" s="2">
        <v>10073952000</v>
      </c>
    </row>
    <row r="143" spans="1:9" x14ac:dyDescent="0.25">
      <c r="A143">
        <v>142</v>
      </c>
      <c r="B143" s="1">
        <v>44561</v>
      </c>
      <c r="C143">
        <v>14</v>
      </c>
      <c r="D143" t="str">
        <f t="shared" si="24"/>
        <v>1452</v>
      </c>
      <c r="E143" t="str">
        <f t="shared" si="25"/>
        <v>Ценные бумаги, учитываемые по справедливой стоимости через прочий совокупный доход</v>
      </c>
      <c r="F143" t="str">
        <f>"2"</f>
        <v>2</v>
      </c>
      <c r="G143" t="str">
        <f>"3"</f>
        <v>3</v>
      </c>
      <c r="H143" t="str">
        <f>"2"</f>
        <v>2</v>
      </c>
      <c r="I143" s="2">
        <v>6547600000</v>
      </c>
    </row>
    <row r="144" spans="1:9" x14ac:dyDescent="0.25">
      <c r="A144">
        <v>143</v>
      </c>
      <c r="B144" s="1">
        <v>44561</v>
      </c>
      <c r="C144">
        <v>14</v>
      </c>
      <c r="D144" t="str">
        <f t="shared" si="24"/>
        <v>1452</v>
      </c>
      <c r="E144" t="str">
        <f t="shared" si="25"/>
        <v>Ценные бумаги, учитываемые по справедливой стоимости через прочий совокупный доход</v>
      </c>
      <c r="F144" t="str">
        <f>"2"</f>
        <v>2</v>
      </c>
      <c r="G144" t="str">
        <f>"5"</f>
        <v>5</v>
      </c>
      <c r="H144" t="str">
        <f>"1"</f>
        <v>1</v>
      </c>
      <c r="I144" s="2">
        <v>2625000000</v>
      </c>
    </row>
    <row r="145" spans="1:9" x14ac:dyDescent="0.25">
      <c r="A145">
        <v>144</v>
      </c>
      <c r="B145" s="1">
        <v>44561</v>
      </c>
      <c r="C145">
        <v>14</v>
      </c>
      <c r="D145" t="str">
        <f t="shared" si="24"/>
        <v>1452</v>
      </c>
      <c r="E145" t="str">
        <f t="shared" si="25"/>
        <v>Ценные бумаги, учитываемые по справедливой стоимости через прочий совокупный доход</v>
      </c>
      <c r="F145" t="str">
        <f>"1"</f>
        <v>1</v>
      </c>
      <c r="G145" t="str">
        <f>"5"</f>
        <v>5</v>
      </c>
      <c r="H145" t="str">
        <f>"1"</f>
        <v>1</v>
      </c>
      <c r="I145" s="2">
        <v>93658754000</v>
      </c>
    </row>
    <row r="146" spans="1:9" x14ac:dyDescent="0.25">
      <c r="A146">
        <v>145</v>
      </c>
      <c r="B146" s="1">
        <v>44561</v>
      </c>
      <c r="C146">
        <v>14</v>
      </c>
      <c r="D146" t="str">
        <f t="shared" si="24"/>
        <v>1452</v>
      </c>
      <c r="E146" t="str">
        <f t="shared" si="25"/>
        <v>Ценные бумаги, учитываемые по справедливой стоимости через прочий совокупный доход</v>
      </c>
      <c r="F146" t="str">
        <f>"1"</f>
        <v>1</v>
      </c>
      <c r="G146" t="str">
        <f>"4"</f>
        <v>4</v>
      </c>
      <c r="H146" t="str">
        <f>"1"</f>
        <v>1</v>
      </c>
      <c r="I146" s="2">
        <v>45364000000</v>
      </c>
    </row>
    <row r="147" spans="1:9" x14ac:dyDescent="0.25">
      <c r="A147">
        <v>146</v>
      </c>
      <c r="B147" s="1">
        <v>44561</v>
      </c>
      <c r="C147">
        <v>14</v>
      </c>
      <c r="D147" t="str">
        <f t="shared" si="24"/>
        <v>1452</v>
      </c>
      <c r="E147" t="str">
        <f t="shared" si="25"/>
        <v>Ценные бумаги, учитываемые по справедливой стоимости через прочий совокупный доход</v>
      </c>
      <c r="F147" t="str">
        <f>"2"</f>
        <v>2</v>
      </c>
      <c r="G147" t="str">
        <f>"1"</f>
        <v>1</v>
      </c>
      <c r="H147" t="str">
        <f>"2"</f>
        <v>2</v>
      </c>
      <c r="I147" s="2">
        <v>107278551000</v>
      </c>
    </row>
    <row r="148" spans="1:9" x14ac:dyDescent="0.25">
      <c r="A148">
        <v>147</v>
      </c>
      <c r="B148" s="1">
        <v>44561</v>
      </c>
      <c r="C148">
        <v>14</v>
      </c>
      <c r="D148" t="str">
        <f t="shared" si="24"/>
        <v>1452</v>
      </c>
      <c r="E148" t="str">
        <f t="shared" si="25"/>
        <v>Ценные бумаги, учитываемые по справедливой стоимости через прочий совокупный доход</v>
      </c>
      <c r="F148" t="str">
        <f>"1"</f>
        <v>1</v>
      </c>
      <c r="G148" t="str">
        <f>"6"</f>
        <v>6</v>
      </c>
      <c r="H148" t="str">
        <f>"2"</f>
        <v>2</v>
      </c>
      <c r="I148" s="2">
        <v>12954000000</v>
      </c>
    </row>
    <row r="149" spans="1:9" x14ac:dyDescent="0.25">
      <c r="A149">
        <v>148</v>
      </c>
      <c r="B149" s="1">
        <v>44561</v>
      </c>
      <c r="C149">
        <v>14</v>
      </c>
      <c r="D149" t="str">
        <f t="shared" si="24"/>
        <v>1452</v>
      </c>
      <c r="E149" t="str">
        <f t="shared" si="25"/>
        <v>Ценные бумаги, учитываемые по справедливой стоимости через прочий совокупный доход</v>
      </c>
      <c r="F149" t="str">
        <f>"1"</f>
        <v>1</v>
      </c>
      <c r="G149" t="str">
        <f>"6"</f>
        <v>6</v>
      </c>
      <c r="H149" t="str">
        <f>"1"</f>
        <v>1</v>
      </c>
      <c r="I149" s="2">
        <v>29950000000</v>
      </c>
    </row>
    <row r="150" spans="1:9" x14ac:dyDescent="0.25">
      <c r="A150">
        <v>149</v>
      </c>
      <c r="B150" s="1">
        <v>44561</v>
      </c>
      <c r="C150">
        <v>14</v>
      </c>
      <c r="D150" t="str">
        <f t="shared" si="24"/>
        <v>1452</v>
      </c>
      <c r="E150" t="str">
        <f t="shared" si="25"/>
        <v>Ценные бумаги, учитываемые по справедливой стоимости через прочий совокупный доход</v>
      </c>
      <c r="F150" t="str">
        <f>"1"</f>
        <v>1</v>
      </c>
      <c r="G150" t="str">
        <f>"1"</f>
        <v>1</v>
      </c>
      <c r="H150" t="str">
        <f>"1"</f>
        <v>1</v>
      </c>
      <c r="I150" s="2">
        <v>319224088300</v>
      </c>
    </row>
    <row r="151" spans="1:9" x14ac:dyDescent="0.25">
      <c r="A151">
        <v>150</v>
      </c>
      <c r="B151" s="1">
        <v>44561</v>
      </c>
      <c r="C151">
        <v>14</v>
      </c>
      <c r="D151" t="str">
        <f t="shared" si="24"/>
        <v>1452</v>
      </c>
      <c r="E151" t="str">
        <f t="shared" si="25"/>
        <v>Ценные бумаги, учитываемые по справедливой стоимости через прочий совокупный доход</v>
      </c>
      <c r="F151" t="str">
        <f>"2"</f>
        <v>2</v>
      </c>
      <c r="G151" t="str">
        <f>"3"</f>
        <v>3</v>
      </c>
      <c r="H151" t="str">
        <f>"1"</f>
        <v>1</v>
      </c>
      <c r="I151" s="2">
        <v>40950000000</v>
      </c>
    </row>
    <row r="152" spans="1:9" x14ac:dyDescent="0.25">
      <c r="A152">
        <v>151</v>
      </c>
      <c r="B152" s="1">
        <v>44561</v>
      </c>
      <c r="C152">
        <v>14</v>
      </c>
      <c r="D152" t="str">
        <f t="shared" si="24"/>
        <v>1452</v>
      </c>
      <c r="E152" t="str">
        <f t="shared" si="25"/>
        <v>Ценные бумаги, учитываемые по справедливой стоимости через прочий совокупный доход</v>
      </c>
      <c r="F152" t="str">
        <f>"1"</f>
        <v>1</v>
      </c>
      <c r="G152" t="str">
        <f>"7"</f>
        <v>7</v>
      </c>
      <c r="H152" t="str">
        <f>"1"</f>
        <v>1</v>
      </c>
      <c r="I152" s="2">
        <v>34700000000</v>
      </c>
    </row>
    <row r="153" spans="1:9" x14ac:dyDescent="0.25">
      <c r="A153">
        <v>152</v>
      </c>
      <c r="B153" s="1">
        <v>44561</v>
      </c>
      <c r="C153">
        <v>14</v>
      </c>
      <c r="D153" t="str">
        <f t="shared" si="24"/>
        <v>1452</v>
      </c>
      <c r="E153" t="str">
        <f t="shared" si="25"/>
        <v>Ценные бумаги, учитываемые по справедливой стоимости через прочий совокупный доход</v>
      </c>
      <c r="F153" t="str">
        <f>"1"</f>
        <v>1</v>
      </c>
      <c r="G153" t="str">
        <f>"1"</f>
        <v>1</v>
      </c>
      <c r="H153" t="str">
        <f>"2"</f>
        <v>2</v>
      </c>
      <c r="I153" s="2">
        <v>629797158133</v>
      </c>
    </row>
    <row r="154" spans="1:9" x14ac:dyDescent="0.25">
      <c r="A154">
        <v>153</v>
      </c>
      <c r="B154" s="1">
        <v>44561</v>
      </c>
      <c r="C154">
        <v>14</v>
      </c>
      <c r="D154" t="str">
        <f t="shared" si="24"/>
        <v>1452</v>
      </c>
      <c r="E154" t="str">
        <f t="shared" si="25"/>
        <v>Ценные бумаги, учитываемые по справедливой стоимости через прочий совокупный доход</v>
      </c>
      <c r="F154" t="str">
        <f>"2"</f>
        <v>2</v>
      </c>
      <c r="G154" t="str">
        <f>"7"</f>
        <v>7</v>
      </c>
      <c r="H154" t="str">
        <f>"2"</f>
        <v>2</v>
      </c>
      <c r="I154" s="2">
        <v>27975028000</v>
      </c>
    </row>
    <row r="155" spans="1:9" x14ac:dyDescent="0.25">
      <c r="A155">
        <v>154</v>
      </c>
      <c r="B155" s="1">
        <v>44561</v>
      </c>
      <c r="C155">
        <v>14</v>
      </c>
      <c r="D155" t="str">
        <f t="shared" si="24"/>
        <v>1452</v>
      </c>
      <c r="E155" t="str">
        <f t="shared" si="25"/>
        <v>Ценные бумаги, учитываемые по справедливой стоимости через прочий совокупный доход</v>
      </c>
      <c r="F155" t="str">
        <f>"1"</f>
        <v>1</v>
      </c>
      <c r="G155" t="str">
        <f>"3"</f>
        <v>3</v>
      </c>
      <c r="H155" t="str">
        <f>"1"</f>
        <v>1</v>
      </c>
      <c r="I155" s="2">
        <v>22000000000</v>
      </c>
    </row>
    <row r="156" spans="1:9" x14ac:dyDescent="0.25">
      <c r="A156">
        <v>155</v>
      </c>
      <c r="B156" s="1">
        <v>44561</v>
      </c>
      <c r="C156">
        <v>14</v>
      </c>
      <c r="D156" t="str">
        <f t="shared" si="24"/>
        <v>1452</v>
      </c>
      <c r="E156" t="str">
        <f t="shared" si="25"/>
        <v>Ценные бумаги, учитываемые по справедливой стоимости через прочий совокупный доход</v>
      </c>
      <c r="F156" t="str">
        <f>"2"</f>
        <v>2</v>
      </c>
      <c r="G156" t="str">
        <f>"4"</f>
        <v>4</v>
      </c>
      <c r="H156" t="str">
        <f>"2"</f>
        <v>2</v>
      </c>
      <c r="I156" s="2">
        <v>74424184400</v>
      </c>
    </row>
    <row r="157" spans="1:9" x14ac:dyDescent="0.25">
      <c r="A157">
        <v>156</v>
      </c>
      <c r="B157" s="1">
        <v>44561</v>
      </c>
      <c r="C157">
        <v>14</v>
      </c>
      <c r="D157" t="str">
        <f t="shared" ref="D157:D166" si="26">"1453"</f>
        <v>1453</v>
      </c>
      <c r="E157" t="str">
        <f t="shared" ref="E157:E166" si="27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57" t="str">
        <f>"1"</f>
        <v>1</v>
      </c>
      <c r="G157" t="str">
        <f>"1"</f>
        <v>1</v>
      </c>
      <c r="H157" t="str">
        <f>"2"</f>
        <v>2</v>
      </c>
      <c r="I157" s="2">
        <v>-1980711056</v>
      </c>
    </row>
    <row r="158" spans="1:9" x14ac:dyDescent="0.25">
      <c r="A158">
        <v>157</v>
      </c>
      <c r="B158" s="1">
        <v>44561</v>
      </c>
      <c r="C158">
        <v>14</v>
      </c>
      <c r="D158" t="str">
        <f t="shared" si="26"/>
        <v>1453</v>
      </c>
      <c r="E158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58" t="str">
        <f>"1"</f>
        <v>1</v>
      </c>
      <c r="G158" t="str">
        <f>"4"</f>
        <v>4</v>
      </c>
      <c r="H158" t="str">
        <f>"1"</f>
        <v>1</v>
      </c>
      <c r="I158" s="2">
        <v>-187725979</v>
      </c>
    </row>
    <row r="159" spans="1:9" x14ac:dyDescent="0.25">
      <c r="A159">
        <v>158</v>
      </c>
      <c r="B159" s="1">
        <v>44561</v>
      </c>
      <c r="C159">
        <v>14</v>
      </c>
      <c r="D159" t="str">
        <f t="shared" si="26"/>
        <v>1453</v>
      </c>
      <c r="E159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59" t="str">
        <f>"1"</f>
        <v>1</v>
      </c>
      <c r="G159" t="str">
        <f>"3"</f>
        <v>3</v>
      </c>
      <c r="H159" t="str">
        <f>"1"</f>
        <v>1</v>
      </c>
      <c r="I159" s="2">
        <v>-334781589</v>
      </c>
    </row>
    <row r="160" spans="1:9" x14ac:dyDescent="0.25">
      <c r="A160">
        <v>159</v>
      </c>
      <c r="B160" s="1">
        <v>44561</v>
      </c>
      <c r="C160">
        <v>14</v>
      </c>
      <c r="D160" t="str">
        <f t="shared" si="26"/>
        <v>1453</v>
      </c>
      <c r="E160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60" t="str">
        <f>"1"</f>
        <v>1</v>
      </c>
      <c r="G160" t="str">
        <f>"5"</f>
        <v>5</v>
      </c>
      <c r="H160" t="str">
        <f>"1"</f>
        <v>1</v>
      </c>
      <c r="I160" s="2">
        <v>-1448144676</v>
      </c>
    </row>
    <row r="161" spans="1:9" x14ac:dyDescent="0.25">
      <c r="A161">
        <v>160</v>
      </c>
      <c r="B161" s="1">
        <v>44561</v>
      </c>
      <c r="C161">
        <v>14</v>
      </c>
      <c r="D161" t="str">
        <f t="shared" si="26"/>
        <v>1453</v>
      </c>
      <c r="E161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61" t="str">
        <f>"2"</f>
        <v>2</v>
      </c>
      <c r="G161" t="str">
        <f>"5"</f>
        <v>5</v>
      </c>
      <c r="H161" t="str">
        <f>"3"</f>
        <v>3</v>
      </c>
      <c r="I161" s="2">
        <v>-14325703</v>
      </c>
    </row>
    <row r="162" spans="1:9" x14ac:dyDescent="0.25">
      <c r="A162">
        <v>161</v>
      </c>
      <c r="B162" s="1">
        <v>44561</v>
      </c>
      <c r="C162">
        <v>14</v>
      </c>
      <c r="D162" t="str">
        <f t="shared" si="26"/>
        <v>1453</v>
      </c>
      <c r="E162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62" t="str">
        <f>"1"</f>
        <v>1</v>
      </c>
      <c r="G162" t="str">
        <f>"2"</f>
        <v>2</v>
      </c>
      <c r="H162" t="str">
        <f>"1"</f>
        <v>1</v>
      </c>
      <c r="I162" s="2">
        <v>-3919704</v>
      </c>
    </row>
    <row r="163" spans="1:9" x14ac:dyDescent="0.25">
      <c r="A163">
        <v>162</v>
      </c>
      <c r="B163" s="1">
        <v>44561</v>
      </c>
      <c r="C163">
        <v>14</v>
      </c>
      <c r="D163" t="str">
        <f t="shared" si="26"/>
        <v>1453</v>
      </c>
      <c r="E163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63" t="str">
        <f>"2"</f>
        <v>2</v>
      </c>
      <c r="G163" t="str">
        <f>"3"</f>
        <v>3</v>
      </c>
      <c r="H163" t="str">
        <f>"2"</f>
        <v>2</v>
      </c>
      <c r="I163" s="2">
        <v>-19992129</v>
      </c>
    </row>
    <row r="164" spans="1:9" x14ac:dyDescent="0.25">
      <c r="A164">
        <v>163</v>
      </c>
      <c r="B164" s="1">
        <v>44561</v>
      </c>
      <c r="C164">
        <v>14</v>
      </c>
      <c r="D164" t="str">
        <f t="shared" si="26"/>
        <v>1453</v>
      </c>
      <c r="E164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64" t="str">
        <f>"1"</f>
        <v>1</v>
      </c>
      <c r="G164" t="str">
        <f>"6"</f>
        <v>6</v>
      </c>
      <c r="H164" t="str">
        <f>"2"</f>
        <v>2</v>
      </c>
      <c r="I164" s="2">
        <v>-147533797</v>
      </c>
    </row>
    <row r="165" spans="1:9" x14ac:dyDescent="0.25">
      <c r="A165">
        <v>164</v>
      </c>
      <c r="B165" s="1">
        <v>44561</v>
      </c>
      <c r="C165">
        <v>14</v>
      </c>
      <c r="D165" t="str">
        <f t="shared" si="26"/>
        <v>1453</v>
      </c>
      <c r="E165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65" t="str">
        <f>"1"</f>
        <v>1</v>
      </c>
      <c r="G165" t="str">
        <f>"1"</f>
        <v>1</v>
      </c>
      <c r="H165" t="str">
        <f>"1"</f>
        <v>1</v>
      </c>
      <c r="I165" s="2">
        <v>-16149464406</v>
      </c>
    </row>
    <row r="166" spans="1:9" x14ac:dyDescent="0.25">
      <c r="A166">
        <v>165</v>
      </c>
      <c r="B166" s="1">
        <v>44561</v>
      </c>
      <c r="C166">
        <v>14</v>
      </c>
      <c r="D166" t="str">
        <f t="shared" si="26"/>
        <v>1453</v>
      </c>
      <c r="E166" t="str">
        <f t="shared" si="27"/>
        <v>Дисконт по приобретенным ценным бумагам, учитываемым по справедливой стоимости через прочий совокупный доход</v>
      </c>
      <c r="F166" t="str">
        <f>"1"</f>
        <v>1</v>
      </c>
      <c r="G166" t="str">
        <f>"4"</f>
        <v>4</v>
      </c>
      <c r="H166" t="str">
        <f>"2"</f>
        <v>2</v>
      </c>
      <c r="I166" s="2">
        <v>-382019056</v>
      </c>
    </row>
    <row r="167" spans="1:9" x14ac:dyDescent="0.25">
      <c r="A167">
        <v>166</v>
      </c>
      <c r="B167" s="1">
        <v>44561</v>
      </c>
      <c r="C167">
        <v>14</v>
      </c>
      <c r="D167" t="str">
        <f t="shared" ref="D167:D176" si="28">"1454"</f>
        <v>1454</v>
      </c>
      <c r="E167" t="str">
        <f t="shared" ref="E167:E176" si="29"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67" t="str">
        <f>"1"</f>
        <v>1</v>
      </c>
      <c r="G167" t="str">
        <f>"1"</f>
        <v>1</v>
      </c>
      <c r="H167" t="str">
        <f>"1"</f>
        <v>1</v>
      </c>
      <c r="I167" s="2">
        <v>137746048</v>
      </c>
    </row>
    <row r="168" spans="1:9" x14ac:dyDescent="0.25">
      <c r="A168">
        <v>167</v>
      </c>
      <c r="B168" s="1">
        <v>44561</v>
      </c>
      <c r="C168">
        <v>14</v>
      </c>
      <c r="D168" t="str">
        <f t="shared" si="28"/>
        <v>1454</v>
      </c>
      <c r="E168" t="str">
        <f t="shared" si="29"/>
        <v>Премия по приобретенным ценным бумагам, учитываемым по справедливой стоимости через прочий совокупный доход</v>
      </c>
      <c r="F168" t="str">
        <f>"2"</f>
        <v>2</v>
      </c>
      <c r="G168" t="str">
        <f>"4"</f>
        <v>4</v>
      </c>
      <c r="H168" t="str">
        <f>"2"</f>
        <v>2</v>
      </c>
      <c r="I168" s="2">
        <v>1642640835</v>
      </c>
    </row>
    <row r="169" spans="1:9" x14ac:dyDescent="0.25">
      <c r="A169">
        <v>168</v>
      </c>
      <c r="B169" s="1">
        <v>44561</v>
      </c>
      <c r="C169">
        <v>14</v>
      </c>
      <c r="D169" t="str">
        <f t="shared" si="28"/>
        <v>1454</v>
      </c>
      <c r="E169" t="str">
        <f t="shared" si="29"/>
        <v>Премия по приобретенным ценным бумагам, учитываемым по справедливой стоимости через прочий совокупный доход</v>
      </c>
      <c r="F169" t="str">
        <f>"2"</f>
        <v>2</v>
      </c>
      <c r="G169" t="str">
        <f>"7"</f>
        <v>7</v>
      </c>
      <c r="H169" t="str">
        <f>"2"</f>
        <v>2</v>
      </c>
      <c r="I169" s="2">
        <v>1788875901</v>
      </c>
    </row>
    <row r="170" spans="1:9" x14ac:dyDescent="0.25">
      <c r="A170">
        <v>169</v>
      </c>
      <c r="B170" s="1">
        <v>44561</v>
      </c>
      <c r="C170">
        <v>14</v>
      </c>
      <c r="D170" t="str">
        <f t="shared" si="28"/>
        <v>1454</v>
      </c>
      <c r="E170" t="str">
        <f t="shared" si="29"/>
        <v>Премия по приобретенным ценным бумагам, учитываемым по справедливой стоимости через прочий совокупный доход</v>
      </c>
      <c r="F170" t="str">
        <f>"1"</f>
        <v>1</v>
      </c>
      <c r="G170" t="str">
        <f>"1"</f>
        <v>1</v>
      </c>
      <c r="H170" t="str">
        <f>"2"</f>
        <v>2</v>
      </c>
      <c r="I170" s="2">
        <v>36490003589</v>
      </c>
    </row>
    <row r="171" spans="1:9" x14ac:dyDescent="0.25">
      <c r="A171">
        <v>170</v>
      </c>
      <c r="B171" s="1">
        <v>44561</v>
      </c>
      <c r="C171">
        <v>14</v>
      </c>
      <c r="D171" t="str">
        <f t="shared" si="28"/>
        <v>1454</v>
      </c>
      <c r="E171" t="str">
        <f t="shared" si="29"/>
        <v>Премия по приобретенным ценным бумагам, учитываемым по справедливой стоимости через прочий совокупный доход</v>
      </c>
      <c r="F171" t="str">
        <f>"2"</f>
        <v>2</v>
      </c>
      <c r="G171" t="str">
        <f>"5"</f>
        <v>5</v>
      </c>
      <c r="H171" t="str">
        <f>"2"</f>
        <v>2</v>
      </c>
      <c r="I171" s="2">
        <v>351828460</v>
      </c>
    </row>
    <row r="172" spans="1:9" x14ac:dyDescent="0.25">
      <c r="A172">
        <v>171</v>
      </c>
      <c r="B172" s="1">
        <v>44561</v>
      </c>
      <c r="C172">
        <v>14</v>
      </c>
      <c r="D172" t="str">
        <f t="shared" si="28"/>
        <v>1454</v>
      </c>
      <c r="E172" t="str">
        <f t="shared" si="29"/>
        <v>Премия по приобретенным ценным бумагам, учитываемым по справедливой стоимости через прочий совокупный доход</v>
      </c>
      <c r="F172" t="str">
        <f>"2"</f>
        <v>2</v>
      </c>
      <c r="G172" t="str">
        <f>"3"</f>
        <v>3</v>
      </c>
      <c r="H172" t="str">
        <f>"2"</f>
        <v>2</v>
      </c>
      <c r="I172" s="2">
        <v>112322990</v>
      </c>
    </row>
    <row r="173" spans="1:9" x14ac:dyDescent="0.25">
      <c r="A173">
        <v>172</v>
      </c>
      <c r="B173" s="1">
        <v>44561</v>
      </c>
      <c r="C173">
        <v>14</v>
      </c>
      <c r="D173" t="str">
        <f t="shared" si="28"/>
        <v>1454</v>
      </c>
      <c r="E173" t="str">
        <f t="shared" si="29"/>
        <v>Премия по приобретенным ценным бумагам, учитываемым по справедливой стоимости через прочий совокупный доход</v>
      </c>
      <c r="F173" t="str">
        <f>"1"</f>
        <v>1</v>
      </c>
      <c r="G173" t="str">
        <f>"4"</f>
        <v>4</v>
      </c>
      <c r="H173" t="str">
        <f>"1"</f>
        <v>1</v>
      </c>
      <c r="I173" s="2">
        <v>271968380</v>
      </c>
    </row>
    <row r="174" spans="1:9" x14ac:dyDescent="0.25">
      <c r="A174">
        <v>173</v>
      </c>
      <c r="B174" s="1">
        <v>44561</v>
      </c>
      <c r="C174">
        <v>14</v>
      </c>
      <c r="D174" t="str">
        <f t="shared" si="28"/>
        <v>1454</v>
      </c>
      <c r="E174" t="str">
        <f t="shared" si="29"/>
        <v>Премия по приобретенным ценным бумагам, учитываемым по справедливой стоимости через прочий совокупный доход</v>
      </c>
      <c r="F174" t="str">
        <f>"2"</f>
        <v>2</v>
      </c>
      <c r="G174" t="str">
        <f>"1"</f>
        <v>1</v>
      </c>
      <c r="H174" t="str">
        <f>"2"</f>
        <v>2</v>
      </c>
      <c r="I174" s="2">
        <v>6599178263</v>
      </c>
    </row>
    <row r="175" spans="1:9" x14ac:dyDescent="0.25">
      <c r="A175">
        <v>174</v>
      </c>
      <c r="B175" s="1">
        <v>44561</v>
      </c>
      <c r="C175">
        <v>14</v>
      </c>
      <c r="D175" t="str">
        <f t="shared" si="28"/>
        <v>1454</v>
      </c>
      <c r="E175" t="str">
        <f t="shared" si="29"/>
        <v>Премия по приобретенным ценным бумагам, учитываемым по справедливой стоимости через прочий совокупный доход</v>
      </c>
      <c r="F175" t="str">
        <f>"1"</f>
        <v>1</v>
      </c>
      <c r="G175" t="str">
        <f>"6"</f>
        <v>6</v>
      </c>
      <c r="H175" t="str">
        <f>"3"</f>
        <v>3</v>
      </c>
      <c r="I175" s="2">
        <v>187014326</v>
      </c>
    </row>
    <row r="176" spans="1:9" x14ac:dyDescent="0.25">
      <c r="A176">
        <v>175</v>
      </c>
      <c r="B176" s="1">
        <v>44561</v>
      </c>
      <c r="C176">
        <v>14</v>
      </c>
      <c r="D176" t="str">
        <f t="shared" si="28"/>
        <v>1454</v>
      </c>
      <c r="E176" t="str">
        <f t="shared" si="29"/>
        <v>Премия по приобретенным ценным бумагам, учитываемым по справедливой стоимости через прочий совокупный доход</v>
      </c>
      <c r="F176" t="str">
        <f>"1"</f>
        <v>1</v>
      </c>
      <c r="G176" t="str">
        <f>"4"</f>
        <v>4</v>
      </c>
      <c r="H176" t="str">
        <f>"2"</f>
        <v>2</v>
      </c>
      <c r="I176" s="2">
        <v>2943073386</v>
      </c>
    </row>
    <row r="177" spans="1:9" x14ac:dyDescent="0.25">
      <c r="A177">
        <v>176</v>
      </c>
      <c r="B177" s="1">
        <v>44561</v>
      </c>
      <c r="C177">
        <v>14</v>
      </c>
      <c r="D177" t="str">
        <f t="shared" ref="D177:D191" si="30">"1456"</f>
        <v>1456</v>
      </c>
      <c r="E177" t="str">
        <f t="shared" ref="E177:E191" si="31"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77" t="str">
        <f>"2"</f>
        <v>2</v>
      </c>
      <c r="G177" t="str">
        <f>"1"</f>
        <v>1</v>
      </c>
      <c r="H177" t="str">
        <f>"2"</f>
        <v>2</v>
      </c>
      <c r="I177" s="2">
        <v>317000171</v>
      </c>
    </row>
    <row r="178" spans="1:9" x14ac:dyDescent="0.25">
      <c r="A178">
        <v>177</v>
      </c>
      <c r="B178" s="1">
        <v>44561</v>
      </c>
      <c r="C178">
        <v>14</v>
      </c>
      <c r="D178" t="str">
        <f t="shared" si="30"/>
        <v>1456</v>
      </c>
      <c r="E178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78" t="str">
        <f>"2"</f>
        <v>2</v>
      </c>
      <c r="G178" t="str">
        <f>"5"</f>
        <v>5</v>
      </c>
      <c r="H178" t="str">
        <f>"2"</f>
        <v>2</v>
      </c>
      <c r="I178" s="2">
        <v>868042670</v>
      </c>
    </row>
    <row r="179" spans="1:9" x14ac:dyDescent="0.25">
      <c r="A179">
        <v>178</v>
      </c>
      <c r="B179" s="1">
        <v>44561</v>
      </c>
      <c r="C179">
        <v>14</v>
      </c>
      <c r="D179" t="str">
        <f t="shared" si="30"/>
        <v>1456</v>
      </c>
      <c r="E179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79" t="str">
        <f>"2"</f>
        <v>2</v>
      </c>
      <c r="G179" t="str">
        <f>"3"</f>
        <v>3</v>
      </c>
      <c r="H179" t="str">
        <f>"2"</f>
        <v>2</v>
      </c>
      <c r="I179" s="2">
        <v>8424914</v>
      </c>
    </row>
    <row r="180" spans="1:9" x14ac:dyDescent="0.25">
      <c r="A180">
        <v>179</v>
      </c>
      <c r="B180" s="1">
        <v>44561</v>
      </c>
      <c r="C180">
        <v>14</v>
      </c>
      <c r="D180" t="str">
        <f t="shared" si="30"/>
        <v>1456</v>
      </c>
      <c r="E180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80" t="str">
        <f>"2"</f>
        <v>2</v>
      </c>
      <c r="G180" t="str">
        <f>"4"</f>
        <v>4</v>
      </c>
      <c r="H180" t="str">
        <f>"2"</f>
        <v>2</v>
      </c>
      <c r="I180" s="2">
        <v>1220102155</v>
      </c>
    </row>
    <row r="181" spans="1:9" x14ac:dyDescent="0.25">
      <c r="A181">
        <v>180</v>
      </c>
      <c r="B181" s="1">
        <v>44561</v>
      </c>
      <c r="C181">
        <v>14</v>
      </c>
      <c r="D181" t="str">
        <f t="shared" si="30"/>
        <v>1456</v>
      </c>
      <c r="E181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81" t="str">
        <f>"1"</f>
        <v>1</v>
      </c>
      <c r="G181" t="str">
        <f>"6"</f>
        <v>6</v>
      </c>
      <c r="H181" t="str">
        <f t="shared" ref="H181:H187" si="32">"1"</f>
        <v>1</v>
      </c>
      <c r="I181" s="2">
        <v>196780000</v>
      </c>
    </row>
    <row r="182" spans="1:9" x14ac:dyDescent="0.25">
      <c r="A182">
        <v>181</v>
      </c>
      <c r="B182" s="1">
        <v>44561</v>
      </c>
      <c r="C182">
        <v>14</v>
      </c>
      <c r="D182" t="str">
        <f t="shared" si="30"/>
        <v>1456</v>
      </c>
      <c r="E182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82" t="str">
        <f>"1"</f>
        <v>1</v>
      </c>
      <c r="G182" t="str">
        <f>"4"</f>
        <v>4</v>
      </c>
      <c r="H182" t="str">
        <f t="shared" si="32"/>
        <v>1</v>
      </c>
      <c r="I182" s="2">
        <v>403921000</v>
      </c>
    </row>
    <row r="183" spans="1:9" x14ac:dyDescent="0.25">
      <c r="A183">
        <v>182</v>
      </c>
      <c r="B183" s="1">
        <v>44561</v>
      </c>
      <c r="C183">
        <v>14</v>
      </c>
      <c r="D183" t="str">
        <f t="shared" si="30"/>
        <v>1456</v>
      </c>
      <c r="E183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83" t="str">
        <f>"2"</f>
        <v>2</v>
      </c>
      <c r="G183" t="str">
        <f>"5"</f>
        <v>5</v>
      </c>
      <c r="H183" t="str">
        <f t="shared" si="32"/>
        <v>1</v>
      </c>
      <c r="I183" s="2">
        <v>4087125</v>
      </c>
    </row>
    <row r="184" spans="1:9" x14ac:dyDescent="0.25">
      <c r="A184">
        <v>183</v>
      </c>
      <c r="B184" s="1">
        <v>44561</v>
      </c>
      <c r="C184">
        <v>14</v>
      </c>
      <c r="D184" t="str">
        <f t="shared" si="30"/>
        <v>1456</v>
      </c>
      <c r="E184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84" t="str">
        <f>"1"</f>
        <v>1</v>
      </c>
      <c r="G184" t="str">
        <f>"1"</f>
        <v>1</v>
      </c>
      <c r="H184" t="str">
        <f t="shared" si="32"/>
        <v>1</v>
      </c>
      <c r="I184" s="2">
        <v>1163112424</v>
      </c>
    </row>
    <row r="185" spans="1:9" x14ac:dyDescent="0.25">
      <c r="A185">
        <v>184</v>
      </c>
      <c r="B185" s="1">
        <v>44561</v>
      </c>
      <c r="C185">
        <v>14</v>
      </c>
      <c r="D185" t="str">
        <f t="shared" si="30"/>
        <v>1456</v>
      </c>
      <c r="E185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85" t="str">
        <f>"1"</f>
        <v>1</v>
      </c>
      <c r="G185" t="str">
        <f>"2"</f>
        <v>2</v>
      </c>
      <c r="H185" t="str">
        <f t="shared" si="32"/>
        <v>1</v>
      </c>
      <c r="I185" s="2">
        <v>39031704</v>
      </c>
    </row>
    <row r="186" spans="1:9" x14ac:dyDescent="0.25">
      <c r="A186">
        <v>185</v>
      </c>
      <c r="B186" s="1">
        <v>44561</v>
      </c>
      <c r="C186">
        <v>14</v>
      </c>
      <c r="D186" t="str">
        <f t="shared" si="30"/>
        <v>1456</v>
      </c>
      <c r="E186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86" t="str">
        <f>"1"</f>
        <v>1</v>
      </c>
      <c r="G186" t="str">
        <f>"5"</f>
        <v>5</v>
      </c>
      <c r="H186" t="str">
        <f t="shared" si="32"/>
        <v>1</v>
      </c>
      <c r="I186" s="2">
        <v>647805575</v>
      </c>
    </row>
    <row r="187" spans="1:9" x14ac:dyDescent="0.25">
      <c r="A187">
        <v>186</v>
      </c>
      <c r="B187" s="1">
        <v>44561</v>
      </c>
      <c r="C187">
        <v>14</v>
      </c>
      <c r="D187" t="str">
        <f t="shared" si="30"/>
        <v>1456</v>
      </c>
      <c r="E187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87" t="str">
        <f>"1"</f>
        <v>1</v>
      </c>
      <c r="G187" t="str">
        <f>"7"</f>
        <v>7</v>
      </c>
      <c r="H187" t="str">
        <f t="shared" si="32"/>
        <v>1</v>
      </c>
      <c r="I187" s="2">
        <v>539760000</v>
      </c>
    </row>
    <row r="188" spans="1:9" x14ac:dyDescent="0.25">
      <c r="A188">
        <v>187</v>
      </c>
      <c r="B188" s="1">
        <v>44561</v>
      </c>
      <c r="C188">
        <v>14</v>
      </c>
      <c r="D188" t="str">
        <f t="shared" si="30"/>
        <v>1456</v>
      </c>
      <c r="E188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88" t="str">
        <f>"1"</f>
        <v>1</v>
      </c>
      <c r="G188" t="str">
        <f>"1"</f>
        <v>1</v>
      </c>
      <c r="H188" t="str">
        <f>"2"</f>
        <v>2</v>
      </c>
      <c r="I188" s="2">
        <v>25624339713</v>
      </c>
    </row>
    <row r="189" spans="1:9" x14ac:dyDescent="0.25">
      <c r="A189">
        <v>188</v>
      </c>
      <c r="B189" s="1">
        <v>44561</v>
      </c>
      <c r="C189">
        <v>14</v>
      </c>
      <c r="D189" t="str">
        <f t="shared" si="30"/>
        <v>1456</v>
      </c>
      <c r="E189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89" t="str">
        <f>"2"</f>
        <v>2</v>
      </c>
      <c r="G189" t="str">
        <f>"7"</f>
        <v>7</v>
      </c>
      <c r="H189" t="str">
        <f>"2"</f>
        <v>2</v>
      </c>
      <c r="I189" s="2">
        <v>34386547</v>
      </c>
    </row>
    <row r="190" spans="1:9" x14ac:dyDescent="0.25">
      <c r="A190">
        <v>189</v>
      </c>
      <c r="B190" s="1">
        <v>44561</v>
      </c>
      <c r="C190">
        <v>14</v>
      </c>
      <c r="D190" t="str">
        <f t="shared" si="30"/>
        <v>1456</v>
      </c>
      <c r="E190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90" t="str">
        <f>"1"</f>
        <v>1</v>
      </c>
      <c r="G190" t="str">
        <f>"3"</f>
        <v>3</v>
      </c>
      <c r="H190" t="str">
        <f>"1"</f>
        <v>1</v>
      </c>
      <c r="I190" s="2">
        <v>19450589</v>
      </c>
    </row>
    <row r="191" spans="1:9" x14ac:dyDescent="0.25">
      <c r="A191">
        <v>190</v>
      </c>
      <c r="B191" s="1">
        <v>44561</v>
      </c>
      <c r="C191">
        <v>14</v>
      </c>
      <c r="D191" t="str">
        <f t="shared" si="30"/>
        <v>1456</v>
      </c>
      <c r="E191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91" t="str">
        <f>"1"</f>
        <v>1</v>
      </c>
      <c r="G191" t="str">
        <f>"4"</f>
        <v>4</v>
      </c>
      <c r="H191" t="str">
        <f>"2"</f>
        <v>2</v>
      </c>
      <c r="I191" s="2">
        <v>2005595917</v>
      </c>
    </row>
    <row r="192" spans="1:9" x14ac:dyDescent="0.25">
      <c r="A192">
        <v>191</v>
      </c>
      <c r="B192" s="1">
        <v>44561</v>
      </c>
      <c r="C192">
        <v>14</v>
      </c>
      <c r="D192" t="str">
        <f t="shared" ref="D192:D206" si="33">"1457"</f>
        <v>1457</v>
      </c>
      <c r="E192" t="str">
        <f t="shared" ref="E192:E206" si="34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92" t="str">
        <f>"2"</f>
        <v>2</v>
      </c>
      <c r="G192" t="str">
        <f>"4"</f>
        <v>4</v>
      </c>
      <c r="H192" t="str">
        <f>"1"</f>
        <v>1</v>
      </c>
      <c r="I192" s="2">
        <v>-48501850</v>
      </c>
    </row>
    <row r="193" spans="1:9" x14ac:dyDescent="0.25">
      <c r="A193">
        <v>192</v>
      </c>
      <c r="B193" s="1">
        <v>44561</v>
      </c>
      <c r="C193">
        <v>14</v>
      </c>
      <c r="D193" t="str">
        <f t="shared" si="33"/>
        <v>1457</v>
      </c>
      <c r="E193" t="str">
        <f t="shared" si="3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93" t="str">
        <f>"2"</f>
        <v>2</v>
      </c>
      <c r="G193" t="str">
        <f>"4"</f>
        <v>4</v>
      </c>
      <c r="H193" t="str">
        <f>"2"</f>
        <v>2</v>
      </c>
      <c r="I193" s="2">
        <v>-117839502</v>
      </c>
    </row>
    <row r="194" spans="1:9" x14ac:dyDescent="0.25">
      <c r="A194">
        <v>193</v>
      </c>
      <c r="B194" s="1">
        <v>44561</v>
      </c>
      <c r="C194">
        <v>14</v>
      </c>
      <c r="D194" t="str">
        <f t="shared" si="33"/>
        <v>1457</v>
      </c>
      <c r="E194" t="str">
        <f t="shared" si="3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94" t="str">
        <f>"1"</f>
        <v>1</v>
      </c>
      <c r="G194" t="str">
        <f>"1"</f>
        <v>1</v>
      </c>
      <c r="H194" t="str">
        <f>"1"</f>
        <v>1</v>
      </c>
      <c r="I194" s="2">
        <v>-3920357097</v>
      </c>
    </row>
    <row r="195" spans="1:9" x14ac:dyDescent="0.25">
      <c r="A195">
        <v>194</v>
      </c>
      <c r="B195" s="1">
        <v>44561</v>
      </c>
      <c r="C195">
        <v>14</v>
      </c>
      <c r="D195" t="str">
        <f t="shared" si="33"/>
        <v>1457</v>
      </c>
      <c r="E195" t="str">
        <f t="shared" si="3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95" t="str">
        <f>"1"</f>
        <v>1</v>
      </c>
      <c r="G195" t="str">
        <f>"6"</f>
        <v>6</v>
      </c>
      <c r="H195" t="str">
        <f>"3"</f>
        <v>3</v>
      </c>
      <c r="I195" s="2">
        <v>-653438304</v>
      </c>
    </row>
    <row r="196" spans="1:9" x14ac:dyDescent="0.25">
      <c r="A196">
        <v>195</v>
      </c>
      <c r="B196" s="1">
        <v>44561</v>
      </c>
      <c r="C196">
        <v>14</v>
      </c>
      <c r="D196" t="str">
        <f t="shared" si="33"/>
        <v>1457</v>
      </c>
      <c r="E196" t="str">
        <f t="shared" si="3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96" t="str">
        <f>"1"</f>
        <v>1</v>
      </c>
      <c r="G196" t="str">
        <f>"6"</f>
        <v>6</v>
      </c>
      <c r="H196" t="str">
        <f>"1"</f>
        <v>1</v>
      </c>
      <c r="I196" s="2">
        <v>-19472150</v>
      </c>
    </row>
    <row r="197" spans="1:9" x14ac:dyDescent="0.25">
      <c r="A197">
        <v>196</v>
      </c>
      <c r="B197" s="1">
        <v>44561</v>
      </c>
      <c r="C197">
        <v>14</v>
      </c>
      <c r="D197" t="str">
        <f t="shared" si="33"/>
        <v>1457</v>
      </c>
      <c r="E197" t="str">
        <f t="shared" si="3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97" t="str">
        <f>"2"</f>
        <v>2</v>
      </c>
      <c r="G197" t="str">
        <f>"3"</f>
        <v>3</v>
      </c>
      <c r="H197" t="str">
        <f>"1"</f>
        <v>1</v>
      </c>
      <c r="I197" s="2">
        <v>-103985350</v>
      </c>
    </row>
    <row r="198" spans="1:9" x14ac:dyDescent="0.25">
      <c r="A198">
        <v>197</v>
      </c>
      <c r="B198" s="1">
        <v>44561</v>
      </c>
      <c r="C198">
        <v>14</v>
      </c>
      <c r="D198" t="str">
        <f t="shared" si="33"/>
        <v>1457</v>
      </c>
      <c r="E198" t="str">
        <f t="shared" si="3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98" t="str">
        <f>"2"</f>
        <v>2</v>
      </c>
      <c r="G198" t="str">
        <f>"5"</f>
        <v>5</v>
      </c>
      <c r="H198" t="str">
        <f>"3"</f>
        <v>3</v>
      </c>
      <c r="I198" s="2">
        <v>-362297</v>
      </c>
    </row>
    <row r="199" spans="1:9" x14ac:dyDescent="0.25">
      <c r="A199">
        <v>198</v>
      </c>
      <c r="B199" s="1">
        <v>44561</v>
      </c>
      <c r="C199">
        <v>14</v>
      </c>
      <c r="D199" t="str">
        <f t="shared" si="33"/>
        <v>1457</v>
      </c>
      <c r="E199" t="str">
        <f t="shared" si="3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99" t="str">
        <f>"1"</f>
        <v>1</v>
      </c>
      <c r="G199" t="str">
        <f>"4"</f>
        <v>4</v>
      </c>
      <c r="H199" t="str">
        <f>"2"</f>
        <v>2</v>
      </c>
      <c r="I199" s="2">
        <v>-734476631</v>
      </c>
    </row>
    <row r="200" spans="1:9" x14ac:dyDescent="0.25">
      <c r="A200">
        <v>199</v>
      </c>
      <c r="B200" s="1">
        <v>44561</v>
      </c>
      <c r="C200">
        <v>14</v>
      </c>
      <c r="D200" t="str">
        <f t="shared" si="33"/>
        <v>1457</v>
      </c>
      <c r="E200" t="str">
        <f t="shared" si="3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0" t="str">
        <f>"1"</f>
        <v>1</v>
      </c>
      <c r="G200" t="str">
        <f>"4"</f>
        <v>4</v>
      </c>
      <c r="H200" t="str">
        <f>"1"</f>
        <v>1</v>
      </c>
      <c r="I200" s="2">
        <v>-524680021</v>
      </c>
    </row>
    <row r="201" spans="1:9" x14ac:dyDescent="0.25">
      <c r="A201">
        <v>200</v>
      </c>
      <c r="B201" s="1">
        <v>44561</v>
      </c>
      <c r="C201">
        <v>14</v>
      </c>
      <c r="D201" t="str">
        <f t="shared" si="33"/>
        <v>1457</v>
      </c>
      <c r="E201" t="str">
        <f t="shared" si="3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1" t="str">
        <f>"2"</f>
        <v>2</v>
      </c>
      <c r="G201" t="str">
        <f>"1"</f>
        <v>1</v>
      </c>
      <c r="H201" t="str">
        <f>"2"</f>
        <v>2</v>
      </c>
      <c r="I201" s="2">
        <v>-671491735</v>
      </c>
    </row>
    <row r="202" spans="1:9" x14ac:dyDescent="0.25">
      <c r="A202">
        <v>201</v>
      </c>
      <c r="B202" s="1">
        <v>44561</v>
      </c>
      <c r="C202">
        <v>14</v>
      </c>
      <c r="D202" t="str">
        <f t="shared" si="33"/>
        <v>1457</v>
      </c>
      <c r="E202" t="str">
        <f t="shared" si="3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2" t="str">
        <f>"2"</f>
        <v>2</v>
      </c>
      <c r="G202" t="str">
        <f>"7"</f>
        <v>7</v>
      </c>
      <c r="H202" t="str">
        <f>"2"</f>
        <v>2</v>
      </c>
      <c r="I202" s="2">
        <v>-225136206</v>
      </c>
    </row>
    <row r="203" spans="1:9" x14ac:dyDescent="0.25">
      <c r="A203">
        <v>202</v>
      </c>
      <c r="B203" s="1">
        <v>44561</v>
      </c>
      <c r="C203">
        <v>14</v>
      </c>
      <c r="D203" t="str">
        <f t="shared" si="33"/>
        <v>1457</v>
      </c>
      <c r="E203" t="str">
        <f t="shared" si="3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3" t="str">
        <f>"2"</f>
        <v>2</v>
      </c>
      <c r="G203" t="str">
        <f>"3"</f>
        <v>3</v>
      </c>
      <c r="H203" t="str">
        <f>"2"</f>
        <v>2</v>
      </c>
      <c r="I203" s="2">
        <v>-5873495</v>
      </c>
    </row>
    <row r="204" spans="1:9" x14ac:dyDescent="0.25">
      <c r="A204">
        <v>203</v>
      </c>
      <c r="B204" s="1">
        <v>44561</v>
      </c>
      <c r="C204">
        <v>14</v>
      </c>
      <c r="D204" t="str">
        <f t="shared" si="33"/>
        <v>1457</v>
      </c>
      <c r="E204" t="str">
        <f t="shared" si="3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4" t="str">
        <f t="shared" ref="F204:F210" si="35">"1"</f>
        <v>1</v>
      </c>
      <c r="G204" t="str">
        <f>"6"</f>
        <v>6</v>
      </c>
      <c r="H204" t="str">
        <f>"2"</f>
        <v>2</v>
      </c>
      <c r="I204" s="2">
        <v>-52605503</v>
      </c>
    </row>
    <row r="205" spans="1:9" x14ac:dyDescent="0.25">
      <c r="A205">
        <v>204</v>
      </c>
      <c r="B205" s="1">
        <v>44561</v>
      </c>
      <c r="C205">
        <v>14</v>
      </c>
      <c r="D205" t="str">
        <f t="shared" si="33"/>
        <v>1457</v>
      </c>
      <c r="E205" t="str">
        <f t="shared" si="3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5" t="str">
        <f t="shared" si="35"/>
        <v>1</v>
      </c>
      <c r="G205" t="str">
        <f>"5"</f>
        <v>5</v>
      </c>
      <c r="H205" t="str">
        <f>"1"</f>
        <v>1</v>
      </c>
      <c r="I205" s="2">
        <v>-279258384</v>
      </c>
    </row>
    <row r="206" spans="1:9" x14ac:dyDescent="0.25">
      <c r="A206">
        <v>205</v>
      </c>
      <c r="B206" s="1">
        <v>44561</v>
      </c>
      <c r="C206">
        <v>14</v>
      </c>
      <c r="D206" t="str">
        <f t="shared" si="33"/>
        <v>1457</v>
      </c>
      <c r="E206" t="str">
        <f t="shared" si="3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6" t="str">
        <f t="shared" si="35"/>
        <v>1</v>
      </c>
      <c r="G206" t="str">
        <f>"1"</f>
        <v>1</v>
      </c>
      <c r="H206" t="str">
        <f>"2"</f>
        <v>2</v>
      </c>
      <c r="I206" s="2">
        <v>-2686954297</v>
      </c>
    </row>
    <row r="207" spans="1:9" x14ac:dyDescent="0.25">
      <c r="A207">
        <v>206</v>
      </c>
      <c r="B207" s="1">
        <v>44561</v>
      </c>
      <c r="C207">
        <v>14</v>
      </c>
      <c r="D207" t="str">
        <f>"1461"</f>
        <v>1461</v>
      </c>
      <c r="E207" t="str">
        <f>"Операции «обратное РЕПО» с ценными бумагами"</f>
        <v>Операции «обратное РЕПО» с ценными бумагами</v>
      </c>
      <c r="F207" t="str">
        <f t="shared" si="35"/>
        <v>1</v>
      </c>
      <c r="G207" t="str">
        <f>"5"</f>
        <v>5</v>
      </c>
      <c r="H207" t="str">
        <f t="shared" ref="H207:H212" si="36">"1"</f>
        <v>1</v>
      </c>
      <c r="I207" s="2">
        <v>197697616172</v>
      </c>
    </row>
    <row r="208" spans="1:9" x14ac:dyDescent="0.25">
      <c r="A208">
        <v>207</v>
      </c>
      <c r="B208" s="1">
        <v>44561</v>
      </c>
      <c r="C208">
        <v>14</v>
      </c>
      <c r="D208" t="str">
        <f>"1463"</f>
        <v>1463</v>
      </c>
      <c r="E208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F208" t="str">
        <f t="shared" si="35"/>
        <v>1</v>
      </c>
      <c r="G208" t="str">
        <f>"5"</f>
        <v>5</v>
      </c>
      <c r="H208" t="str">
        <f t="shared" si="36"/>
        <v>1</v>
      </c>
      <c r="I208" s="2">
        <v>-2428551</v>
      </c>
    </row>
    <row r="209" spans="1:9" x14ac:dyDescent="0.25">
      <c r="A209">
        <v>208</v>
      </c>
      <c r="B209" s="1">
        <v>44561</v>
      </c>
      <c r="C209">
        <v>14</v>
      </c>
      <c r="D209" t="str">
        <f>"1471"</f>
        <v>1471</v>
      </c>
      <c r="E209" t="str">
        <f>"Инвестиции в дочерние организации"</f>
        <v>Инвестиции в дочерние организации</v>
      </c>
      <c r="F209" t="str">
        <f t="shared" si="35"/>
        <v>1</v>
      </c>
      <c r="G209" t="str">
        <f>"5"</f>
        <v>5</v>
      </c>
      <c r="H209" t="str">
        <f t="shared" si="36"/>
        <v>1</v>
      </c>
      <c r="I209" s="2">
        <v>157515426839</v>
      </c>
    </row>
    <row r="210" spans="1:9" x14ac:dyDescent="0.25">
      <c r="A210">
        <v>209</v>
      </c>
      <c r="B210" s="1">
        <v>44561</v>
      </c>
      <c r="C210">
        <v>14</v>
      </c>
      <c r="D210" t="str">
        <f>"1471"</f>
        <v>1471</v>
      </c>
      <c r="E210" t="str">
        <f>"Инвестиции в дочерние организации"</f>
        <v>Инвестиции в дочерние организации</v>
      </c>
      <c r="F210" t="str">
        <f t="shared" si="35"/>
        <v>1</v>
      </c>
      <c r="G210" t="str">
        <f>"7"</f>
        <v>7</v>
      </c>
      <c r="H210" t="str">
        <f t="shared" si="36"/>
        <v>1</v>
      </c>
      <c r="I210" s="2">
        <v>83077495335</v>
      </c>
    </row>
    <row r="211" spans="1:9" x14ac:dyDescent="0.25">
      <c r="A211">
        <v>210</v>
      </c>
      <c r="B211" s="1">
        <v>44561</v>
      </c>
      <c r="C211">
        <v>14</v>
      </c>
      <c r="D211" t="str">
        <f>"1471"</f>
        <v>1471</v>
      </c>
      <c r="E211" t="str">
        <f>"Инвестиции в дочерние организации"</f>
        <v>Инвестиции в дочерние организации</v>
      </c>
      <c r="F211" t="str">
        <f>"2"</f>
        <v>2</v>
      </c>
      <c r="G211" t="str">
        <f>"4"</f>
        <v>4</v>
      </c>
      <c r="H211" t="str">
        <f t="shared" si="36"/>
        <v>1</v>
      </c>
      <c r="I211" s="2">
        <v>105686752913</v>
      </c>
    </row>
    <row r="212" spans="1:9" x14ac:dyDescent="0.25">
      <c r="A212">
        <v>211</v>
      </c>
      <c r="B212" s="1">
        <v>44561</v>
      </c>
      <c r="C212">
        <v>14</v>
      </c>
      <c r="D212" t="str">
        <f>"1472"</f>
        <v>1472</v>
      </c>
      <c r="E212" t="str">
        <f>"Инвестиции в ассоциированные организации"</f>
        <v>Инвестиции в ассоциированные организации</v>
      </c>
      <c r="F212" t="str">
        <f>"1"</f>
        <v>1</v>
      </c>
      <c r="G212" t="str">
        <f>"4"</f>
        <v>4</v>
      </c>
      <c r="H212" t="str">
        <f t="shared" si="36"/>
        <v>1</v>
      </c>
      <c r="I212" s="2">
        <v>33773833166</v>
      </c>
    </row>
    <row r="213" spans="1:9" x14ac:dyDescent="0.25">
      <c r="A213">
        <v>212</v>
      </c>
      <c r="B213" s="1">
        <v>44561</v>
      </c>
      <c r="C213">
        <v>14</v>
      </c>
      <c r="D213" t="str">
        <f>"1475"</f>
        <v>1475</v>
      </c>
      <c r="E213" t="str">
        <f>"Инвестиции в субординированный долг"</f>
        <v>Инвестиции в субординированный долг</v>
      </c>
      <c r="F213" t="str">
        <f>"2"</f>
        <v>2</v>
      </c>
      <c r="G213" t="str">
        <f>"4"</f>
        <v>4</v>
      </c>
      <c r="H213" t="str">
        <f>"3"</f>
        <v>3</v>
      </c>
      <c r="I213" s="2">
        <v>33696000000</v>
      </c>
    </row>
    <row r="214" spans="1:9" x14ac:dyDescent="0.25">
      <c r="A214">
        <v>213</v>
      </c>
      <c r="B214" s="1">
        <v>44561</v>
      </c>
      <c r="C214">
        <v>14</v>
      </c>
      <c r="D214" t="str">
        <f>"1475"</f>
        <v>1475</v>
      </c>
      <c r="E214" t="str">
        <f>"Инвестиции в субординированный долг"</f>
        <v>Инвестиции в субординированный долг</v>
      </c>
      <c r="F214" t="str">
        <f>"2"</f>
        <v>2</v>
      </c>
      <c r="G214" t="str">
        <f>"4"</f>
        <v>4</v>
      </c>
      <c r="H214" t="str">
        <f>"2"</f>
        <v>2</v>
      </c>
      <c r="I214" s="2">
        <v>4318000000</v>
      </c>
    </row>
    <row r="215" spans="1:9" x14ac:dyDescent="0.25">
      <c r="A215">
        <v>214</v>
      </c>
      <c r="B215" s="1">
        <v>44561</v>
      </c>
      <c r="C215">
        <v>14</v>
      </c>
      <c r="D215" t="str">
        <f>"1476"</f>
        <v>1476</v>
      </c>
      <c r="E215" t="str">
        <f>"Прочие инвестиции"</f>
        <v>Прочие инвестиции</v>
      </c>
      <c r="F215" t="str">
        <f>"2"</f>
        <v>2</v>
      </c>
      <c r="G215" t="str">
        <f>"5"</f>
        <v>5</v>
      </c>
      <c r="H215" t="str">
        <f>"1"</f>
        <v>1</v>
      </c>
      <c r="I215" s="2">
        <v>17205330</v>
      </c>
    </row>
    <row r="216" spans="1:9" x14ac:dyDescent="0.25">
      <c r="A216">
        <v>215</v>
      </c>
      <c r="B216" s="1">
        <v>44561</v>
      </c>
      <c r="C216">
        <v>14</v>
      </c>
      <c r="D216" t="str">
        <f>"1476"</f>
        <v>1476</v>
      </c>
      <c r="E216" t="str">
        <f>"Прочие инвестиции"</f>
        <v>Прочие инвестиции</v>
      </c>
      <c r="F216" t="str">
        <f>"1"</f>
        <v>1</v>
      </c>
      <c r="G216" t="str">
        <f>"8"</f>
        <v>8</v>
      </c>
      <c r="H216" t="str">
        <f>"1"</f>
        <v>1</v>
      </c>
      <c r="I216" s="2">
        <v>1350000</v>
      </c>
    </row>
    <row r="217" spans="1:9" x14ac:dyDescent="0.25">
      <c r="A217">
        <v>216</v>
      </c>
      <c r="B217" s="1">
        <v>44561</v>
      </c>
      <c r="C217">
        <v>14</v>
      </c>
      <c r="D217" t="str">
        <f>"1476"</f>
        <v>1476</v>
      </c>
      <c r="E217" t="str">
        <f>"Прочие инвестиции"</f>
        <v>Прочие инвестиции</v>
      </c>
      <c r="F217" t="str">
        <f>"1"</f>
        <v>1</v>
      </c>
      <c r="G217" t="str">
        <f>"5"</f>
        <v>5</v>
      </c>
      <c r="H217" t="str">
        <f>"1"</f>
        <v>1</v>
      </c>
      <c r="I217" s="2">
        <v>650054588</v>
      </c>
    </row>
    <row r="218" spans="1:9" x14ac:dyDescent="0.25">
      <c r="A218">
        <v>217</v>
      </c>
      <c r="B218" s="1">
        <v>44561</v>
      </c>
      <c r="C218">
        <v>14</v>
      </c>
      <c r="D218" t="str">
        <f>"1476"</f>
        <v>1476</v>
      </c>
      <c r="E218" t="str">
        <f>"Прочие инвестиции"</f>
        <v>Прочие инвестиции</v>
      </c>
      <c r="F218" t="str">
        <f>"1"</f>
        <v>1</v>
      </c>
      <c r="G218" t="str">
        <f>"7"</f>
        <v>7</v>
      </c>
      <c r="H218" t="str">
        <f>"1"</f>
        <v>1</v>
      </c>
      <c r="I218" s="2">
        <v>384107584</v>
      </c>
    </row>
    <row r="219" spans="1:9" x14ac:dyDescent="0.25">
      <c r="A219">
        <v>218</v>
      </c>
      <c r="B219" s="1">
        <v>44561</v>
      </c>
      <c r="C219">
        <v>14</v>
      </c>
      <c r="D219" t="str">
        <f>"1476"</f>
        <v>1476</v>
      </c>
      <c r="E219" t="str">
        <f>"Прочие инвестиции"</f>
        <v>Прочие инвестиции</v>
      </c>
      <c r="F219" t="str">
        <f>"2"</f>
        <v>2</v>
      </c>
      <c r="G219" t="str">
        <f>"7"</f>
        <v>7</v>
      </c>
      <c r="H219" t="str">
        <f>"1"</f>
        <v>1</v>
      </c>
      <c r="I219" s="2">
        <v>174462</v>
      </c>
    </row>
    <row r="220" spans="1:9" x14ac:dyDescent="0.25">
      <c r="A220">
        <v>219</v>
      </c>
      <c r="B220" s="1">
        <v>44561</v>
      </c>
      <c r="C220">
        <v>14</v>
      </c>
      <c r="D220" t="str">
        <f>"1477"</f>
        <v>1477</v>
      </c>
      <c r="E220" t="str">
        <f>"Резервы (провизии) по инвестициям в субординированный долг"</f>
        <v>Резервы (провизии) по инвестициям в субординированный долг</v>
      </c>
      <c r="F220" t="str">
        <f>"2"</f>
        <v>2</v>
      </c>
      <c r="G220" t="str">
        <f>"4"</f>
        <v>4</v>
      </c>
      <c r="H220" t="str">
        <f>"2"</f>
        <v>2</v>
      </c>
      <c r="I220" s="2">
        <v>-9052208</v>
      </c>
    </row>
    <row r="221" spans="1:9" x14ac:dyDescent="0.25">
      <c r="A221">
        <v>220</v>
      </c>
      <c r="B221" s="1">
        <v>44561</v>
      </c>
      <c r="C221">
        <v>14</v>
      </c>
      <c r="D221" t="str">
        <f>"1477"</f>
        <v>1477</v>
      </c>
      <c r="E221" t="str">
        <f>"Резервы (провизии) по инвестициям в субординированный долг"</f>
        <v>Резервы (провизии) по инвестициям в субординированный долг</v>
      </c>
      <c r="F221" t="str">
        <f>"2"</f>
        <v>2</v>
      </c>
      <c r="G221" t="str">
        <f>"4"</f>
        <v>4</v>
      </c>
      <c r="H221" t="str">
        <f>"3"</f>
        <v>3</v>
      </c>
      <c r="I221" s="2">
        <v>-71514112</v>
      </c>
    </row>
    <row r="222" spans="1:9" x14ac:dyDescent="0.25">
      <c r="A222">
        <v>221</v>
      </c>
      <c r="B222" s="1">
        <v>44561</v>
      </c>
      <c r="C222">
        <v>14</v>
      </c>
      <c r="D222" t="str">
        <f>"1481"</f>
        <v>1481</v>
      </c>
      <c r="E222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22" t="str">
        <f>"1"</f>
        <v>1</v>
      </c>
      <c r="G222" t="str">
        <f>"1"</f>
        <v>1</v>
      </c>
      <c r="H222" t="str">
        <f>"1"</f>
        <v>1</v>
      </c>
      <c r="I222" s="2">
        <v>1000000012000</v>
      </c>
    </row>
    <row r="223" spans="1:9" x14ac:dyDescent="0.25">
      <c r="A223">
        <v>222</v>
      </c>
      <c r="B223" s="1">
        <v>44561</v>
      </c>
      <c r="C223">
        <v>14</v>
      </c>
      <c r="D223" t="str">
        <f>"1481"</f>
        <v>1481</v>
      </c>
      <c r="E223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23" t="str">
        <f>"2"</f>
        <v>2</v>
      </c>
      <c r="G223" t="str">
        <f>"4"</f>
        <v>4</v>
      </c>
      <c r="H223" t="str">
        <f>"2"</f>
        <v>2</v>
      </c>
      <c r="I223" s="2">
        <v>43180000000</v>
      </c>
    </row>
    <row r="224" spans="1:9" x14ac:dyDescent="0.25">
      <c r="A224">
        <v>223</v>
      </c>
      <c r="B224" s="1">
        <v>44561</v>
      </c>
      <c r="C224">
        <v>14</v>
      </c>
      <c r="D224" t="str">
        <f>"1481"</f>
        <v>1481</v>
      </c>
      <c r="E224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24" t="str">
        <f>"2"</f>
        <v>2</v>
      </c>
      <c r="G224" t="str">
        <f>"7"</f>
        <v>7</v>
      </c>
      <c r="H224" t="str">
        <f>"2"</f>
        <v>2</v>
      </c>
      <c r="I224" s="2">
        <v>10159999998</v>
      </c>
    </row>
    <row r="225" spans="1:9" x14ac:dyDescent="0.25">
      <c r="A225">
        <v>224</v>
      </c>
      <c r="B225" s="1">
        <v>44561</v>
      </c>
      <c r="C225">
        <v>14</v>
      </c>
      <c r="D225" t="str">
        <f>"1481"</f>
        <v>1481</v>
      </c>
      <c r="E225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25" t="str">
        <f>"1"</f>
        <v>1</v>
      </c>
      <c r="G225" t="str">
        <f>"7"</f>
        <v>7</v>
      </c>
      <c r="H225" t="str">
        <f>"2"</f>
        <v>2</v>
      </c>
      <c r="I225" s="2">
        <v>177038000000</v>
      </c>
    </row>
    <row r="226" spans="1:9" x14ac:dyDescent="0.25">
      <c r="A226">
        <v>225</v>
      </c>
      <c r="B226" s="1">
        <v>44561</v>
      </c>
      <c r="C226">
        <v>14</v>
      </c>
      <c r="D226" t="str">
        <f>"1482"</f>
        <v>1482</v>
      </c>
      <c r="E226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26" t="str">
        <f>"1"</f>
        <v>1</v>
      </c>
      <c r="G226" t="str">
        <f>"1"</f>
        <v>1</v>
      </c>
      <c r="H226" t="str">
        <f>"1"</f>
        <v>1</v>
      </c>
      <c r="I226" s="2">
        <v>-67540962</v>
      </c>
    </row>
    <row r="227" spans="1:9" x14ac:dyDescent="0.25">
      <c r="A227">
        <v>226</v>
      </c>
      <c r="B227" s="1">
        <v>44561</v>
      </c>
      <c r="C227">
        <v>14</v>
      </c>
      <c r="D227" t="str">
        <f>"1482"</f>
        <v>1482</v>
      </c>
      <c r="E227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27" t="str">
        <f>"2"</f>
        <v>2</v>
      </c>
      <c r="G227" t="str">
        <f>"7"</f>
        <v>7</v>
      </c>
      <c r="H227" t="str">
        <f>"2"</f>
        <v>2</v>
      </c>
      <c r="I227" s="2">
        <v>-75936637</v>
      </c>
    </row>
    <row r="228" spans="1:9" x14ac:dyDescent="0.25">
      <c r="A228">
        <v>227</v>
      </c>
      <c r="B228" s="1">
        <v>44561</v>
      </c>
      <c r="C228">
        <v>14</v>
      </c>
      <c r="D228" t="str">
        <f>"1482"</f>
        <v>1482</v>
      </c>
      <c r="E228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28" t="str">
        <f>"1"</f>
        <v>1</v>
      </c>
      <c r="G228" t="str">
        <f>"7"</f>
        <v>7</v>
      </c>
      <c r="H228" t="str">
        <f>"2"</f>
        <v>2</v>
      </c>
      <c r="I228" s="2">
        <v>-138543</v>
      </c>
    </row>
    <row r="229" spans="1:9" x14ac:dyDescent="0.25">
      <c r="A229">
        <v>228</v>
      </c>
      <c r="B229" s="1">
        <v>44561</v>
      </c>
      <c r="C229">
        <v>14</v>
      </c>
      <c r="D229" t="str">
        <f>"1486"</f>
        <v>1486</v>
      </c>
      <c r="E229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29" t="str">
        <f>"1"</f>
        <v>1</v>
      </c>
      <c r="G229" t="str">
        <f>"7"</f>
        <v>7</v>
      </c>
      <c r="H229" t="str">
        <f>"2"</f>
        <v>2</v>
      </c>
      <c r="I229" s="2">
        <v>-98607139</v>
      </c>
    </row>
    <row r="230" spans="1:9" x14ac:dyDescent="0.25">
      <c r="A230">
        <v>229</v>
      </c>
      <c r="B230" s="1">
        <v>44561</v>
      </c>
      <c r="C230">
        <v>14</v>
      </c>
      <c r="D230" t="str">
        <f>"1486"</f>
        <v>1486</v>
      </c>
      <c r="E230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30" t="str">
        <f>"1"</f>
        <v>1</v>
      </c>
      <c r="G230" t="str">
        <f>"1"</f>
        <v>1</v>
      </c>
      <c r="H230" t="str">
        <f>"1"</f>
        <v>1</v>
      </c>
      <c r="I230" s="2">
        <v>-379373230</v>
      </c>
    </row>
    <row r="231" spans="1:9" x14ac:dyDescent="0.25">
      <c r="A231">
        <v>230</v>
      </c>
      <c r="B231" s="1">
        <v>44561</v>
      </c>
      <c r="C231">
        <v>14</v>
      </c>
      <c r="D231" t="str">
        <f>"1486"</f>
        <v>1486</v>
      </c>
      <c r="E23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31" t="str">
        <f>"2"</f>
        <v>2</v>
      </c>
      <c r="G231" t="str">
        <f>"7"</f>
        <v>7</v>
      </c>
      <c r="H231" t="str">
        <f>"2"</f>
        <v>2</v>
      </c>
      <c r="I231" s="2">
        <v>-24170493</v>
      </c>
    </row>
    <row r="232" spans="1:9" x14ac:dyDescent="0.25">
      <c r="A232">
        <v>231</v>
      </c>
      <c r="B232" s="1">
        <v>44561</v>
      </c>
      <c r="C232">
        <v>14</v>
      </c>
      <c r="D232" t="str">
        <f>"1486"</f>
        <v>1486</v>
      </c>
      <c r="E232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32" t="str">
        <f>"2"</f>
        <v>2</v>
      </c>
      <c r="G232" t="str">
        <f>"4"</f>
        <v>4</v>
      </c>
      <c r="H232" t="str">
        <f>"2"</f>
        <v>2</v>
      </c>
      <c r="I232" s="2">
        <v>-9619930</v>
      </c>
    </row>
    <row r="233" spans="1:9" x14ac:dyDescent="0.25">
      <c r="A233">
        <v>232</v>
      </c>
      <c r="B233" s="1">
        <v>44561</v>
      </c>
      <c r="C233">
        <v>14</v>
      </c>
      <c r="D233" t="str">
        <f>"1491"</f>
        <v>1491</v>
      </c>
      <c r="E233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33" t="str">
        <f t="shared" ref="F233:F242" si="37">"1"</f>
        <v>1</v>
      </c>
      <c r="G233" t="str">
        <f>"9"</f>
        <v>9</v>
      </c>
      <c r="H233" t="str">
        <f t="shared" ref="H233:H240" si="38">"1"</f>
        <v>1</v>
      </c>
      <c r="I233" s="2">
        <v>1030994773</v>
      </c>
    </row>
    <row r="234" spans="1:9" x14ac:dyDescent="0.25">
      <c r="A234">
        <v>233</v>
      </c>
      <c r="B234" s="1">
        <v>44561</v>
      </c>
      <c r="C234">
        <v>14</v>
      </c>
      <c r="D234" t="str">
        <f>"1491"</f>
        <v>1491</v>
      </c>
      <c r="E234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34" t="str">
        <f t="shared" si="37"/>
        <v>1</v>
      </c>
      <c r="G234" t="str">
        <f>"7"</f>
        <v>7</v>
      </c>
      <c r="H234" t="str">
        <f t="shared" si="38"/>
        <v>1</v>
      </c>
      <c r="I234" s="2">
        <v>35208363630</v>
      </c>
    </row>
    <row r="235" spans="1:9" x14ac:dyDescent="0.25">
      <c r="A235">
        <v>234</v>
      </c>
      <c r="B235" s="1">
        <v>44561</v>
      </c>
      <c r="C235">
        <v>14</v>
      </c>
      <c r="D235" t="str">
        <f>"1492"</f>
        <v>1492</v>
      </c>
      <c r="E235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35" t="str">
        <f t="shared" si="37"/>
        <v>1</v>
      </c>
      <c r="G235" t="str">
        <f>"9"</f>
        <v>9</v>
      </c>
      <c r="H235" t="str">
        <f t="shared" si="38"/>
        <v>1</v>
      </c>
      <c r="I235" s="2">
        <v>-208664526</v>
      </c>
    </row>
    <row r="236" spans="1:9" x14ac:dyDescent="0.25">
      <c r="A236">
        <v>235</v>
      </c>
      <c r="B236" s="1">
        <v>44561</v>
      </c>
      <c r="C236">
        <v>14</v>
      </c>
      <c r="D236" t="str">
        <f>"1492"</f>
        <v>1492</v>
      </c>
      <c r="E236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36" t="str">
        <f t="shared" si="37"/>
        <v>1</v>
      </c>
      <c r="G236" t="str">
        <f>"7"</f>
        <v>7</v>
      </c>
      <c r="H236" t="str">
        <f t="shared" si="38"/>
        <v>1</v>
      </c>
      <c r="I236" s="2">
        <v>-5644930228</v>
      </c>
    </row>
    <row r="237" spans="1:9" x14ac:dyDescent="0.25">
      <c r="A237">
        <v>236</v>
      </c>
      <c r="B237" s="1">
        <v>44561</v>
      </c>
      <c r="C237">
        <v>14</v>
      </c>
      <c r="D237" t="str">
        <f>"1494"</f>
        <v>1494</v>
      </c>
      <c r="E237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F237" t="str">
        <f t="shared" si="37"/>
        <v>1</v>
      </c>
      <c r="G237" t="str">
        <f>"7"</f>
        <v>7</v>
      </c>
      <c r="H237" t="str">
        <f t="shared" si="38"/>
        <v>1</v>
      </c>
      <c r="I237" s="2">
        <v>8590703213</v>
      </c>
    </row>
    <row r="238" spans="1:9" x14ac:dyDescent="0.25">
      <c r="A238">
        <v>237</v>
      </c>
      <c r="B238" s="1">
        <v>44561</v>
      </c>
      <c r="C238">
        <v>14</v>
      </c>
      <c r="D238" t="str">
        <f>"1494"</f>
        <v>1494</v>
      </c>
      <c r="E238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F238" t="str">
        <f t="shared" si="37"/>
        <v>1</v>
      </c>
      <c r="G238" t="str">
        <f>"9"</f>
        <v>9</v>
      </c>
      <c r="H238" t="str">
        <f t="shared" si="38"/>
        <v>1</v>
      </c>
      <c r="I238" s="2">
        <v>48661686</v>
      </c>
    </row>
    <row r="239" spans="1:9" x14ac:dyDescent="0.25">
      <c r="A239">
        <v>238</v>
      </c>
      <c r="B239" s="1">
        <v>44561</v>
      </c>
      <c r="C239">
        <v>14</v>
      </c>
      <c r="D239" t="str">
        <f>"1495"</f>
        <v>1495</v>
      </c>
      <c r="E239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39" t="str">
        <f t="shared" si="37"/>
        <v>1</v>
      </c>
      <c r="G239" t="str">
        <f>"7"</f>
        <v>7</v>
      </c>
      <c r="H239" t="str">
        <f t="shared" si="38"/>
        <v>1</v>
      </c>
      <c r="I239" s="2">
        <v>-23588915000</v>
      </c>
    </row>
    <row r="240" spans="1:9" x14ac:dyDescent="0.25">
      <c r="A240">
        <v>239</v>
      </c>
      <c r="B240" s="1">
        <v>44561</v>
      </c>
      <c r="C240">
        <v>14</v>
      </c>
      <c r="D240" t="str">
        <f>"1495"</f>
        <v>1495</v>
      </c>
      <c r="E240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40" t="str">
        <f t="shared" si="37"/>
        <v>1</v>
      </c>
      <c r="G240" t="str">
        <f>"9"</f>
        <v>9</v>
      </c>
      <c r="H240" t="str">
        <f t="shared" si="38"/>
        <v>1</v>
      </c>
      <c r="I240" s="2">
        <v>-560624000</v>
      </c>
    </row>
    <row r="241" spans="1:9" x14ac:dyDescent="0.25">
      <c r="A241">
        <v>240</v>
      </c>
      <c r="B241" s="1">
        <v>44561</v>
      </c>
      <c r="C241">
        <v>14</v>
      </c>
      <c r="D241" t="str">
        <f>"1551"</f>
        <v>1551</v>
      </c>
      <c r="E241" t="str">
        <f>"Расчеты с другими банками"</f>
        <v>Расчеты с другими банками</v>
      </c>
      <c r="F241" t="str">
        <f t="shared" si="37"/>
        <v>1</v>
      </c>
      <c r="G241" t="str">
        <f>"4"</f>
        <v>4</v>
      </c>
      <c r="H241" t="str">
        <f>"2"</f>
        <v>2</v>
      </c>
      <c r="I241" s="2">
        <v>16423888</v>
      </c>
    </row>
    <row r="242" spans="1:9" x14ac:dyDescent="0.25">
      <c r="A242">
        <v>241</v>
      </c>
      <c r="B242" s="1">
        <v>44561</v>
      </c>
      <c r="C242">
        <v>14</v>
      </c>
      <c r="D242" t="str">
        <f>"1551"</f>
        <v>1551</v>
      </c>
      <c r="E242" t="str">
        <f>"Расчеты с другими банками"</f>
        <v>Расчеты с другими банками</v>
      </c>
      <c r="F242" t="str">
        <f t="shared" si="37"/>
        <v>1</v>
      </c>
      <c r="G242" t="str">
        <f>"4"</f>
        <v>4</v>
      </c>
      <c r="H242" t="str">
        <f>"1"</f>
        <v>1</v>
      </c>
      <c r="I242" s="2">
        <v>392825759</v>
      </c>
    </row>
    <row r="243" spans="1:9" x14ac:dyDescent="0.25">
      <c r="A243">
        <v>242</v>
      </c>
      <c r="B243" s="1">
        <v>44561</v>
      </c>
      <c r="C243">
        <v>14</v>
      </c>
      <c r="D243" t="str">
        <f>"1551"</f>
        <v>1551</v>
      </c>
      <c r="E243" t="str">
        <f>"Расчеты с другими банками"</f>
        <v>Расчеты с другими банками</v>
      </c>
      <c r="F243" t="str">
        <f>"2"</f>
        <v>2</v>
      </c>
      <c r="G243" t="str">
        <f>"4"</f>
        <v>4</v>
      </c>
      <c r="H243" t="str">
        <f>"1"</f>
        <v>1</v>
      </c>
      <c r="I243" s="2">
        <v>955036</v>
      </c>
    </row>
    <row r="244" spans="1:9" x14ac:dyDescent="0.25">
      <c r="A244">
        <v>243</v>
      </c>
      <c r="B244" s="1">
        <v>44561</v>
      </c>
      <c r="C244">
        <v>14</v>
      </c>
      <c r="D244" t="str">
        <f>"1551"</f>
        <v>1551</v>
      </c>
      <c r="E244" t="str">
        <f>"Расчеты с другими банками"</f>
        <v>Расчеты с другими банками</v>
      </c>
      <c r="F244" t="str">
        <f>"2"</f>
        <v>2</v>
      </c>
      <c r="G244" t="str">
        <f>"4"</f>
        <v>4</v>
      </c>
      <c r="H244" t="str">
        <f>"2"</f>
        <v>2</v>
      </c>
      <c r="I244" s="2">
        <v>40663216</v>
      </c>
    </row>
    <row r="245" spans="1:9" x14ac:dyDescent="0.25">
      <c r="A245">
        <v>244</v>
      </c>
      <c r="B245" s="1">
        <v>44561</v>
      </c>
      <c r="C245">
        <v>14</v>
      </c>
      <c r="D245" t="str">
        <f>"1552"</f>
        <v>1552</v>
      </c>
      <c r="E245" t="str">
        <f>"Расчеты с клиентами"</f>
        <v>Расчеты с клиентами</v>
      </c>
      <c r="F245" t="str">
        <f>"2"</f>
        <v>2</v>
      </c>
      <c r="G245" t="str">
        <f>"7"</f>
        <v>7</v>
      </c>
      <c r="H245" t="str">
        <f>"3"</f>
        <v>3</v>
      </c>
      <c r="I245" s="2">
        <v>715176774</v>
      </c>
    </row>
    <row r="246" spans="1:9" x14ac:dyDescent="0.25">
      <c r="A246">
        <v>245</v>
      </c>
      <c r="B246" s="1">
        <v>44561</v>
      </c>
      <c r="C246">
        <v>14</v>
      </c>
      <c r="D246" t="str">
        <f>"1552"</f>
        <v>1552</v>
      </c>
      <c r="E246" t="str">
        <f>"Расчеты с клиентами"</f>
        <v>Расчеты с клиентами</v>
      </c>
      <c r="F246" t="str">
        <f>"2"</f>
        <v>2</v>
      </c>
      <c r="G246" t="str">
        <f>"7"</f>
        <v>7</v>
      </c>
      <c r="H246" t="str">
        <f>"2"</f>
        <v>2</v>
      </c>
      <c r="I246" s="2">
        <v>729792463</v>
      </c>
    </row>
    <row r="247" spans="1:9" x14ac:dyDescent="0.25">
      <c r="A247">
        <v>246</v>
      </c>
      <c r="B247" s="1">
        <v>44561</v>
      </c>
      <c r="C247">
        <v>14</v>
      </c>
      <c r="D247" t="str">
        <f>"1552"</f>
        <v>1552</v>
      </c>
      <c r="E247" t="str">
        <f>"Расчеты с клиентами"</f>
        <v>Расчеты с клиентами</v>
      </c>
      <c r="F247" t="str">
        <f>"2"</f>
        <v>2</v>
      </c>
      <c r="G247" t="str">
        <f>"7"</f>
        <v>7</v>
      </c>
      <c r="H247" t="str">
        <f>"1"</f>
        <v>1</v>
      </c>
      <c r="I247" s="2">
        <v>19534978695</v>
      </c>
    </row>
    <row r="248" spans="1:9" x14ac:dyDescent="0.25">
      <c r="A248">
        <v>247</v>
      </c>
      <c r="B248" s="1">
        <v>44561</v>
      </c>
      <c r="C248">
        <v>14</v>
      </c>
      <c r="D248" t="str">
        <f>"1602"</f>
        <v>1602</v>
      </c>
      <c r="E248" t="str">
        <f>"Прочие запасы"</f>
        <v>Прочие запасы</v>
      </c>
      <c r="F248" t="str">
        <f>""</f>
        <v/>
      </c>
      <c r="G248" t="str">
        <f>""</f>
        <v/>
      </c>
      <c r="H248" t="str">
        <f>""</f>
        <v/>
      </c>
      <c r="I248" s="2">
        <v>1290444280</v>
      </c>
    </row>
    <row r="249" spans="1:9" x14ac:dyDescent="0.25">
      <c r="A249">
        <v>248</v>
      </c>
      <c r="B249" s="1">
        <v>44561</v>
      </c>
      <c r="C249">
        <v>14</v>
      </c>
      <c r="D249" t="str">
        <f>"1610"</f>
        <v>1610</v>
      </c>
      <c r="E249" t="str">
        <f>"Долгосрочные активы, предназначенные для продажи"</f>
        <v>Долгосрочные активы, предназначенные для продажи</v>
      </c>
      <c r="F249" t="str">
        <f>""</f>
        <v/>
      </c>
      <c r="G249" t="str">
        <f>""</f>
        <v/>
      </c>
      <c r="H249" t="str">
        <f>""</f>
        <v/>
      </c>
      <c r="I249" s="2">
        <v>37592688725</v>
      </c>
    </row>
    <row r="250" spans="1:9" x14ac:dyDescent="0.25">
      <c r="A250">
        <v>249</v>
      </c>
      <c r="B250" s="1">
        <v>44561</v>
      </c>
      <c r="C250">
        <v>14</v>
      </c>
      <c r="D250" t="str">
        <f>"1651"</f>
        <v>1651</v>
      </c>
      <c r="E250" t="str">
        <f>"Строящиеся (устанавливаемые) основные средства"</f>
        <v>Строящиеся (устанавливаемые) основные средства</v>
      </c>
      <c r="F250" t="str">
        <f>""</f>
        <v/>
      </c>
      <c r="G250" t="str">
        <f>""</f>
        <v/>
      </c>
      <c r="H250" t="str">
        <f>""</f>
        <v/>
      </c>
      <c r="I250" s="2">
        <v>3028036295</v>
      </c>
    </row>
    <row r="251" spans="1:9" x14ac:dyDescent="0.25">
      <c r="A251">
        <v>250</v>
      </c>
      <c r="B251" s="1">
        <v>44561</v>
      </c>
      <c r="C251">
        <v>14</v>
      </c>
      <c r="D251" t="str">
        <f>"1652"</f>
        <v>1652</v>
      </c>
      <c r="E251" t="str">
        <f>"Земля, здания и сооружения"</f>
        <v>Земля, здания и сооружения</v>
      </c>
      <c r="F251" t="str">
        <f>""</f>
        <v/>
      </c>
      <c r="G251" t="str">
        <f>""</f>
        <v/>
      </c>
      <c r="H251" t="str">
        <f>""</f>
        <v/>
      </c>
      <c r="I251" s="2">
        <v>104616368195</v>
      </c>
    </row>
    <row r="252" spans="1:9" x14ac:dyDescent="0.25">
      <c r="A252">
        <v>251</v>
      </c>
      <c r="B252" s="1">
        <v>44561</v>
      </c>
      <c r="C252">
        <v>14</v>
      </c>
      <c r="D252" t="str">
        <f>"1653"</f>
        <v>1653</v>
      </c>
      <c r="E252" t="str">
        <f>"Компьютерное оборудование"</f>
        <v>Компьютерное оборудование</v>
      </c>
      <c r="F252" t="str">
        <f>""</f>
        <v/>
      </c>
      <c r="G252" t="str">
        <f>""</f>
        <v/>
      </c>
      <c r="H252" t="str">
        <f>""</f>
        <v/>
      </c>
      <c r="I252" s="2">
        <v>16453578179</v>
      </c>
    </row>
    <row r="253" spans="1:9" x14ac:dyDescent="0.25">
      <c r="A253">
        <v>252</v>
      </c>
      <c r="B253" s="1">
        <v>44561</v>
      </c>
      <c r="C253">
        <v>14</v>
      </c>
      <c r="D253" t="str">
        <f>"1654"</f>
        <v>1654</v>
      </c>
      <c r="E253" t="str">
        <f>"Прочие основные средства"</f>
        <v>Прочие основные средства</v>
      </c>
      <c r="F253" t="str">
        <f>""</f>
        <v/>
      </c>
      <c r="G253" t="str">
        <f>""</f>
        <v/>
      </c>
      <c r="H253" t="str">
        <f>""</f>
        <v/>
      </c>
      <c r="I253" s="2">
        <v>51091564221</v>
      </c>
    </row>
    <row r="254" spans="1:9" x14ac:dyDescent="0.25">
      <c r="A254">
        <v>253</v>
      </c>
      <c r="B254" s="1">
        <v>44561</v>
      </c>
      <c r="C254">
        <v>14</v>
      </c>
      <c r="D254" t="str">
        <f>"1655"</f>
        <v>1655</v>
      </c>
      <c r="E254" t="str">
        <f>"Активы в форме права пользования"</f>
        <v>Активы в форме права пользования</v>
      </c>
      <c r="F254" t="str">
        <f>""</f>
        <v/>
      </c>
      <c r="G254" t="str">
        <f>""</f>
        <v/>
      </c>
      <c r="H254" t="str">
        <f>""</f>
        <v/>
      </c>
      <c r="I254" s="2">
        <v>5978664662</v>
      </c>
    </row>
    <row r="255" spans="1:9" x14ac:dyDescent="0.25">
      <c r="A255">
        <v>254</v>
      </c>
      <c r="B255" s="1">
        <v>44561</v>
      </c>
      <c r="C255">
        <v>14</v>
      </c>
      <c r="D255" t="str">
        <f>"1657"</f>
        <v>1657</v>
      </c>
      <c r="E255" t="str">
        <f>"Капитальные затраты по активам в форме права пользования"</f>
        <v>Капитальные затраты по активам в форме права пользования</v>
      </c>
      <c r="F255" t="str">
        <f>""</f>
        <v/>
      </c>
      <c r="G255" t="str">
        <f>""</f>
        <v/>
      </c>
      <c r="H255" t="str">
        <f>""</f>
        <v/>
      </c>
      <c r="I255" s="2">
        <v>12620609</v>
      </c>
    </row>
    <row r="256" spans="1:9" x14ac:dyDescent="0.25">
      <c r="A256">
        <v>255</v>
      </c>
      <c r="B256" s="1">
        <v>44561</v>
      </c>
      <c r="C256">
        <v>14</v>
      </c>
      <c r="D256" t="str">
        <f>"1658"</f>
        <v>1658</v>
      </c>
      <c r="E256" t="str">
        <f>"Транспортные средства"</f>
        <v>Транспортные средства</v>
      </c>
      <c r="F256" t="str">
        <f>""</f>
        <v/>
      </c>
      <c r="G256" t="str">
        <f>""</f>
        <v/>
      </c>
      <c r="H256" t="str">
        <f>""</f>
        <v/>
      </c>
      <c r="I256" s="2">
        <v>1647218946</v>
      </c>
    </row>
    <row r="257" spans="1:9" x14ac:dyDescent="0.25">
      <c r="A257">
        <v>256</v>
      </c>
      <c r="B257" s="1">
        <v>44561</v>
      </c>
      <c r="C257">
        <v>14</v>
      </c>
      <c r="D257" t="str">
        <f>"1659"</f>
        <v>1659</v>
      </c>
      <c r="E257" t="str">
        <f>"Нематериальные активы"</f>
        <v>Нематериальные активы</v>
      </c>
      <c r="F257" t="str">
        <f>""</f>
        <v/>
      </c>
      <c r="G257" t="str">
        <f>""</f>
        <v/>
      </c>
      <c r="H257" t="str">
        <f>""</f>
        <v/>
      </c>
      <c r="I257" s="2">
        <v>20021872004</v>
      </c>
    </row>
    <row r="258" spans="1:9" x14ac:dyDescent="0.25">
      <c r="A258">
        <v>257</v>
      </c>
      <c r="B258" s="1">
        <v>44561</v>
      </c>
      <c r="C258">
        <v>14</v>
      </c>
      <c r="D258" t="str">
        <f>"1660"</f>
        <v>1660</v>
      </c>
      <c r="E258" t="str">
        <f>"Создаваемые (разрабатываемые) нематериальные активы"</f>
        <v>Создаваемые (разрабатываемые) нематериальные активы</v>
      </c>
      <c r="F258" t="str">
        <f>""</f>
        <v/>
      </c>
      <c r="G258" t="str">
        <f>""</f>
        <v/>
      </c>
      <c r="H258" t="str">
        <f>""</f>
        <v/>
      </c>
      <c r="I258" s="2">
        <v>519045193</v>
      </c>
    </row>
    <row r="259" spans="1:9" x14ac:dyDescent="0.25">
      <c r="A259">
        <v>258</v>
      </c>
      <c r="B259" s="1">
        <v>44561</v>
      </c>
      <c r="C259">
        <v>14</v>
      </c>
      <c r="D259" t="str">
        <f>"1661"</f>
        <v>1661</v>
      </c>
      <c r="E259" t="str">
        <f>"Гудвилл"</f>
        <v>Гудвилл</v>
      </c>
      <c r="F259" t="str">
        <f>""</f>
        <v/>
      </c>
      <c r="G259" t="str">
        <f>""</f>
        <v/>
      </c>
      <c r="H259" t="str">
        <f>""</f>
        <v/>
      </c>
      <c r="I259" s="2">
        <v>3131799914</v>
      </c>
    </row>
    <row r="260" spans="1:9" x14ac:dyDescent="0.25">
      <c r="A260">
        <v>259</v>
      </c>
      <c r="B260" s="1">
        <v>44561</v>
      </c>
      <c r="C260">
        <v>14</v>
      </c>
      <c r="D260" t="str">
        <f>"1692"</f>
        <v>1692</v>
      </c>
      <c r="E260" t="str">
        <f>"Начисленная амортизация по зданиям и сооружениям"</f>
        <v>Начисленная амортизация по зданиям и сооружениям</v>
      </c>
      <c r="F260" t="str">
        <f>""</f>
        <v/>
      </c>
      <c r="G260" t="str">
        <f>""</f>
        <v/>
      </c>
      <c r="H260" t="str">
        <f>""</f>
        <v/>
      </c>
      <c r="I260" s="2">
        <v>-2703300755</v>
      </c>
    </row>
    <row r="261" spans="1:9" x14ac:dyDescent="0.25">
      <c r="A261">
        <v>260</v>
      </c>
      <c r="B261" s="1">
        <v>44561</v>
      </c>
      <c r="C261">
        <v>14</v>
      </c>
      <c r="D261" t="str">
        <f>"1693"</f>
        <v>1693</v>
      </c>
      <c r="E261" t="str">
        <f>"Начисленная амортизация по компьютерному оборудованию"</f>
        <v>Начисленная амортизация по компьютерному оборудованию</v>
      </c>
      <c r="F261" t="str">
        <f>""</f>
        <v/>
      </c>
      <c r="G261" t="str">
        <f>""</f>
        <v/>
      </c>
      <c r="H261" t="str">
        <f>""</f>
        <v/>
      </c>
      <c r="I261" s="2">
        <v>-9262667147</v>
      </c>
    </row>
    <row r="262" spans="1:9" x14ac:dyDescent="0.25">
      <c r="A262">
        <v>261</v>
      </c>
      <c r="B262" s="1">
        <v>44561</v>
      </c>
      <c r="C262">
        <v>14</v>
      </c>
      <c r="D262" t="str">
        <f>"1694"</f>
        <v>1694</v>
      </c>
      <c r="E262" t="str">
        <f>"Начисленная амортизация по прочим основным средствам"</f>
        <v>Начисленная амортизация по прочим основным средствам</v>
      </c>
      <c r="F262" t="str">
        <f>""</f>
        <v/>
      </c>
      <c r="G262" t="str">
        <f>""</f>
        <v/>
      </c>
      <c r="H262" t="str">
        <f>""</f>
        <v/>
      </c>
      <c r="I262" s="2">
        <v>-25582563687</v>
      </c>
    </row>
    <row r="263" spans="1:9" x14ac:dyDescent="0.25">
      <c r="A263">
        <v>262</v>
      </c>
      <c r="B263" s="1">
        <v>44561</v>
      </c>
      <c r="C263">
        <v>14</v>
      </c>
      <c r="D263" t="str">
        <f>"1695"</f>
        <v>1695</v>
      </c>
      <c r="E263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263" t="str">
        <f>""</f>
        <v/>
      </c>
      <c r="G263" t="str">
        <f>""</f>
        <v/>
      </c>
      <c r="H263" t="str">
        <f>""</f>
        <v/>
      </c>
      <c r="I263" s="2">
        <v>-2502205095</v>
      </c>
    </row>
    <row r="264" spans="1:9" x14ac:dyDescent="0.25">
      <c r="A264">
        <v>263</v>
      </c>
      <c r="B264" s="1">
        <v>44561</v>
      </c>
      <c r="C264">
        <v>14</v>
      </c>
      <c r="D264" t="str">
        <f>"1697"</f>
        <v>1697</v>
      </c>
      <c r="E264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264" t="str">
        <f>""</f>
        <v/>
      </c>
      <c r="G264" t="str">
        <f>""</f>
        <v/>
      </c>
      <c r="H264" t="str">
        <f>""</f>
        <v/>
      </c>
      <c r="I264" s="2">
        <v>-10595416</v>
      </c>
    </row>
    <row r="265" spans="1:9" x14ac:dyDescent="0.25">
      <c r="A265">
        <v>264</v>
      </c>
      <c r="B265" s="1">
        <v>44561</v>
      </c>
      <c r="C265">
        <v>14</v>
      </c>
      <c r="D265" t="str">
        <f>"1698"</f>
        <v>1698</v>
      </c>
      <c r="E265" t="str">
        <f>"Начисленная амортизация по транспортным средствам"</f>
        <v>Начисленная амортизация по транспортным средствам</v>
      </c>
      <c r="F265" t="str">
        <f>""</f>
        <v/>
      </c>
      <c r="G265" t="str">
        <f>""</f>
        <v/>
      </c>
      <c r="H265" t="str">
        <f>""</f>
        <v/>
      </c>
      <c r="I265" s="2">
        <v>-751773331</v>
      </c>
    </row>
    <row r="266" spans="1:9" x14ac:dyDescent="0.25">
      <c r="A266">
        <v>265</v>
      </c>
      <c r="B266" s="1">
        <v>44561</v>
      </c>
      <c r="C266">
        <v>14</v>
      </c>
      <c r="D266" t="str">
        <f>"1699"</f>
        <v>1699</v>
      </c>
      <c r="E266" t="str">
        <f>"Начисленная амортизация по нематериальным активам"</f>
        <v>Начисленная амортизация по нематериальным активам</v>
      </c>
      <c r="F266" t="str">
        <f>""</f>
        <v/>
      </c>
      <c r="G266" t="str">
        <f>""</f>
        <v/>
      </c>
      <c r="H266" t="str">
        <f>""</f>
        <v/>
      </c>
      <c r="I266" s="2">
        <v>-13067830748</v>
      </c>
    </row>
    <row r="267" spans="1:9" x14ac:dyDescent="0.25">
      <c r="A267">
        <v>266</v>
      </c>
      <c r="B267" s="1">
        <v>44561</v>
      </c>
      <c r="C267">
        <v>14</v>
      </c>
      <c r="D267" t="str">
        <f>"1710"</f>
        <v>1710</v>
      </c>
      <c r="E267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267" t="str">
        <f>"1"</f>
        <v>1</v>
      </c>
      <c r="G267" t="str">
        <f>"3"</f>
        <v>3</v>
      </c>
      <c r="H267" t="str">
        <f>"2"</f>
        <v>2</v>
      </c>
      <c r="I267" s="2">
        <v>346819359</v>
      </c>
    </row>
    <row r="268" spans="1:9" x14ac:dyDescent="0.25">
      <c r="A268">
        <v>267</v>
      </c>
      <c r="B268" s="1">
        <v>44561</v>
      </c>
      <c r="C268">
        <v>14</v>
      </c>
      <c r="D268" t="str">
        <f>"1725"</f>
        <v>1725</v>
      </c>
      <c r="E268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268" t="str">
        <f>"2"</f>
        <v>2</v>
      </c>
      <c r="G268" t="str">
        <f>"4"</f>
        <v>4</v>
      </c>
      <c r="H268" t="str">
        <f>"2"</f>
        <v>2</v>
      </c>
      <c r="I268" s="2">
        <v>359918304</v>
      </c>
    </row>
    <row r="269" spans="1:9" x14ac:dyDescent="0.25">
      <c r="A269">
        <v>268</v>
      </c>
      <c r="B269" s="1">
        <v>44561</v>
      </c>
      <c r="C269">
        <v>14</v>
      </c>
      <c r="D269" t="str">
        <f>"1725"</f>
        <v>1725</v>
      </c>
      <c r="E269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269" t="str">
        <f>"2"</f>
        <v>2</v>
      </c>
      <c r="G269" t="str">
        <f>"3"</f>
        <v>3</v>
      </c>
      <c r="H269" t="str">
        <f>"2"</f>
        <v>2</v>
      </c>
      <c r="I269" s="2">
        <v>71968</v>
      </c>
    </row>
    <row r="270" spans="1:9" x14ac:dyDescent="0.25">
      <c r="A270">
        <v>269</v>
      </c>
      <c r="B270" s="1">
        <v>44561</v>
      </c>
      <c r="C270">
        <v>14</v>
      </c>
      <c r="D270" t="str">
        <f>"1725"</f>
        <v>1725</v>
      </c>
      <c r="E270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270" t="str">
        <f>"2"</f>
        <v>2</v>
      </c>
      <c r="G270" t="str">
        <f>"4"</f>
        <v>4</v>
      </c>
      <c r="H270" t="str">
        <f>"1"</f>
        <v>1</v>
      </c>
      <c r="I270" s="2">
        <v>82594694</v>
      </c>
    </row>
    <row r="271" spans="1:9" x14ac:dyDescent="0.25">
      <c r="A271">
        <v>270</v>
      </c>
      <c r="B271" s="1">
        <v>44561</v>
      </c>
      <c r="C271">
        <v>14</v>
      </c>
      <c r="D271" t="str">
        <f>"1728"</f>
        <v>1728</v>
      </c>
      <c r="E271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271" t="str">
        <f>"2"</f>
        <v>2</v>
      </c>
      <c r="G271" t="str">
        <f>"5"</f>
        <v>5</v>
      </c>
      <c r="H271" t="str">
        <f>"2"</f>
        <v>2</v>
      </c>
      <c r="I271" s="2">
        <v>691083</v>
      </c>
    </row>
    <row r="272" spans="1:9" x14ac:dyDescent="0.25">
      <c r="A272">
        <v>271</v>
      </c>
      <c r="B272" s="1">
        <v>44561</v>
      </c>
      <c r="C272">
        <v>14</v>
      </c>
      <c r="D272" t="str">
        <f>"1730"</f>
        <v>1730</v>
      </c>
      <c r="E272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F272" t="str">
        <f>"2"</f>
        <v>2</v>
      </c>
      <c r="G272" t="str">
        <f>"4"</f>
        <v>4</v>
      </c>
      <c r="H272" t="str">
        <f>"2"</f>
        <v>2</v>
      </c>
      <c r="I272" s="2">
        <v>1089934926</v>
      </c>
    </row>
    <row r="273" spans="1:9" x14ac:dyDescent="0.25">
      <c r="A273">
        <v>272</v>
      </c>
      <c r="B273" s="1">
        <v>44561</v>
      </c>
      <c r="C273">
        <v>14</v>
      </c>
      <c r="D273" t="str">
        <f t="shared" ref="D273:D288" si="39">"1740"</f>
        <v>1740</v>
      </c>
      <c r="E273" t="str">
        <f t="shared" ref="E273:E288" si="40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73" t="str">
        <f>"1"</f>
        <v>1</v>
      </c>
      <c r="G273" t="str">
        <f>"5"</f>
        <v>5</v>
      </c>
      <c r="H273" t="str">
        <f>"2"</f>
        <v>2</v>
      </c>
      <c r="I273" s="2">
        <v>71082394</v>
      </c>
    </row>
    <row r="274" spans="1:9" x14ac:dyDescent="0.25">
      <c r="A274">
        <v>273</v>
      </c>
      <c r="B274" s="1">
        <v>44561</v>
      </c>
      <c r="C274">
        <v>14</v>
      </c>
      <c r="D274" t="str">
        <f t="shared" si="39"/>
        <v>1740</v>
      </c>
      <c r="E274" t="str">
        <f t="shared" si="40"/>
        <v>Начисленные доходы по займам и финансовому лизингу, предоставленным клиентам</v>
      </c>
      <c r="F274" t="str">
        <f>"2"</f>
        <v>2</v>
      </c>
      <c r="G274" t="str">
        <f>"7"</f>
        <v>7</v>
      </c>
      <c r="H274" t="str">
        <f>"1"</f>
        <v>1</v>
      </c>
      <c r="I274" s="2">
        <v>8644864226</v>
      </c>
    </row>
    <row r="275" spans="1:9" x14ac:dyDescent="0.25">
      <c r="A275">
        <v>274</v>
      </c>
      <c r="B275" s="1">
        <v>44561</v>
      </c>
      <c r="C275">
        <v>14</v>
      </c>
      <c r="D275" t="str">
        <f t="shared" si="39"/>
        <v>1740</v>
      </c>
      <c r="E275" t="str">
        <f t="shared" si="40"/>
        <v>Начисленные доходы по займам и финансовому лизингу, предоставленным клиентам</v>
      </c>
      <c r="F275" t="str">
        <f>"2"</f>
        <v>2</v>
      </c>
      <c r="G275" t="str">
        <f>"9"</f>
        <v>9</v>
      </c>
      <c r="H275" t="str">
        <f>"2"</f>
        <v>2</v>
      </c>
      <c r="I275" s="2">
        <v>2935428</v>
      </c>
    </row>
    <row r="276" spans="1:9" x14ac:dyDescent="0.25">
      <c r="A276">
        <v>275</v>
      </c>
      <c r="B276" s="1">
        <v>44561</v>
      </c>
      <c r="C276">
        <v>14</v>
      </c>
      <c r="D276" t="str">
        <f t="shared" si="39"/>
        <v>1740</v>
      </c>
      <c r="E276" t="str">
        <f t="shared" si="40"/>
        <v>Начисленные доходы по займам и финансовому лизингу, предоставленным клиентам</v>
      </c>
      <c r="F276" t="str">
        <f>"1"</f>
        <v>1</v>
      </c>
      <c r="G276" t="str">
        <f>"6"</f>
        <v>6</v>
      </c>
      <c r="H276" t="str">
        <f>"2"</f>
        <v>2</v>
      </c>
      <c r="I276" s="2">
        <v>44642127</v>
      </c>
    </row>
    <row r="277" spans="1:9" x14ac:dyDescent="0.25">
      <c r="A277">
        <v>276</v>
      </c>
      <c r="B277" s="1">
        <v>44561</v>
      </c>
      <c r="C277">
        <v>14</v>
      </c>
      <c r="D277" t="str">
        <f t="shared" si="39"/>
        <v>1740</v>
      </c>
      <c r="E277" t="str">
        <f t="shared" si="40"/>
        <v>Начисленные доходы по займам и финансовому лизингу, предоставленным клиентам</v>
      </c>
      <c r="F277" t="str">
        <f>"1"</f>
        <v>1</v>
      </c>
      <c r="G277" t="str">
        <f>"7"</f>
        <v>7</v>
      </c>
      <c r="H277" t="str">
        <f>"2"</f>
        <v>2</v>
      </c>
      <c r="I277" s="2">
        <v>17979527825</v>
      </c>
    </row>
    <row r="278" spans="1:9" x14ac:dyDescent="0.25">
      <c r="A278">
        <v>277</v>
      </c>
      <c r="B278" s="1">
        <v>44561</v>
      </c>
      <c r="C278">
        <v>14</v>
      </c>
      <c r="D278" t="str">
        <f t="shared" si="39"/>
        <v>1740</v>
      </c>
      <c r="E278" t="str">
        <f t="shared" si="40"/>
        <v>Начисленные доходы по займам и финансовому лизингу, предоставленным клиентам</v>
      </c>
      <c r="F278" t="str">
        <f>"1"</f>
        <v>1</v>
      </c>
      <c r="G278" t="str">
        <f>"6"</f>
        <v>6</v>
      </c>
      <c r="H278" t="str">
        <f>"1"</f>
        <v>1</v>
      </c>
      <c r="I278" s="2">
        <v>2645908470</v>
      </c>
    </row>
    <row r="279" spans="1:9" x14ac:dyDescent="0.25">
      <c r="A279">
        <v>278</v>
      </c>
      <c r="B279" s="1">
        <v>44561</v>
      </c>
      <c r="C279">
        <v>14</v>
      </c>
      <c r="D279" t="str">
        <f t="shared" si="39"/>
        <v>1740</v>
      </c>
      <c r="E279" t="str">
        <f t="shared" si="40"/>
        <v>Начисленные доходы по займам и финансовому лизингу, предоставленным клиентам</v>
      </c>
      <c r="F279" t="str">
        <f>"1"</f>
        <v>1</v>
      </c>
      <c r="G279" t="str">
        <f>"8"</f>
        <v>8</v>
      </c>
      <c r="H279" t="str">
        <f>"1"</f>
        <v>1</v>
      </c>
      <c r="I279" s="2">
        <v>46699647</v>
      </c>
    </row>
    <row r="280" spans="1:9" x14ac:dyDescent="0.25">
      <c r="A280">
        <v>279</v>
      </c>
      <c r="B280" s="1">
        <v>44561</v>
      </c>
      <c r="C280">
        <v>14</v>
      </c>
      <c r="D280" t="str">
        <f t="shared" si="39"/>
        <v>1740</v>
      </c>
      <c r="E280" t="str">
        <f t="shared" si="40"/>
        <v>Начисленные доходы по займам и финансовому лизингу, предоставленным клиентам</v>
      </c>
      <c r="F280" t="str">
        <f>"2"</f>
        <v>2</v>
      </c>
      <c r="G280" t="str">
        <f>"7"</f>
        <v>7</v>
      </c>
      <c r="H280" t="str">
        <f>"3"</f>
        <v>3</v>
      </c>
      <c r="I280" s="2">
        <v>1435733710</v>
      </c>
    </row>
    <row r="281" spans="1:9" x14ac:dyDescent="0.25">
      <c r="A281">
        <v>280</v>
      </c>
      <c r="B281" s="1">
        <v>44561</v>
      </c>
      <c r="C281">
        <v>14</v>
      </c>
      <c r="D281" t="str">
        <f t="shared" si="39"/>
        <v>1740</v>
      </c>
      <c r="E281" t="str">
        <f t="shared" si="40"/>
        <v>Начисленные доходы по займам и финансовому лизингу, предоставленным клиентам</v>
      </c>
      <c r="F281" t="str">
        <f>"1"</f>
        <v>1</v>
      </c>
      <c r="G281" t="str">
        <f>"6"</f>
        <v>6</v>
      </c>
      <c r="H281" t="str">
        <f>"3"</f>
        <v>3</v>
      </c>
      <c r="I281" s="2">
        <v>29952000</v>
      </c>
    </row>
    <row r="282" spans="1:9" x14ac:dyDescent="0.25">
      <c r="A282">
        <v>281</v>
      </c>
      <c r="B282" s="1">
        <v>44561</v>
      </c>
      <c r="C282">
        <v>14</v>
      </c>
      <c r="D282" t="str">
        <f t="shared" si="39"/>
        <v>1740</v>
      </c>
      <c r="E282" t="str">
        <f t="shared" si="40"/>
        <v>Начисленные доходы по займам и финансовому лизингу, предоставленным клиентам</v>
      </c>
      <c r="F282" t="str">
        <f>"1"</f>
        <v>1</v>
      </c>
      <c r="G282" t="str">
        <f>"9"</f>
        <v>9</v>
      </c>
      <c r="H282" t="str">
        <f>"2"</f>
        <v>2</v>
      </c>
      <c r="I282" s="2">
        <v>71726560</v>
      </c>
    </row>
    <row r="283" spans="1:9" x14ac:dyDescent="0.25">
      <c r="A283">
        <v>282</v>
      </c>
      <c r="B283" s="1">
        <v>44561</v>
      </c>
      <c r="C283">
        <v>14</v>
      </c>
      <c r="D283" t="str">
        <f t="shared" si="39"/>
        <v>1740</v>
      </c>
      <c r="E283" t="str">
        <f t="shared" si="40"/>
        <v>Начисленные доходы по займам и финансовому лизингу, предоставленным клиентам</v>
      </c>
      <c r="F283" t="str">
        <f>"1"</f>
        <v>1</v>
      </c>
      <c r="G283" t="str">
        <f>"7"</f>
        <v>7</v>
      </c>
      <c r="H283" t="str">
        <f>"1"</f>
        <v>1</v>
      </c>
      <c r="I283" s="2">
        <v>80260875447</v>
      </c>
    </row>
    <row r="284" spans="1:9" x14ac:dyDescent="0.25">
      <c r="A284">
        <v>283</v>
      </c>
      <c r="B284" s="1">
        <v>44561</v>
      </c>
      <c r="C284">
        <v>14</v>
      </c>
      <c r="D284" t="str">
        <f t="shared" si="39"/>
        <v>1740</v>
      </c>
      <c r="E284" t="str">
        <f t="shared" si="40"/>
        <v>Начисленные доходы по займам и финансовому лизингу, предоставленным клиентам</v>
      </c>
      <c r="F284" t="str">
        <f>"2"</f>
        <v>2</v>
      </c>
      <c r="G284" t="str">
        <f>"7"</f>
        <v>7</v>
      </c>
      <c r="H284" t="str">
        <f>"2"</f>
        <v>2</v>
      </c>
      <c r="I284" s="2">
        <v>11148203522</v>
      </c>
    </row>
    <row r="285" spans="1:9" x14ac:dyDescent="0.25">
      <c r="A285">
        <v>284</v>
      </c>
      <c r="B285" s="1">
        <v>44561</v>
      </c>
      <c r="C285">
        <v>14</v>
      </c>
      <c r="D285" t="str">
        <f t="shared" si="39"/>
        <v>1740</v>
      </c>
      <c r="E285" t="str">
        <f t="shared" si="40"/>
        <v>Начисленные доходы по займам и финансовому лизингу, предоставленным клиентам</v>
      </c>
      <c r="F285" t="str">
        <f>"2"</f>
        <v>2</v>
      </c>
      <c r="G285" t="str">
        <f>"9"</f>
        <v>9</v>
      </c>
      <c r="H285" t="str">
        <f>"1"</f>
        <v>1</v>
      </c>
      <c r="I285" s="2">
        <v>2616000</v>
      </c>
    </row>
    <row r="286" spans="1:9" x14ac:dyDescent="0.25">
      <c r="A286">
        <v>285</v>
      </c>
      <c r="B286" s="1">
        <v>44561</v>
      </c>
      <c r="C286">
        <v>14</v>
      </c>
      <c r="D286" t="str">
        <f t="shared" si="39"/>
        <v>1740</v>
      </c>
      <c r="E286" t="str">
        <f t="shared" si="40"/>
        <v>Начисленные доходы по займам и финансовому лизингу, предоставленным клиентам</v>
      </c>
      <c r="F286" t="str">
        <f>"1"</f>
        <v>1</v>
      </c>
      <c r="G286" t="str">
        <f>"9"</f>
        <v>9</v>
      </c>
      <c r="H286" t="str">
        <f>"1"</f>
        <v>1</v>
      </c>
      <c r="I286" s="2">
        <v>19083455185</v>
      </c>
    </row>
    <row r="287" spans="1:9" x14ac:dyDescent="0.25">
      <c r="A287">
        <v>286</v>
      </c>
      <c r="B287" s="1">
        <v>44561</v>
      </c>
      <c r="C287">
        <v>14</v>
      </c>
      <c r="D287" t="str">
        <f t="shared" si="39"/>
        <v>1740</v>
      </c>
      <c r="E287" t="str">
        <f t="shared" si="40"/>
        <v>Начисленные доходы по займам и финансовому лизингу, предоставленным клиентам</v>
      </c>
      <c r="F287" t="str">
        <f>"1"</f>
        <v>1</v>
      </c>
      <c r="G287" t="str">
        <f>"7"</f>
        <v>7</v>
      </c>
      <c r="H287" t="str">
        <f>"3"</f>
        <v>3</v>
      </c>
      <c r="I287" s="2">
        <v>9640202</v>
      </c>
    </row>
    <row r="288" spans="1:9" x14ac:dyDescent="0.25">
      <c r="A288">
        <v>287</v>
      </c>
      <c r="B288" s="1">
        <v>44561</v>
      </c>
      <c r="C288">
        <v>14</v>
      </c>
      <c r="D288" t="str">
        <f t="shared" si="39"/>
        <v>1740</v>
      </c>
      <c r="E288" t="str">
        <f t="shared" si="40"/>
        <v>Начисленные доходы по займам и финансовому лизингу, предоставленным клиентам</v>
      </c>
      <c r="F288" t="str">
        <f>"1"</f>
        <v>1</v>
      </c>
      <c r="G288" t="str">
        <f>"5"</f>
        <v>5</v>
      </c>
      <c r="H288" t="str">
        <f>"1"</f>
        <v>1</v>
      </c>
      <c r="I288" s="2">
        <v>1466726794</v>
      </c>
    </row>
    <row r="289" spans="1:9" x14ac:dyDescent="0.25">
      <c r="A289">
        <v>288</v>
      </c>
      <c r="B289" s="1">
        <v>44561</v>
      </c>
      <c r="C289">
        <v>14</v>
      </c>
      <c r="D289" t="str">
        <f t="shared" ref="D289:D294" si="41">"1741"</f>
        <v>1741</v>
      </c>
      <c r="E289" t="str">
        <f t="shared" ref="E289:E294" si="42"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289" t="str">
        <f>"1"</f>
        <v>1</v>
      </c>
      <c r="G289" t="str">
        <f>"7"</f>
        <v>7</v>
      </c>
      <c r="H289" t="str">
        <f>"1"</f>
        <v>1</v>
      </c>
      <c r="I289" s="2">
        <v>5964301567</v>
      </c>
    </row>
    <row r="290" spans="1:9" x14ac:dyDescent="0.25">
      <c r="A290">
        <v>289</v>
      </c>
      <c r="B290" s="1">
        <v>44561</v>
      </c>
      <c r="C290">
        <v>14</v>
      </c>
      <c r="D290" t="str">
        <f t="shared" si="41"/>
        <v>1741</v>
      </c>
      <c r="E290" t="str">
        <f t="shared" si="42"/>
        <v>Просроченное вознаграждение по займам и финансовому лизингу, предоставленным клиентам</v>
      </c>
      <c r="F290" t="str">
        <f>"1"</f>
        <v>1</v>
      </c>
      <c r="G290" t="str">
        <f>"9"</f>
        <v>9</v>
      </c>
      <c r="H290" t="str">
        <f>"2"</f>
        <v>2</v>
      </c>
      <c r="I290" s="2">
        <v>795281704</v>
      </c>
    </row>
    <row r="291" spans="1:9" x14ac:dyDescent="0.25">
      <c r="A291">
        <v>290</v>
      </c>
      <c r="B291" s="1">
        <v>44561</v>
      </c>
      <c r="C291">
        <v>14</v>
      </c>
      <c r="D291" t="str">
        <f t="shared" si="41"/>
        <v>1741</v>
      </c>
      <c r="E291" t="str">
        <f t="shared" si="42"/>
        <v>Просроченное вознаграждение по займам и финансовому лизингу, предоставленным клиентам</v>
      </c>
      <c r="F291" t="str">
        <f>"2"</f>
        <v>2</v>
      </c>
      <c r="G291" t="str">
        <f>"9"</f>
        <v>9</v>
      </c>
      <c r="H291" t="str">
        <f>"1"</f>
        <v>1</v>
      </c>
      <c r="I291" s="2">
        <v>14121000</v>
      </c>
    </row>
    <row r="292" spans="1:9" x14ac:dyDescent="0.25">
      <c r="A292">
        <v>291</v>
      </c>
      <c r="B292" s="1">
        <v>44561</v>
      </c>
      <c r="C292">
        <v>14</v>
      </c>
      <c r="D292" t="str">
        <f t="shared" si="41"/>
        <v>1741</v>
      </c>
      <c r="E292" t="str">
        <f t="shared" si="42"/>
        <v>Просроченное вознаграждение по займам и финансовому лизингу, предоставленным клиентам</v>
      </c>
      <c r="F292" t="str">
        <f>"2"</f>
        <v>2</v>
      </c>
      <c r="G292" t="str">
        <f>"9"</f>
        <v>9</v>
      </c>
      <c r="H292" t="str">
        <f>"2"</f>
        <v>2</v>
      </c>
      <c r="I292" s="2">
        <v>798515</v>
      </c>
    </row>
    <row r="293" spans="1:9" x14ac:dyDescent="0.25">
      <c r="A293">
        <v>292</v>
      </c>
      <c r="B293" s="1">
        <v>44561</v>
      </c>
      <c r="C293">
        <v>14</v>
      </c>
      <c r="D293" t="str">
        <f t="shared" si="41"/>
        <v>1741</v>
      </c>
      <c r="E293" t="str">
        <f t="shared" si="42"/>
        <v>Просроченное вознаграждение по займам и финансовому лизингу, предоставленным клиентам</v>
      </c>
      <c r="F293" t="str">
        <f>"1"</f>
        <v>1</v>
      </c>
      <c r="G293" t="str">
        <f>"7"</f>
        <v>7</v>
      </c>
      <c r="H293" t="str">
        <f>"2"</f>
        <v>2</v>
      </c>
      <c r="I293" s="2">
        <v>23728189</v>
      </c>
    </row>
    <row r="294" spans="1:9" x14ac:dyDescent="0.25">
      <c r="A294">
        <v>293</v>
      </c>
      <c r="B294" s="1">
        <v>44561</v>
      </c>
      <c r="C294">
        <v>14</v>
      </c>
      <c r="D294" t="str">
        <f t="shared" si="41"/>
        <v>1741</v>
      </c>
      <c r="E294" t="str">
        <f t="shared" si="42"/>
        <v>Просроченное вознаграждение по займам и финансовому лизингу, предоставленным клиентам</v>
      </c>
      <c r="F294" t="str">
        <f>"1"</f>
        <v>1</v>
      </c>
      <c r="G294" t="str">
        <f>"9"</f>
        <v>9</v>
      </c>
      <c r="H294" t="str">
        <f>"1"</f>
        <v>1</v>
      </c>
      <c r="I294" s="2">
        <v>12119464220</v>
      </c>
    </row>
    <row r="295" spans="1:9" x14ac:dyDescent="0.25">
      <c r="A295">
        <v>294</v>
      </c>
      <c r="B295" s="1">
        <v>44561</v>
      </c>
      <c r="C295">
        <v>14</v>
      </c>
      <c r="D295" t="str">
        <f>"1745"</f>
        <v>1745</v>
      </c>
      <c r="E295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95" t="str">
        <f>"2"</f>
        <v>2</v>
      </c>
      <c r="G295" t="str">
        <f>"4"</f>
        <v>4</v>
      </c>
      <c r="H295" t="str">
        <f>"2"</f>
        <v>2</v>
      </c>
      <c r="I295" s="2">
        <v>6596950</v>
      </c>
    </row>
    <row r="296" spans="1:9" x14ac:dyDescent="0.25">
      <c r="A296">
        <v>295</v>
      </c>
      <c r="B296" s="1">
        <v>44561</v>
      </c>
      <c r="C296">
        <v>14</v>
      </c>
      <c r="D296" t="str">
        <f>"1745"</f>
        <v>1745</v>
      </c>
      <c r="E296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96" t="str">
        <f>"1"</f>
        <v>1</v>
      </c>
      <c r="G296" t="str">
        <f>"7"</f>
        <v>7</v>
      </c>
      <c r="H296" t="str">
        <f>"2"</f>
        <v>2</v>
      </c>
      <c r="I296" s="2">
        <v>1598259723</v>
      </c>
    </row>
    <row r="297" spans="1:9" x14ac:dyDescent="0.25">
      <c r="A297">
        <v>296</v>
      </c>
      <c r="B297" s="1">
        <v>44561</v>
      </c>
      <c r="C297">
        <v>14</v>
      </c>
      <c r="D297" t="str">
        <f>"1745"</f>
        <v>1745</v>
      </c>
      <c r="E297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97" t="str">
        <f>"1"</f>
        <v>1</v>
      </c>
      <c r="G297" t="str">
        <f>"1"</f>
        <v>1</v>
      </c>
      <c r="H297" t="str">
        <f>"1"</f>
        <v>1</v>
      </c>
      <c r="I297" s="2">
        <v>45479167198</v>
      </c>
    </row>
    <row r="298" spans="1:9" x14ac:dyDescent="0.25">
      <c r="A298">
        <v>297</v>
      </c>
      <c r="B298" s="1">
        <v>44561</v>
      </c>
      <c r="C298">
        <v>14</v>
      </c>
      <c r="D298" t="str">
        <f>"1745"</f>
        <v>1745</v>
      </c>
      <c r="E298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98" t="str">
        <f>"2"</f>
        <v>2</v>
      </c>
      <c r="G298" t="str">
        <f>"7"</f>
        <v>7</v>
      </c>
      <c r="H298" t="str">
        <f>"2"</f>
        <v>2</v>
      </c>
      <c r="I298" s="2">
        <v>15591085</v>
      </c>
    </row>
    <row r="299" spans="1:9" x14ac:dyDescent="0.25">
      <c r="A299">
        <v>298</v>
      </c>
      <c r="B299" s="1">
        <v>44561</v>
      </c>
      <c r="C299">
        <v>14</v>
      </c>
      <c r="D299" t="str">
        <f t="shared" ref="D299:D317" si="43">"1746"</f>
        <v>1746</v>
      </c>
      <c r="E299" t="str">
        <f t="shared" ref="E299:E317" si="44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99" t="str">
        <f>"1"</f>
        <v>1</v>
      </c>
      <c r="G299" t="str">
        <f>"2"</f>
        <v>2</v>
      </c>
      <c r="H299" t="str">
        <f>"1"</f>
        <v>1</v>
      </c>
      <c r="I299" s="2">
        <v>339360000</v>
      </c>
    </row>
    <row r="300" spans="1:9" x14ac:dyDescent="0.25">
      <c r="A300">
        <v>299</v>
      </c>
      <c r="B300" s="1">
        <v>44561</v>
      </c>
      <c r="C300">
        <v>14</v>
      </c>
      <c r="D300" t="str">
        <f t="shared" si="43"/>
        <v>1746</v>
      </c>
      <c r="E300" t="str">
        <f t="shared" si="44"/>
        <v>Начисленные доходы по ценным бумагам, учитываемым по справедливой стоимости через прочий совокупный доход</v>
      </c>
      <c r="F300" t="str">
        <f>"2"</f>
        <v>2</v>
      </c>
      <c r="G300" t="str">
        <f>"1"</f>
        <v>1</v>
      </c>
      <c r="H300" t="str">
        <f>"2"</f>
        <v>2</v>
      </c>
      <c r="I300" s="2">
        <v>1099816786</v>
      </c>
    </row>
    <row r="301" spans="1:9" x14ac:dyDescent="0.25">
      <c r="A301">
        <v>300</v>
      </c>
      <c r="B301" s="1">
        <v>44561</v>
      </c>
      <c r="C301">
        <v>14</v>
      </c>
      <c r="D301" t="str">
        <f t="shared" si="43"/>
        <v>1746</v>
      </c>
      <c r="E301" t="str">
        <f t="shared" si="44"/>
        <v>Начисленные доходы по ценным бумагам, учитываемым по справедливой стоимости через прочий совокупный доход</v>
      </c>
      <c r="F301" t="str">
        <f>"2"</f>
        <v>2</v>
      </c>
      <c r="G301" t="str">
        <f>"4"</f>
        <v>4</v>
      </c>
      <c r="H301" t="str">
        <f>"1"</f>
        <v>1</v>
      </c>
      <c r="I301" s="2">
        <v>111550831</v>
      </c>
    </row>
    <row r="302" spans="1:9" x14ac:dyDescent="0.25">
      <c r="A302">
        <v>301</v>
      </c>
      <c r="B302" s="1">
        <v>44561</v>
      </c>
      <c r="C302">
        <v>14</v>
      </c>
      <c r="D302" t="str">
        <f t="shared" si="43"/>
        <v>1746</v>
      </c>
      <c r="E302" t="str">
        <f t="shared" si="44"/>
        <v>Начисленные доходы по ценным бумагам, учитываемым по справедливой стоимости через прочий совокупный доход</v>
      </c>
      <c r="F302" t="str">
        <f>"2"</f>
        <v>2</v>
      </c>
      <c r="G302" t="str">
        <f>"5"</f>
        <v>5</v>
      </c>
      <c r="H302" t="str">
        <f>"1"</f>
        <v>1</v>
      </c>
      <c r="I302" s="2">
        <v>195400685</v>
      </c>
    </row>
    <row r="303" spans="1:9" x14ac:dyDescent="0.25">
      <c r="A303">
        <v>302</v>
      </c>
      <c r="B303" s="1">
        <v>44561</v>
      </c>
      <c r="C303">
        <v>14</v>
      </c>
      <c r="D303" t="str">
        <f t="shared" si="43"/>
        <v>1746</v>
      </c>
      <c r="E303" t="str">
        <f t="shared" si="44"/>
        <v>Начисленные доходы по ценным бумагам, учитываемым по справедливой стоимости через прочий совокупный доход</v>
      </c>
      <c r="F303" t="str">
        <f>"1"</f>
        <v>1</v>
      </c>
      <c r="G303" t="str">
        <f>"1"</f>
        <v>1</v>
      </c>
      <c r="H303" t="str">
        <f>"1"</f>
        <v>1</v>
      </c>
      <c r="I303" s="2">
        <v>13796242627</v>
      </c>
    </row>
    <row r="304" spans="1:9" x14ac:dyDescent="0.25">
      <c r="A304">
        <v>303</v>
      </c>
      <c r="B304" s="1">
        <v>44561</v>
      </c>
      <c r="C304">
        <v>14</v>
      </c>
      <c r="D304" t="str">
        <f t="shared" si="43"/>
        <v>1746</v>
      </c>
      <c r="E304" t="str">
        <f t="shared" si="44"/>
        <v>Начисленные доходы по ценным бумагам, учитываемым по справедливой стоимости через прочий совокупный доход</v>
      </c>
      <c r="F304" t="str">
        <f>"1"</f>
        <v>1</v>
      </c>
      <c r="G304" t="str">
        <f>"7"</f>
        <v>7</v>
      </c>
      <c r="H304" t="str">
        <f>"1"</f>
        <v>1</v>
      </c>
      <c r="I304" s="2">
        <v>202925000</v>
      </c>
    </row>
    <row r="305" spans="1:9" x14ac:dyDescent="0.25">
      <c r="A305">
        <v>304</v>
      </c>
      <c r="B305" s="1">
        <v>44561</v>
      </c>
      <c r="C305">
        <v>14</v>
      </c>
      <c r="D305" t="str">
        <f t="shared" si="43"/>
        <v>1746</v>
      </c>
      <c r="E305" t="str">
        <f t="shared" si="44"/>
        <v>Начисленные доходы по ценным бумагам, учитываемым по справедливой стоимости через прочий совокупный доход</v>
      </c>
      <c r="F305" t="str">
        <f>"2"</f>
        <v>2</v>
      </c>
      <c r="G305" t="str">
        <f>"3"</f>
        <v>3</v>
      </c>
      <c r="H305" t="str">
        <f>"2"</f>
        <v>2</v>
      </c>
      <c r="I305" s="2">
        <v>73681639</v>
      </c>
    </row>
    <row r="306" spans="1:9" x14ac:dyDescent="0.25">
      <c r="A306">
        <v>305</v>
      </c>
      <c r="B306" s="1">
        <v>44561</v>
      </c>
      <c r="C306">
        <v>14</v>
      </c>
      <c r="D306" t="str">
        <f t="shared" si="43"/>
        <v>1746</v>
      </c>
      <c r="E306" t="str">
        <f t="shared" si="44"/>
        <v>Начисленные доходы по ценным бумагам, учитываемым по справедливой стоимости через прочий совокупный доход</v>
      </c>
      <c r="F306" t="str">
        <f>"1"</f>
        <v>1</v>
      </c>
      <c r="G306" t="str">
        <f>"5"</f>
        <v>5</v>
      </c>
      <c r="H306" t="str">
        <f>"1"</f>
        <v>1</v>
      </c>
      <c r="I306" s="2">
        <v>2817908837</v>
      </c>
    </row>
    <row r="307" spans="1:9" x14ac:dyDescent="0.25">
      <c r="A307">
        <v>306</v>
      </c>
      <c r="B307" s="1">
        <v>44561</v>
      </c>
      <c r="C307">
        <v>14</v>
      </c>
      <c r="D307" t="str">
        <f t="shared" si="43"/>
        <v>1746</v>
      </c>
      <c r="E307" t="str">
        <f t="shared" si="44"/>
        <v>Начисленные доходы по ценным бумагам, учитываемым по справедливой стоимости через прочий совокупный доход</v>
      </c>
      <c r="F307" t="str">
        <f>"1"</f>
        <v>1</v>
      </c>
      <c r="G307" t="str">
        <f>"4"</f>
        <v>4</v>
      </c>
      <c r="H307" t="str">
        <f>"1"</f>
        <v>1</v>
      </c>
      <c r="I307" s="2">
        <v>1660727500</v>
      </c>
    </row>
    <row r="308" spans="1:9" x14ac:dyDescent="0.25">
      <c r="A308">
        <v>307</v>
      </c>
      <c r="B308" s="1">
        <v>44561</v>
      </c>
      <c r="C308">
        <v>14</v>
      </c>
      <c r="D308" t="str">
        <f t="shared" si="43"/>
        <v>1746</v>
      </c>
      <c r="E308" t="str">
        <f t="shared" si="44"/>
        <v>Начисленные доходы по ценным бумагам, учитываемым по справедливой стоимости через прочий совокупный доход</v>
      </c>
      <c r="F308" t="str">
        <f>"1"</f>
        <v>1</v>
      </c>
      <c r="G308" t="str">
        <f>"6"</f>
        <v>6</v>
      </c>
      <c r="H308" t="str">
        <f>"2"</f>
        <v>2</v>
      </c>
      <c r="I308" s="2">
        <v>44619332</v>
      </c>
    </row>
    <row r="309" spans="1:9" x14ac:dyDescent="0.25">
      <c r="A309">
        <v>308</v>
      </c>
      <c r="B309" s="1">
        <v>44561</v>
      </c>
      <c r="C309">
        <v>14</v>
      </c>
      <c r="D309" t="str">
        <f t="shared" si="43"/>
        <v>1746</v>
      </c>
      <c r="E309" t="str">
        <f t="shared" si="44"/>
        <v>Начисленные доходы по ценным бумагам, учитываемым по справедливой стоимости через прочий совокупный доход</v>
      </c>
      <c r="F309" t="str">
        <f>"2"</f>
        <v>2</v>
      </c>
      <c r="G309" t="str">
        <f>"4"</f>
        <v>4</v>
      </c>
      <c r="H309" t="str">
        <f>"2"</f>
        <v>2</v>
      </c>
      <c r="I309" s="2">
        <v>1003392448</v>
      </c>
    </row>
    <row r="310" spans="1:9" x14ac:dyDescent="0.25">
      <c r="A310">
        <v>309</v>
      </c>
      <c r="B310" s="1">
        <v>44561</v>
      </c>
      <c r="C310">
        <v>14</v>
      </c>
      <c r="D310" t="str">
        <f t="shared" si="43"/>
        <v>1746</v>
      </c>
      <c r="E310" t="str">
        <f t="shared" si="44"/>
        <v>Начисленные доходы по ценным бумагам, учитываемым по справедливой стоимости через прочий совокупный доход</v>
      </c>
      <c r="F310" t="str">
        <f>"1"</f>
        <v>1</v>
      </c>
      <c r="G310" t="str">
        <f>"6"</f>
        <v>6</v>
      </c>
      <c r="H310" t="str">
        <f>"3"</f>
        <v>3</v>
      </c>
      <c r="I310" s="2">
        <v>238197905</v>
      </c>
    </row>
    <row r="311" spans="1:9" x14ac:dyDescent="0.25">
      <c r="A311">
        <v>310</v>
      </c>
      <c r="B311" s="1">
        <v>44561</v>
      </c>
      <c r="C311">
        <v>14</v>
      </c>
      <c r="D311" t="str">
        <f t="shared" si="43"/>
        <v>1746</v>
      </c>
      <c r="E311" t="str">
        <f t="shared" si="44"/>
        <v>Начисленные доходы по ценным бумагам, учитываемым по справедливой стоимости через прочий совокупный доход</v>
      </c>
      <c r="F311" t="str">
        <f>"2"</f>
        <v>2</v>
      </c>
      <c r="G311" t="str">
        <f>"7"</f>
        <v>7</v>
      </c>
      <c r="H311" t="str">
        <f>"2"</f>
        <v>2</v>
      </c>
      <c r="I311" s="2">
        <v>245335318</v>
      </c>
    </row>
    <row r="312" spans="1:9" x14ac:dyDescent="0.25">
      <c r="A312">
        <v>311</v>
      </c>
      <c r="B312" s="1">
        <v>44561</v>
      </c>
      <c r="C312">
        <v>14</v>
      </c>
      <c r="D312" t="str">
        <f t="shared" si="43"/>
        <v>1746</v>
      </c>
      <c r="E312" t="str">
        <f t="shared" si="44"/>
        <v>Начисленные доходы по ценным бумагам, учитываемым по справедливой стоимости через прочий совокупный доход</v>
      </c>
      <c r="F312" t="str">
        <f>"1"</f>
        <v>1</v>
      </c>
      <c r="G312" t="str">
        <f>"4"</f>
        <v>4</v>
      </c>
      <c r="H312" t="str">
        <f>"2"</f>
        <v>2</v>
      </c>
      <c r="I312" s="2">
        <v>676214224</v>
      </c>
    </row>
    <row r="313" spans="1:9" x14ac:dyDescent="0.25">
      <c r="A313">
        <v>312</v>
      </c>
      <c r="B313" s="1">
        <v>44561</v>
      </c>
      <c r="C313">
        <v>14</v>
      </c>
      <c r="D313" t="str">
        <f t="shared" si="43"/>
        <v>1746</v>
      </c>
      <c r="E313" t="str">
        <f t="shared" si="44"/>
        <v>Начисленные доходы по ценным бумагам, учитываемым по справедливой стоимости через прочий совокупный доход</v>
      </c>
      <c r="F313" t="str">
        <f>"2"</f>
        <v>2</v>
      </c>
      <c r="G313" t="str">
        <f>"3"</f>
        <v>3</v>
      </c>
      <c r="H313" t="str">
        <f>"1"</f>
        <v>1</v>
      </c>
      <c r="I313" s="2">
        <v>475540972</v>
      </c>
    </row>
    <row r="314" spans="1:9" x14ac:dyDescent="0.25">
      <c r="A314">
        <v>313</v>
      </c>
      <c r="B314" s="1">
        <v>44561</v>
      </c>
      <c r="C314">
        <v>14</v>
      </c>
      <c r="D314" t="str">
        <f t="shared" si="43"/>
        <v>1746</v>
      </c>
      <c r="E314" t="str">
        <f t="shared" si="44"/>
        <v>Начисленные доходы по ценным бумагам, учитываемым по справедливой стоимости через прочий совокупный доход</v>
      </c>
      <c r="F314" t="str">
        <f>"1"</f>
        <v>1</v>
      </c>
      <c r="G314" t="str">
        <f>"6"</f>
        <v>6</v>
      </c>
      <c r="H314" t="str">
        <f>"1"</f>
        <v>1</v>
      </c>
      <c r="I314" s="2">
        <v>454734722</v>
      </c>
    </row>
    <row r="315" spans="1:9" x14ac:dyDescent="0.25">
      <c r="A315">
        <v>314</v>
      </c>
      <c r="B315" s="1">
        <v>44561</v>
      </c>
      <c r="C315">
        <v>14</v>
      </c>
      <c r="D315" t="str">
        <f t="shared" si="43"/>
        <v>1746</v>
      </c>
      <c r="E315" t="str">
        <f t="shared" si="44"/>
        <v>Начисленные доходы по ценным бумагам, учитываемым по справедливой стоимости через прочий совокупный доход</v>
      </c>
      <c r="F315" t="str">
        <f>"2"</f>
        <v>2</v>
      </c>
      <c r="G315" t="str">
        <f>"5"</f>
        <v>5</v>
      </c>
      <c r="H315" t="str">
        <f>"3"</f>
        <v>3</v>
      </c>
      <c r="I315" s="2">
        <v>24854795</v>
      </c>
    </row>
    <row r="316" spans="1:9" x14ac:dyDescent="0.25">
      <c r="A316">
        <v>315</v>
      </c>
      <c r="B316" s="1">
        <v>44561</v>
      </c>
      <c r="C316">
        <v>14</v>
      </c>
      <c r="D316" t="str">
        <f t="shared" si="43"/>
        <v>1746</v>
      </c>
      <c r="E316" t="str">
        <f t="shared" si="44"/>
        <v>Начисленные доходы по ценным бумагам, учитываемым по справедливой стоимости через прочий совокупный доход</v>
      </c>
      <c r="F316" t="str">
        <f>"1"</f>
        <v>1</v>
      </c>
      <c r="G316" t="str">
        <f>"1"</f>
        <v>1</v>
      </c>
      <c r="H316" t="str">
        <f>"2"</f>
        <v>2</v>
      </c>
      <c r="I316" s="2">
        <v>9042883801</v>
      </c>
    </row>
    <row r="317" spans="1:9" x14ac:dyDescent="0.25">
      <c r="A317">
        <v>316</v>
      </c>
      <c r="B317" s="1">
        <v>44561</v>
      </c>
      <c r="C317">
        <v>14</v>
      </c>
      <c r="D317" t="str">
        <f t="shared" si="43"/>
        <v>1746</v>
      </c>
      <c r="E317" t="str">
        <f t="shared" si="44"/>
        <v>Начисленные доходы по ценным бумагам, учитываемым по справедливой стоимости через прочий совокупный доход</v>
      </c>
      <c r="F317" t="str">
        <f>"2"</f>
        <v>2</v>
      </c>
      <c r="G317" t="str">
        <f>"5"</f>
        <v>5</v>
      </c>
      <c r="H317" t="str">
        <f>"2"</f>
        <v>2</v>
      </c>
      <c r="I317" s="2">
        <v>226932276</v>
      </c>
    </row>
    <row r="318" spans="1:9" x14ac:dyDescent="0.25">
      <c r="A318">
        <v>317</v>
      </c>
      <c r="B318" s="1">
        <v>44561</v>
      </c>
      <c r="C318">
        <v>14</v>
      </c>
      <c r="D318" t="str">
        <f>"1747"</f>
        <v>1747</v>
      </c>
      <c r="E318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F318" t="str">
        <f>"2"</f>
        <v>2</v>
      </c>
      <c r="G318" t="str">
        <f>"4"</f>
        <v>4</v>
      </c>
      <c r="H318" t="str">
        <f>"3"</f>
        <v>3</v>
      </c>
      <c r="I318" s="2">
        <v>506550023</v>
      </c>
    </row>
    <row r="319" spans="1:9" x14ac:dyDescent="0.25">
      <c r="A319">
        <v>318</v>
      </c>
      <c r="B319" s="1">
        <v>44561</v>
      </c>
      <c r="C319">
        <v>14</v>
      </c>
      <c r="D319" t="str">
        <f>"1747"</f>
        <v>1747</v>
      </c>
      <c r="E319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F319" t="str">
        <f>"2"</f>
        <v>2</v>
      </c>
      <c r="G319" t="str">
        <f>"4"</f>
        <v>4</v>
      </c>
      <c r="H319" t="str">
        <f>"2"</f>
        <v>2</v>
      </c>
      <c r="I319" s="2">
        <v>11334750</v>
      </c>
    </row>
    <row r="320" spans="1:9" x14ac:dyDescent="0.25">
      <c r="A320">
        <v>319</v>
      </c>
      <c r="B320" s="1">
        <v>44561</v>
      </c>
      <c r="C320">
        <v>14</v>
      </c>
      <c r="D320" t="str">
        <f>"1748"</f>
        <v>1748</v>
      </c>
      <c r="E320" t="str">
        <f>"Начисленные доходы по операциям «обратное РЕПО» с ценными бумагами"</f>
        <v>Начисленные доходы по операциям «обратное РЕПО» с ценными бумагами</v>
      </c>
      <c r="F320" t="str">
        <f>"1"</f>
        <v>1</v>
      </c>
      <c r="G320" t="str">
        <f>"5"</f>
        <v>5</v>
      </c>
      <c r="H320" t="str">
        <f>"1"</f>
        <v>1</v>
      </c>
      <c r="I320" s="2">
        <v>691641</v>
      </c>
    </row>
    <row r="321" spans="1:9" x14ac:dyDescent="0.25">
      <c r="A321">
        <v>320</v>
      </c>
      <c r="B321" s="1">
        <v>44561</v>
      </c>
      <c r="C321">
        <v>14</v>
      </c>
      <c r="D321" t="str">
        <f>"1753"</f>
        <v>1753</v>
      </c>
      <c r="E321" t="str">
        <f>"Начисленные доходы по операциям с производными финансовыми инструментами"</f>
        <v>Начисленные доходы по операциям с производными финансовыми инструментами</v>
      </c>
      <c r="F321" t="str">
        <f>"2"</f>
        <v>2</v>
      </c>
      <c r="G321" t="str">
        <f>"4"</f>
        <v>4</v>
      </c>
      <c r="H321" t="str">
        <f>"2"</f>
        <v>2</v>
      </c>
      <c r="I321" s="2">
        <v>13153358</v>
      </c>
    </row>
    <row r="322" spans="1:9" x14ac:dyDescent="0.25">
      <c r="A322">
        <v>321</v>
      </c>
      <c r="B322" s="1">
        <v>44561</v>
      </c>
      <c r="C322">
        <v>14</v>
      </c>
      <c r="D322" t="str">
        <f>"1756"</f>
        <v>1756</v>
      </c>
      <c r="E322" t="str">
        <f>"Начисленные доходы по прочим операциям"</f>
        <v>Начисленные доходы по прочим операциям</v>
      </c>
      <c r="F322" t="str">
        <f>"2"</f>
        <v>2</v>
      </c>
      <c r="G322" t="str">
        <f>"7"</f>
        <v>7</v>
      </c>
      <c r="H322" t="str">
        <f t="shared" ref="H322:H327" si="45">"1"</f>
        <v>1</v>
      </c>
      <c r="I322" s="2">
        <v>167405233</v>
      </c>
    </row>
    <row r="323" spans="1:9" x14ac:dyDescent="0.25">
      <c r="A323">
        <v>322</v>
      </c>
      <c r="B323" s="1">
        <v>44561</v>
      </c>
      <c r="C323">
        <v>14</v>
      </c>
      <c r="D323" t="str">
        <f>"1793"</f>
        <v>1793</v>
      </c>
      <c r="E323" t="str">
        <f>"Расходы будущих периодов"</f>
        <v>Расходы будущих периодов</v>
      </c>
      <c r="F323" t="str">
        <f>"1"</f>
        <v>1</v>
      </c>
      <c r="G323" t="str">
        <f>"7"</f>
        <v>7</v>
      </c>
      <c r="H323" t="str">
        <f t="shared" si="45"/>
        <v>1</v>
      </c>
      <c r="I323" s="2">
        <v>608113933</v>
      </c>
    </row>
    <row r="324" spans="1:9" x14ac:dyDescent="0.25">
      <c r="A324">
        <v>323</v>
      </c>
      <c r="B324" s="1">
        <v>44561</v>
      </c>
      <c r="C324">
        <v>14</v>
      </c>
      <c r="D324" t="str">
        <f>"1793"</f>
        <v>1793</v>
      </c>
      <c r="E324" t="str">
        <f>"Расходы будущих периодов"</f>
        <v>Расходы будущих периодов</v>
      </c>
      <c r="F324" t="str">
        <f>"1"</f>
        <v>1</v>
      </c>
      <c r="G324" t="str">
        <f>"6"</f>
        <v>6</v>
      </c>
      <c r="H324" t="str">
        <f t="shared" si="45"/>
        <v>1</v>
      </c>
      <c r="I324" s="2">
        <v>3112909</v>
      </c>
    </row>
    <row r="325" spans="1:9" x14ac:dyDescent="0.25">
      <c r="A325">
        <v>324</v>
      </c>
      <c r="B325" s="1">
        <v>44561</v>
      </c>
      <c r="C325">
        <v>14</v>
      </c>
      <c r="D325" t="str">
        <f>"1793"</f>
        <v>1793</v>
      </c>
      <c r="E325" t="str">
        <f>"Расходы будущих периодов"</f>
        <v>Расходы будущих периодов</v>
      </c>
      <c r="F325" t="str">
        <f>"1"</f>
        <v>1</v>
      </c>
      <c r="G325" t="str">
        <f>"5"</f>
        <v>5</v>
      </c>
      <c r="H325" t="str">
        <f t="shared" si="45"/>
        <v>1</v>
      </c>
      <c r="I325" s="2">
        <v>100029734</v>
      </c>
    </row>
    <row r="326" spans="1:9" x14ac:dyDescent="0.25">
      <c r="A326">
        <v>325</v>
      </c>
      <c r="B326" s="1">
        <v>44561</v>
      </c>
      <c r="C326">
        <v>14</v>
      </c>
      <c r="D326" t="str">
        <f>"1793"</f>
        <v>1793</v>
      </c>
      <c r="E326" t="str">
        <f>"Расходы будущих периодов"</f>
        <v>Расходы будущих периодов</v>
      </c>
      <c r="F326" t="str">
        <f>"2"</f>
        <v>2</v>
      </c>
      <c r="G326" t="str">
        <f>"7"</f>
        <v>7</v>
      </c>
      <c r="H326" t="str">
        <f t="shared" si="45"/>
        <v>1</v>
      </c>
      <c r="I326" s="2">
        <v>322044093</v>
      </c>
    </row>
    <row r="327" spans="1:9" x14ac:dyDescent="0.25">
      <c r="A327">
        <v>326</v>
      </c>
      <c r="B327" s="1">
        <v>44561</v>
      </c>
      <c r="C327">
        <v>14</v>
      </c>
      <c r="D327" t="str">
        <f>"1793"</f>
        <v>1793</v>
      </c>
      <c r="E327" t="str">
        <f>"Расходы будущих периодов"</f>
        <v>Расходы будущих периодов</v>
      </c>
      <c r="F327" t="str">
        <f>"1"</f>
        <v>1</v>
      </c>
      <c r="G327" t="str">
        <f>"9"</f>
        <v>9</v>
      </c>
      <c r="H327" t="str">
        <f t="shared" si="45"/>
        <v>1</v>
      </c>
      <c r="I327" s="2">
        <v>9574794</v>
      </c>
    </row>
    <row r="328" spans="1:9" x14ac:dyDescent="0.25">
      <c r="A328">
        <v>327</v>
      </c>
      <c r="B328" s="1">
        <v>44561</v>
      </c>
      <c r="C328">
        <v>14</v>
      </c>
      <c r="D328" t="str">
        <f>"1811"</f>
        <v>1811</v>
      </c>
      <c r="E328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28" t="str">
        <f>"2"</f>
        <v>2</v>
      </c>
      <c r="G328" t="str">
        <f>""</f>
        <v/>
      </c>
      <c r="H328" t="str">
        <f>"2"</f>
        <v>2</v>
      </c>
      <c r="I328" s="2">
        <v>9588423</v>
      </c>
    </row>
    <row r="329" spans="1:9" x14ac:dyDescent="0.25">
      <c r="A329">
        <v>328</v>
      </c>
      <c r="B329" s="1">
        <v>44561</v>
      </c>
      <c r="C329">
        <v>14</v>
      </c>
      <c r="D329" t="str">
        <f>"1811"</f>
        <v>1811</v>
      </c>
      <c r="E329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29" t="str">
        <f>"1"</f>
        <v>1</v>
      </c>
      <c r="G329" t="str">
        <f>""</f>
        <v/>
      </c>
      <c r="H329" t="str">
        <f>"2"</f>
        <v>2</v>
      </c>
      <c r="I329" s="2">
        <v>34816</v>
      </c>
    </row>
    <row r="330" spans="1:9" x14ac:dyDescent="0.25">
      <c r="A330">
        <v>329</v>
      </c>
      <c r="B330" s="1">
        <v>44561</v>
      </c>
      <c r="C330">
        <v>14</v>
      </c>
      <c r="D330" t="str">
        <f>"1811"</f>
        <v>1811</v>
      </c>
      <c r="E330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30" t="str">
        <f>"1"</f>
        <v>1</v>
      </c>
      <c r="G330" t="str">
        <f>""</f>
        <v/>
      </c>
      <c r="H330" t="str">
        <f>"1"</f>
        <v>1</v>
      </c>
      <c r="I330" s="2">
        <v>1136586589</v>
      </c>
    </row>
    <row r="331" spans="1:9" x14ac:dyDescent="0.25">
      <c r="A331">
        <v>330</v>
      </c>
      <c r="B331" s="1">
        <v>44561</v>
      </c>
      <c r="C331">
        <v>14</v>
      </c>
      <c r="D331" t="str">
        <f>"1812"</f>
        <v>1812</v>
      </c>
      <c r="E331" t="str">
        <f>"Начисленные комиссионные доходы за агентские услуги"</f>
        <v>Начисленные комиссионные доходы за агентские услуги</v>
      </c>
      <c r="F331" t="str">
        <f>"1"</f>
        <v>1</v>
      </c>
      <c r="G331" t="str">
        <f>""</f>
        <v/>
      </c>
      <c r="H331" t="str">
        <f>"1"</f>
        <v>1</v>
      </c>
      <c r="I331" s="2">
        <v>3646357985</v>
      </c>
    </row>
    <row r="332" spans="1:9" x14ac:dyDescent="0.25">
      <c r="A332">
        <v>331</v>
      </c>
      <c r="B332" s="1">
        <v>44561</v>
      </c>
      <c r="C332">
        <v>14</v>
      </c>
      <c r="D332" t="str">
        <f t="shared" ref="D332:D337" si="46">"1816"</f>
        <v>1816</v>
      </c>
      <c r="E332" t="str">
        <f t="shared" ref="E332:E337" si="47"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32" t="str">
        <f>"2"</f>
        <v>2</v>
      </c>
      <c r="G332" t="str">
        <f>""</f>
        <v/>
      </c>
      <c r="H332" t="str">
        <f>"2"</f>
        <v>2</v>
      </c>
      <c r="I332" s="2">
        <v>2353967</v>
      </c>
    </row>
    <row r="333" spans="1:9" x14ac:dyDescent="0.25">
      <c r="A333">
        <v>332</v>
      </c>
      <c r="B333" s="1">
        <v>44561</v>
      </c>
      <c r="C333">
        <v>14</v>
      </c>
      <c r="D333" t="str">
        <f t="shared" si="46"/>
        <v>1816</v>
      </c>
      <c r="E333" t="str">
        <f t="shared" si="47"/>
        <v>Начисленные комиссионные доходы за услуги по операциям с гарантиями</v>
      </c>
      <c r="F333" t="str">
        <f>"1"</f>
        <v>1</v>
      </c>
      <c r="G333" t="str">
        <f>""</f>
        <v/>
      </c>
      <c r="H333" t="str">
        <f>"2"</f>
        <v>2</v>
      </c>
      <c r="I333" s="2">
        <v>40347657</v>
      </c>
    </row>
    <row r="334" spans="1:9" x14ac:dyDescent="0.25">
      <c r="A334">
        <v>333</v>
      </c>
      <c r="B334" s="1">
        <v>44561</v>
      </c>
      <c r="C334">
        <v>14</v>
      </c>
      <c r="D334" t="str">
        <f t="shared" si="46"/>
        <v>1816</v>
      </c>
      <c r="E334" t="str">
        <f t="shared" si="47"/>
        <v>Начисленные комиссионные доходы за услуги по операциям с гарантиями</v>
      </c>
      <c r="F334" t="str">
        <f>"1"</f>
        <v>1</v>
      </c>
      <c r="G334" t="str">
        <f>""</f>
        <v/>
      </c>
      <c r="H334" t="str">
        <f>"1"</f>
        <v>1</v>
      </c>
      <c r="I334" s="2">
        <v>773422626</v>
      </c>
    </row>
    <row r="335" spans="1:9" x14ac:dyDescent="0.25">
      <c r="A335">
        <v>334</v>
      </c>
      <c r="B335" s="1">
        <v>44561</v>
      </c>
      <c r="C335">
        <v>14</v>
      </c>
      <c r="D335" t="str">
        <f t="shared" si="46"/>
        <v>1816</v>
      </c>
      <c r="E335" t="str">
        <f t="shared" si="47"/>
        <v>Начисленные комиссионные доходы за услуги по операциям с гарантиями</v>
      </c>
      <c r="F335" t="str">
        <f>"2"</f>
        <v>2</v>
      </c>
      <c r="G335" t="str">
        <f>""</f>
        <v/>
      </c>
      <c r="H335" t="str">
        <f>"1"</f>
        <v>1</v>
      </c>
      <c r="I335" s="2">
        <v>5134292</v>
      </c>
    </row>
    <row r="336" spans="1:9" x14ac:dyDescent="0.25">
      <c r="A336">
        <v>335</v>
      </c>
      <c r="B336" s="1">
        <v>44561</v>
      </c>
      <c r="C336">
        <v>14</v>
      </c>
      <c r="D336" t="str">
        <f t="shared" si="46"/>
        <v>1816</v>
      </c>
      <c r="E336" t="str">
        <f t="shared" si="47"/>
        <v>Начисленные комиссионные доходы за услуги по операциям с гарантиями</v>
      </c>
      <c r="F336" t="str">
        <f>"2"</f>
        <v>2</v>
      </c>
      <c r="G336" t="str">
        <f>""</f>
        <v/>
      </c>
      <c r="H336" t="str">
        <f>"3"</f>
        <v>3</v>
      </c>
      <c r="I336" s="2">
        <v>2738113</v>
      </c>
    </row>
    <row r="337" spans="1:9" x14ac:dyDescent="0.25">
      <c r="A337">
        <v>336</v>
      </c>
      <c r="B337" s="1">
        <v>44561</v>
      </c>
      <c r="C337">
        <v>14</v>
      </c>
      <c r="D337" t="str">
        <f t="shared" si="46"/>
        <v>1816</v>
      </c>
      <c r="E337" t="str">
        <f t="shared" si="47"/>
        <v>Начисленные комиссионные доходы за услуги по операциям с гарантиями</v>
      </c>
      <c r="F337" t="str">
        <f>"1"</f>
        <v>1</v>
      </c>
      <c r="G337" t="str">
        <f>""</f>
        <v/>
      </c>
      <c r="H337" t="str">
        <f>"3"</f>
        <v>3</v>
      </c>
      <c r="I337" s="2">
        <v>8004221</v>
      </c>
    </row>
    <row r="338" spans="1:9" x14ac:dyDescent="0.25">
      <c r="A338">
        <v>337</v>
      </c>
      <c r="B338" s="1">
        <v>44561</v>
      </c>
      <c r="C338">
        <v>14</v>
      </c>
      <c r="D338" t="str">
        <f>"1817"</f>
        <v>1817</v>
      </c>
      <c r="E338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38" t="str">
        <f>"1"</f>
        <v>1</v>
      </c>
      <c r="G338" t="str">
        <f>""</f>
        <v/>
      </c>
      <c r="H338" t="str">
        <f>"3"</f>
        <v>3</v>
      </c>
      <c r="I338" s="2">
        <v>5686</v>
      </c>
    </row>
    <row r="339" spans="1:9" x14ac:dyDescent="0.25">
      <c r="A339">
        <v>338</v>
      </c>
      <c r="B339" s="1">
        <v>44561</v>
      </c>
      <c r="C339">
        <v>14</v>
      </c>
      <c r="D339" t="str">
        <f>"1817"</f>
        <v>1817</v>
      </c>
      <c r="E339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39" t="str">
        <f>"1"</f>
        <v>1</v>
      </c>
      <c r="G339" t="str">
        <f>""</f>
        <v/>
      </c>
      <c r="H339" t="str">
        <f>"1"</f>
        <v>1</v>
      </c>
      <c r="I339" s="2">
        <v>295788068</v>
      </c>
    </row>
    <row r="340" spans="1:9" x14ac:dyDescent="0.25">
      <c r="A340">
        <v>339</v>
      </c>
      <c r="B340" s="1">
        <v>44561</v>
      </c>
      <c r="C340">
        <v>14</v>
      </c>
      <c r="D340" t="str">
        <f>"1817"</f>
        <v>1817</v>
      </c>
      <c r="E340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40" t="str">
        <f>"2"</f>
        <v>2</v>
      </c>
      <c r="G340" t="str">
        <f>""</f>
        <v/>
      </c>
      <c r="H340" t="str">
        <f>"1"</f>
        <v>1</v>
      </c>
      <c r="I340" s="2">
        <v>2639825</v>
      </c>
    </row>
    <row r="341" spans="1:9" x14ac:dyDescent="0.25">
      <c r="A341">
        <v>340</v>
      </c>
      <c r="B341" s="1">
        <v>44561</v>
      </c>
      <c r="C341">
        <v>14</v>
      </c>
      <c r="D341" t="str">
        <f>"1817"</f>
        <v>1817</v>
      </c>
      <c r="E341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41" t="str">
        <f>"2"</f>
        <v>2</v>
      </c>
      <c r="G341" t="str">
        <f>""</f>
        <v/>
      </c>
      <c r="H341" t="str">
        <f>"2"</f>
        <v>2</v>
      </c>
      <c r="I341" s="2">
        <v>232990</v>
      </c>
    </row>
    <row r="342" spans="1:9" x14ac:dyDescent="0.25">
      <c r="A342">
        <v>341</v>
      </c>
      <c r="B342" s="1">
        <v>44561</v>
      </c>
      <c r="C342">
        <v>14</v>
      </c>
      <c r="D342" t="str">
        <f>"1817"</f>
        <v>1817</v>
      </c>
      <c r="E342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42" t="str">
        <f>"1"</f>
        <v>1</v>
      </c>
      <c r="G342" t="str">
        <f>""</f>
        <v/>
      </c>
      <c r="H342" t="str">
        <f>"2"</f>
        <v>2</v>
      </c>
      <c r="I342" s="2">
        <v>2047280</v>
      </c>
    </row>
    <row r="343" spans="1:9" x14ac:dyDescent="0.25">
      <c r="A343">
        <v>342</v>
      </c>
      <c r="B343" s="1">
        <v>44561</v>
      </c>
      <c r="C343">
        <v>14</v>
      </c>
      <c r="D343" t="str">
        <f>"1818"</f>
        <v>1818</v>
      </c>
      <c r="E343" t="str">
        <f>"Начисленные прочие комиссионные доходы"</f>
        <v>Начисленные прочие комиссионные доходы</v>
      </c>
      <c r="F343" t="str">
        <f>"1"</f>
        <v>1</v>
      </c>
      <c r="G343" t="str">
        <f>""</f>
        <v/>
      </c>
      <c r="H343" t="str">
        <f>"2"</f>
        <v>2</v>
      </c>
      <c r="I343" s="2">
        <v>53236346</v>
      </c>
    </row>
    <row r="344" spans="1:9" x14ac:dyDescent="0.25">
      <c r="A344">
        <v>343</v>
      </c>
      <c r="B344" s="1">
        <v>44561</v>
      </c>
      <c r="C344">
        <v>14</v>
      </c>
      <c r="D344" t="str">
        <f>"1818"</f>
        <v>1818</v>
      </c>
      <c r="E344" t="str">
        <f>"Начисленные прочие комиссионные доходы"</f>
        <v>Начисленные прочие комиссионные доходы</v>
      </c>
      <c r="F344" t="str">
        <f>"2"</f>
        <v>2</v>
      </c>
      <c r="G344" t="str">
        <f>""</f>
        <v/>
      </c>
      <c r="H344" t="str">
        <f>"2"</f>
        <v>2</v>
      </c>
      <c r="I344" s="2">
        <v>2006381</v>
      </c>
    </row>
    <row r="345" spans="1:9" x14ac:dyDescent="0.25">
      <c r="A345">
        <v>344</v>
      </c>
      <c r="B345" s="1">
        <v>44561</v>
      </c>
      <c r="C345">
        <v>14</v>
      </c>
      <c r="D345" t="str">
        <f>"1818"</f>
        <v>1818</v>
      </c>
      <c r="E345" t="str">
        <f>"Начисленные прочие комиссионные доходы"</f>
        <v>Начисленные прочие комиссионные доходы</v>
      </c>
      <c r="F345" t="str">
        <f>"1"</f>
        <v>1</v>
      </c>
      <c r="G345" t="str">
        <f>""</f>
        <v/>
      </c>
      <c r="H345" t="str">
        <f>"1"</f>
        <v>1</v>
      </c>
      <c r="I345" s="2">
        <v>487031002</v>
      </c>
    </row>
    <row r="346" spans="1:9" x14ac:dyDescent="0.25">
      <c r="A346">
        <v>345</v>
      </c>
      <c r="B346" s="1">
        <v>44561</v>
      </c>
      <c r="C346">
        <v>14</v>
      </c>
      <c r="D346" t="str">
        <f>"1818"</f>
        <v>1818</v>
      </c>
      <c r="E346" t="str">
        <f>"Начисленные прочие комиссионные доходы"</f>
        <v>Начисленные прочие комиссионные доходы</v>
      </c>
      <c r="F346" t="str">
        <f>"2"</f>
        <v>2</v>
      </c>
      <c r="G346" t="str">
        <f>""</f>
        <v/>
      </c>
      <c r="H346" t="str">
        <f>"1"</f>
        <v>1</v>
      </c>
      <c r="I346" s="2">
        <v>2068204</v>
      </c>
    </row>
    <row r="347" spans="1:9" x14ac:dyDescent="0.25">
      <c r="A347">
        <v>346</v>
      </c>
      <c r="B347" s="1">
        <v>44561</v>
      </c>
      <c r="C347">
        <v>14</v>
      </c>
      <c r="D347" t="str">
        <f>"1819"</f>
        <v>1819</v>
      </c>
      <c r="E347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347" t="str">
        <f>"1"</f>
        <v>1</v>
      </c>
      <c r="G347" t="str">
        <f>""</f>
        <v/>
      </c>
      <c r="H347" t="str">
        <f>"1"</f>
        <v>1</v>
      </c>
      <c r="I347" s="2">
        <v>18218837</v>
      </c>
    </row>
    <row r="348" spans="1:9" x14ac:dyDescent="0.25">
      <c r="A348">
        <v>347</v>
      </c>
      <c r="B348" s="1">
        <v>44561</v>
      </c>
      <c r="C348">
        <v>14</v>
      </c>
      <c r="D348" t="str">
        <f>"1819"</f>
        <v>1819</v>
      </c>
      <c r="E348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348" t="str">
        <f>"2"</f>
        <v>2</v>
      </c>
      <c r="G348" t="str">
        <f>""</f>
        <v/>
      </c>
      <c r="H348" t="str">
        <f>"1"</f>
        <v>1</v>
      </c>
      <c r="I348" s="2">
        <v>556000</v>
      </c>
    </row>
    <row r="349" spans="1:9" x14ac:dyDescent="0.25">
      <c r="A349">
        <v>348</v>
      </c>
      <c r="B349" s="1">
        <v>44561</v>
      </c>
      <c r="C349">
        <v>14</v>
      </c>
      <c r="D349" t="str">
        <f>"1822"</f>
        <v>1822</v>
      </c>
      <c r="E349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49" t="str">
        <f>"1"</f>
        <v>1</v>
      </c>
      <c r="G349" t="str">
        <f>""</f>
        <v/>
      </c>
      <c r="H349" t="str">
        <f>"3"</f>
        <v>3</v>
      </c>
      <c r="I349" s="2">
        <v>5953008</v>
      </c>
    </row>
    <row r="350" spans="1:9" x14ac:dyDescent="0.25">
      <c r="A350">
        <v>349</v>
      </c>
      <c r="B350" s="1">
        <v>44561</v>
      </c>
      <c r="C350">
        <v>14</v>
      </c>
      <c r="D350" t="str">
        <f>"1822"</f>
        <v>1822</v>
      </c>
      <c r="E350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50" t="str">
        <f>"1"</f>
        <v>1</v>
      </c>
      <c r="G350" t="str">
        <f>""</f>
        <v/>
      </c>
      <c r="H350" t="str">
        <f>"2"</f>
        <v>2</v>
      </c>
      <c r="I350" s="2">
        <v>223134863</v>
      </c>
    </row>
    <row r="351" spans="1:9" x14ac:dyDescent="0.25">
      <c r="A351">
        <v>350</v>
      </c>
      <c r="B351" s="1">
        <v>44561</v>
      </c>
      <c r="C351">
        <v>14</v>
      </c>
      <c r="D351" t="str">
        <f>"1822"</f>
        <v>1822</v>
      </c>
      <c r="E351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51" t="str">
        <f>"1"</f>
        <v>1</v>
      </c>
      <c r="G351" t="str">
        <f>""</f>
        <v/>
      </c>
      <c r="H351" t="str">
        <f>"1"</f>
        <v>1</v>
      </c>
      <c r="I351" s="2">
        <v>41094208</v>
      </c>
    </row>
    <row r="352" spans="1:9" x14ac:dyDescent="0.25">
      <c r="A352">
        <v>351</v>
      </c>
      <c r="B352" s="1">
        <v>44561</v>
      </c>
      <c r="C352">
        <v>14</v>
      </c>
      <c r="D352" t="str">
        <f>"1822"</f>
        <v>1822</v>
      </c>
      <c r="E352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52" t="str">
        <f>"2"</f>
        <v>2</v>
      </c>
      <c r="G352" t="str">
        <f>""</f>
        <v/>
      </c>
      <c r="H352" t="str">
        <f>"2"</f>
        <v>2</v>
      </c>
      <c r="I352" s="2">
        <v>877360</v>
      </c>
    </row>
    <row r="353" spans="1:9" x14ac:dyDescent="0.25">
      <c r="A353">
        <v>352</v>
      </c>
      <c r="B353" s="1">
        <v>44561</v>
      </c>
      <c r="C353">
        <v>14</v>
      </c>
      <c r="D353" t="str">
        <f>"1836"</f>
        <v>1836</v>
      </c>
      <c r="E353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353" t="str">
        <f>"1"</f>
        <v>1</v>
      </c>
      <c r="G353" t="str">
        <f>""</f>
        <v/>
      </c>
      <c r="H353" t="str">
        <f>"1"</f>
        <v>1</v>
      </c>
      <c r="I353" s="2">
        <v>189466961</v>
      </c>
    </row>
    <row r="354" spans="1:9" x14ac:dyDescent="0.25">
      <c r="A354">
        <v>353</v>
      </c>
      <c r="B354" s="1">
        <v>44561</v>
      </c>
      <c r="C354">
        <v>14</v>
      </c>
      <c r="D354" t="str">
        <f>"1836"</f>
        <v>1836</v>
      </c>
      <c r="E354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354" t="str">
        <f>"1"</f>
        <v>1</v>
      </c>
      <c r="G354" t="str">
        <f>""</f>
        <v/>
      </c>
      <c r="H354" t="str">
        <f>"2"</f>
        <v>2</v>
      </c>
      <c r="I354" s="2">
        <v>15978176</v>
      </c>
    </row>
    <row r="355" spans="1:9" x14ac:dyDescent="0.25">
      <c r="A355">
        <v>354</v>
      </c>
      <c r="B355" s="1">
        <v>44561</v>
      </c>
      <c r="C355">
        <v>14</v>
      </c>
      <c r="D355" t="str">
        <f t="shared" ref="D355:D360" si="48">"1837"</f>
        <v>1837</v>
      </c>
      <c r="E355" t="str">
        <f t="shared" ref="E355:E360" si="49"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55" t="str">
        <f>"1"</f>
        <v>1</v>
      </c>
      <c r="G355" t="str">
        <f>""</f>
        <v/>
      </c>
      <c r="H355" t="str">
        <f>"2"</f>
        <v>2</v>
      </c>
      <c r="I355" s="2">
        <v>21552699</v>
      </c>
    </row>
    <row r="356" spans="1:9" x14ac:dyDescent="0.25">
      <c r="A356">
        <v>355</v>
      </c>
      <c r="B356" s="1">
        <v>44561</v>
      </c>
      <c r="C356">
        <v>14</v>
      </c>
      <c r="D356" t="str">
        <f t="shared" si="48"/>
        <v>1837</v>
      </c>
      <c r="E356" t="str">
        <f t="shared" si="49"/>
        <v>Просроченные комиссионные доходы за услуги по приему вкладов, открытию и ведению банковских счетов клиентов</v>
      </c>
      <c r="F356" t="str">
        <f>"1"</f>
        <v>1</v>
      </c>
      <c r="G356" t="str">
        <f>""</f>
        <v/>
      </c>
      <c r="H356" t="str">
        <f>"1"</f>
        <v>1</v>
      </c>
      <c r="I356" s="2">
        <v>1429150305</v>
      </c>
    </row>
    <row r="357" spans="1:9" x14ac:dyDescent="0.25">
      <c r="A357">
        <v>356</v>
      </c>
      <c r="B357" s="1">
        <v>44561</v>
      </c>
      <c r="C357">
        <v>14</v>
      </c>
      <c r="D357" t="str">
        <f t="shared" si="48"/>
        <v>1837</v>
      </c>
      <c r="E357" t="str">
        <f t="shared" si="49"/>
        <v>Просроченные комиссионные доходы за услуги по приему вкладов, открытию и ведению банковских счетов клиентов</v>
      </c>
      <c r="F357" t="str">
        <f>"2"</f>
        <v>2</v>
      </c>
      <c r="G357" t="str">
        <f>""</f>
        <v/>
      </c>
      <c r="H357" t="str">
        <f>"2"</f>
        <v>2</v>
      </c>
      <c r="I357" s="2">
        <v>1653495</v>
      </c>
    </row>
    <row r="358" spans="1:9" x14ac:dyDescent="0.25">
      <c r="A358">
        <v>357</v>
      </c>
      <c r="B358" s="1">
        <v>44561</v>
      </c>
      <c r="C358">
        <v>14</v>
      </c>
      <c r="D358" t="str">
        <f t="shared" si="48"/>
        <v>1837</v>
      </c>
      <c r="E358" t="str">
        <f t="shared" si="49"/>
        <v>Просроченные комиссионные доходы за услуги по приему вкладов, открытию и ведению банковских счетов клиентов</v>
      </c>
      <c r="F358" t="str">
        <f>"2"</f>
        <v>2</v>
      </c>
      <c r="G358" t="str">
        <f>""</f>
        <v/>
      </c>
      <c r="H358" t="str">
        <f>"1"</f>
        <v>1</v>
      </c>
      <c r="I358" s="2">
        <v>15853555</v>
      </c>
    </row>
    <row r="359" spans="1:9" x14ac:dyDescent="0.25">
      <c r="A359">
        <v>358</v>
      </c>
      <c r="B359" s="1">
        <v>44561</v>
      </c>
      <c r="C359">
        <v>14</v>
      </c>
      <c r="D359" t="str">
        <f t="shared" si="48"/>
        <v>1837</v>
      </c>
      <c r="E359" t="str">
        <f t="shared" si="49"/>
        <v>Просроченные комиссионные доходы за услуги по приему вкладов, открытию и ведению банковских счетов клиентов</v>
      </c>
      <c r="F359" t="str">
        <f>"1"</f>
        <v>1</v>
      </c>
      <c r="G359" t="str">
        <f>""</f>
        <v/>
      </c>
      <c r="H359" t="str">
        <f>"3"</f>
        <v>3</v>
      </c>
      <c r="I359" s="2">
        <v>226126</v>
      </c>
    </row>
    <row r="360" spans="1:9" x14ac:dyDescent="0.25">
      <c r="A360">
        <v>359</v>
      </c>
      <c r="B360" s="1">
        <v>44561</v>
      </c>
      <c r="C360">
        <v>14</v>
      </c>
      <c r="D360" t="str">
        <f t="shared" si="48"/>
        <v>1837</v>
      </c>
      <c r="E360" t="str">
        <f t="shared" si="49"/>
        <v>Просроченные комиссионные доходы за услуги по приему вкладов, открытию и ведению банковских счетов клиентов</v>
      </c>
      <c r="F360" t="str">
        <f>"2"</f>
        <v>2</v>
      </c>
      <c r="G360" t="str">
        <f>""</f>
        <v/>
      </c>
      <c r="H360" t="str">
        <f>"3"</f>
        <v>3</v>
      </c>
      <c r="I360" s="2">
        <v>6562</v>
      </c>
    </row>
    <row r="361" spans="1:9" x14ac:dyDescent="0.25">
      <c r="A361">
        <v>360</v>
      </c>
      <c r="B361" s="1">
        <v>44561</v>
      </c>
      <c r="C361">
        <v>14</v>
      </c>
      <c r="D361" t="str">
        <f>"1842"</f>
        <v>1842</v>
      </c>
      <c r="E361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F361" t="str">
        <f>"1"</f>
        <v>1</v>
      </c>
      <c r="G361" t="str">
        <f>""</f>
        <v/>
      </c>
      <c r="H361" t="str">
        <f>"3"</f>
        <v>3</v>
      </c>
      <c r="I361" s="2">
        <v>26400</v>
      </c>
    </row>
    <row r="362" spans="1:9" x14ac:dyDescent="0.25">
      <c r="A362">
        <v>361</v>
      </c>
      <c r="B362" s="1">
        <v>44561</v>
      </c>
      <c r="C362">
        <v>14</v>
      </c>
      <c r="D362" t="str">
        <f>"1842"</f>
        <v>1842</v>
      </c>
      <c r="E362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F362" t="str">
        <f>"1"</f>
        <v>1</v>
      </c>
      <c r="G362" t="str">
        <f>""</f>
        <v/>
      </c>
      <c r="H362" t="str">
        <f>"2"</f>
        <v>2</v>
      </c>
      <c r="I362" s="2">
        <v>100643780</v>
      </c>
    </row>
    <row r="363" spans="1:9" x14ac:dyDescent="0.25">
      <c r="A363">
        <v>362</v>
      </c>
      <c r="B363" s="1">
        <v>44561</v>
      </c>
      <c r="C363">
        <v>14</v>
      </c>
      <c r="D363" t="str">
        <f t="shared" ref="D363:D368" si="50">"1845"</f>
        <v>1845</v>
      </c>
      <c r="E363" t="str">
        <f t="shared" ref="E363:E368" si="51"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63" t="str">
        <f>"2"</f>
        <v>2</v>
      </c>
      <c r="G363" t="str">
        <f>""</f>
        <v/>
      </c>
      <c r="H363" t="str">
        <f>"1"</f>
        <v>1</v>
      </c>
      <c r="I363" s="2">
        <v>-12487000</v>
      </c>
    </row>
    <row r="364" spans="1:9" x14ac:dyDescent="0.25">
      <c r="A364">
        <v>363</v>
      </c>
      <c r="B364" s="1">
        <v>44561</v>
      </c>
      <c r="C364">
        <v>14</v>
      </c>
      <c r="D364" t="str">
        <f t="shared" si="50"/>
        <v>1845</v>
      </c>
      <c r="E364" t="str">
        <f t="shared" si="51"/>
        <v>Резервы (провизии) по начисленным и просроченным комиссионным доходам</v>
      </c>
      <c r="F364" t="str">
        <f>"1"</f>
        <v>1</v>
      </c>
      <c r="G364" t="str">
        <f>""</f>
        <v/>
      </c>
      <c r="H364" t="str">
        <f>"3"</f>
        <v>3</v>
      </c>
      <c r="I364" s="2">
        <v>-761000</v>
      </c>
    </row>
    <row r="365" spans="1:9" x14ac:dyDescent="0.25">
      <c r="A365">
        <v>364</v>
      </c>
      <c r="B365" s="1">
        <v>44561</v>
      </c>
      <c r="C365">
        <v>14</v>
      </c>
      <c r="D365" t="str">
        <f t="shared" si="50"/>
        <v>1845</v>
      </c>
      <c r="E365" t="str">
        <f t="shared" si="51"/>
        <v>Резервы (провизии) по начисленным и просроченным комиссионным доходам</v>
      </c>
      <c r="F365" t="str">
        <f>"1"</f>
        <v>1</v>
      </c>
      <c r="G365" t="str">
        <f>""</f>
        <v/>
      </c>
      <c r="H365" t="str">
        <f>"2"</f>
        <v>2</v>
      </c>
      <c r="I365" s="2">
        <v>-169710000</v>
      </c>
    </row>
    <row r="366" spans="1:9" x14ac:dyDescent="0.25">
      <c r="A366">
        <v>365</v>
      </c>
      <c r="B366" s="1">
        <v>44561</v>
      </c>
      <c r="C366">
        <v>14</v>
      </c>
      <c r="D366" t="str">
        <f t="shared" si="50"/>
        <v>1845</v>
      </c>
      <c r="E366" t="str">
        <f t="shared" si="51"/>
        <v>Резервы (провизии) по начисленным и просроченным комиссионным доходам</v>
      </c>
      <c r="F366" t="str">
        <f>"2"</f>
        <v>2</v>
      </c>
      <c r="G366" t="str">
        <f>""</f>
        <v/>
      </c>
      <c r="H366" t="str">
        <f>"2"</f>
        <v>2</v>
      </c>
      <c r="I366" s="2">
        <v>-1353000</v>
      </c>
    </row>
    <row r="367" spans="1:9" x14ac:dyDescent="0.25">
      <c r="A367">
        <v>366</v>
      </c>
      <c r="B367" s="1">
        <v>44561</v>
      </c>
      <c r="C367">
        <v>14</v>
      </c>
      <c r="D367" t="str">
        <f t="shared" si="50"/>
        <v>1845</v>
      </c>
      <c r="E367" t="str">
        <f t="shared" si="51"/>
        <v>Резервы (провизии) по начисленным и просроченным комиссионным доходам</v>
      </c>
      <c r="F367" t="str">
        <f>"1"</f>
        <v>1</v>
      </c>
      <c r="G367" t="str">
        <f>""</f>
        <v/>
      </c>
      <c r="H367" t="str">
        <f>"1"</f>
        <v>1</v>
      </c>
      <c r="I367" s="2">
        <v>-1912619000</v>
      </c>
    </row>
    <row r="368" spans="1:9" x14ac:dyDescent="0.25">
      <c r="A368">
        <v>367</v>
      </c>
      <c r="B368" s="1">
        <v>44561</v>
      </c>
      <c r="C368">
        <v>14</v>
      </c>
      <c r="D368" t="str">
        <f t="shared" si="50"/>
        <v>1845</v>
      </c>
      <c r="E368" t="str">
        <f t="shared" si="51"/>
        <v>Резервы (провизии) по начисленным и просроченным комиссионным доходам</v>
      </c>
      <c r="F368" t="str">
        <f>"2"</f>
        <v>2</v>
      </c>
      <c r="G368" t="str">
        <f>""</f>
        <v/>
      </c>
      <c r="H368" t="str">
        <f>"3"</f>
        <v>3</v>
      </c>
      <c r="I368" s="2">
        <v>-113000</v>
      </c>
    </row>
    <row r="369" spans="1:9" x14ac:dyDescent="0.25">
      <c r="A369">
        <v>368</v>
      </c>
      <c r="B369" s="1">
        <v>44561</v>
      </c>
      <c r="C369">
        <v>14</v>
      </c>
      <c r="D369" t="str">
        <f>"1851"</f>
        <v>1851</v>
      </c>
      <c r="E369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369" t="str">
        <f>"1"</f>
        <v>1</v>
      </c>
      <c r="G369" t="str">
        <f>"1"</f>
        <v>1</v>
      </c>
      <c r="H369" t="str">
        <f>"1"</f>
        <v>1</v>
      </c>
      <c r="I369" s="2">
        <v>6464706068</v>
      </c>
    </row>
    <row r="370" spans="1:9" x14ac:dyDescent="0.25">
      <c r="A370">
        <v>369</v>
      </c>
      <c r="B370" s="1">
        <v>44561</v>
      </c>
      <c r="C370">
        <v>14</v>
      </c>
      <c r="D370" t="str">
        <f>"1854"</f>
        <v>1854</v>
      </c>
      <c r="E370" t="str">
        <f>"Расчеты с работниками"</f>
        <v>Расчеты с работниками</v>
      </c>
      <c r="F370" t="str">
        <f>""</f>
        <v/>
      </c>
      <c r="G370" t="str">
        <f>""</f>
        <v/>
      </c>
      <c r="H370" t="str">
        <f>""</f>
        <v/>
      </c>
      <c r="I370" s="2">
        <v>1810007</v>
      </c>
    </row>
    <row r="371" spans="1:9" x14ac:dyDescent="0.25">
      <c r="A371">
        <v>370</v>
      </c>
      <c r="B371" s="1">
        <v>44561</v>
      </c>
      <c r="C371">
        <v>14</v>
      </c>
      <c r="D371" t="str">
        <f>"1856"</f>
        <v>1856</v>
      </c>
      <c r="E371" t="str">
        <f>"Дебиторы по капитальным вложениям"</f>
        <v>Дебиторы по капитальным вложениям</v>
      </c>
      <c r="F371" t="str">
        <f>"1"</f>
        <v>1</v>
      </c>
      <c r="G371" t="str">
        <f>"6"</f>
        <v>6</v>
      </c>
      <c r="H371" t="str">
        <f>"1"</f>
        <v>1</v>
      </c>
      <c r="I371" s="2">
        <v>12202199</v>
      </c>
    </row>
    <row r="372" spans="1:9" x14ac:dyDescent="0.25">
      <c r="A372">
        <v>371</v>
      </c>
      <c r="B372" s="1">
        <v>44561</v>
      </c>
      <c r="C372">
        <v>14</v>
      </c>
      <c r="D372" t="str">
        <f>"1856"</f>
        <v>1856</v>
      </c>
      <c r="E372" t="str">
        <f>"Дебиторы по капитальным вложениям"</f>
        <v>Дебиторы по капитальным вложениям</v>
      </c>
      <c r="F372" t="str">
        <f>"1"</f>
        <v>1</v>
      </c>
      <c r="G372" t="str">
        <f>"7"</f>
        <v>7</v>
      </c>
      <c r="H372" t="str">
        <f>"1"</f>
        <v>1</v>
      </c>
      <c r="I372" s="2">
        <v>2684454264</v>
      </c>
    </row>
    <row r="373" spans="1:9" x14ac:dyDescent="0.25">
      <c r="A373">
        <v>372</v>
      </c>
      <c r="B373" s="1">
        <v>44561</v>
      </c>
      <c r="C373">
        <v>14</v>
      </c>
      <c r="D373" t="str">
        <f>"1856"</f>
        <v>1856</v>
      </c>
      <c r="E373" t="str">
        <f>"Дебиторы по капитальным вложениям"</f>
        <v>Дебиторы по капитальным вложениям</v>
      </c>
      <c r="F373" t="str">
        <f>"1"</f>
        <v>1</v>
      </c>
      <c r="G373" t="str">
        <f>"1"</f>
        <v>1</v>
      </c>
      <c r="H373" t="str">
        <f>"1"</f>
        <v>1</v>
      </c>
      <c r="I373" s="2">
        <v>10454</v>
      </c>
    </row>
    <row r="374" spans="1:9" x14ac:dyDescent="0.25">
      <c r="A374">
        <v>373</v>
      </c>
      <c r="B374" s="1">
        <v>44561</v>
      </c>
      <c r="C374">
        <v>14</v>
      </c>
      <c r="D374" t="str">
        <f>"1856"</f>
        <v>1856</v>
      </c>
      <c r="E374" t="str">
        <f>"Дебиторы по капитальным вложениям"</f>
        <v>Дебиторы по капитальным вложениям</v>
      </c>
      <c r="F374" t="str">
        <f>"1"</f>
        <v>1</v>
      </c>
      <c r="G374" t="str">
        <f>"9"</f>
        <v>9</v>
      </c>
      <c r="H374" t="str">
        <f>"1"</f>
        <v>1</v>
      </c>
      <c r="I374" s="2">
        <v>2060418</v>
      </c>
    </row>
    <row r="375" spans="1:9" x14ac:dyDescent="0.25">
      <c r="A375">
        <v>374</v>
      </c>
      <c r="B375" s="1">
        <v>44561</v>
      </c>
      <c r="C375">
        <v>14</v>
      </c>
      <c r="D375" t="str">
        <f>"1856"</f>
        <v>1856</v>
      </c>
      <c r="E375" t="str">
        <f>"Дебиторы по капитальным вложениям"</f>
        <v>Дебиторы по капитальным вложениям</v>
      </c>
      <c r="F375" t="str">
        <f>"2"</f>
        <v>2</v>
      </c>
      <c r="G375" t="str">
        <f>"7"</f>
        <v>7</v>
      </c>
      <c r="H375" t="str">
        <f>"1"</f>
        <v>1</v>
      </c>
      <c r="I375" s="2">
        <v>80404596</v>
      </c>
    </row>
    <row r="376" spans="1:9" x14ac:dyDescent="0.25">
      <c r="A376">
        <v>375</v>
      </c>
      <c r="B376" s="1">
        <v>44561</v>
      </c>
      <c r="C376">
        <v>14</v>
      </c>
      <c r="D376" t="str">
        <f>"1857"</f>
        <v>1857</v>
      </c>
      <c r="E376" t="str">
        <f>"Отложенные налоговые активы"</f>
        <v>Отложенные налоговые активы</v>
      </c>
      <c r="F376" t="str">
        <f>""</f>
        <v/>
      </c>
      <c r="G376" t="str">
        <f>""</f>
        <v/>
      </c>
      <c r="H376" t="str">
        <f>""</f>
        <v/>
      </c>
      <c r="I376" s="2">
        <v>4516316304</v>
      </c>
    </row>
    <row r="377" spans="1:9" x14ac:dyDescent="0.25">
      <c r="A377">
        <v>376</v>
      </c>
      <c r="B377" s="1">
        <v>44561</v>
      </c>
      <c r="C377">
        <v>14</v>
      </c>
      <c r="D377" t="str">
        <f t="shared" ref="D377:D394" si="52">"1860"</f>
        <v>1860</v>
      </c>
      <c r="E377" t="str">
        <f t="shared" ref="E377:E394" si="53">"Прочие дебиторы по банковской деятельности"</f>
        <v>Прочие дебиторы по банковской деятельности</v>
      </c>
      <c r="F377" t="str">
        <f>"1"</f>
        <v>1</v>
      </c>
      <c r="G377" t="str">
        <f>"4"</f>
        <v>4</v>
      </c>
      <c r="H377" t="str">
        <f>"2"</f>
        <v>2</v>
      </c>
      <c r="I377" s="2">
        <v>4843527</v>
      </c>
    </row>
    <row r="378" spans="1:9" x14ac:dyDescent="0.25">
      <c r="A378">
        <v>377</v>
      </c>
      <c r="B378" s="1">
        <v>44561</v>
      </c>
      <c r="C378">
        <v>14</v>
      </c>
      <c r="D378" t="str">
        <f t="shared" si="52"/>
        <v>1860</v>
      </c>
      <c r="E378" t="str">
        <f t="shared" si="53"/>
        <v>Прочие дебиторы по банковской деятельности</v>
      </c>
      <c r="F378" t="str">
        <f>"1"</f>
        <v>1</v>
      </c>
      <c r="G378" t="str">
        <f>"5"</f>
        <v>5</v>
      </c>
      <c r="H378" t="str">
        <f>"1"</f>
        <v>1</v>
      </c>
      <c r="I378" s="2">
        <v>358595299</v>
      </c>
    </row>
    <row r="379" spans="1:9" x14ac:dyDescent="0.25">
      <c r="A379">
        <v>378</v>
      </c>
      <c r="B379" s="1">
        <v>44561</v>
      </c>
      <c r="C379">
        <v>14</v>
      </c>
      <c r="D379" t="str">
        <f t="shared" si="52"/>
        <v>1860</v>
      </c>
      <c r="E379" t="str">
        <f t="shared" si="53"/>
        <v>Прочие дебиторы по банковской деятельности</v>
      </c>
      <c r="F379" t="str">
        <f>"2"</f>
        <v>2</v>
      </c>
      <c r="G379" t="str">
        <f>"9"</f>
        <v>9</v>
      </c>
      <c r="H379" t="str">
        <f>"1"</f>
        <v>1</v>
      </c>
      <c r="I379" s="2">
        <v>6264282</v>
      </c>
    </row>
    <row r="380" spans="1:9" x14ac:dyDescent="0.25">
      <c r="A380">
        <v>379</v>
      </c>
      <c r="B380" s="1">
        <v>44561</v>
      </c>
      <c r="C380">
        <v>14</v>
      </c>
      <c r="D380" t="str">
        <f t="shared" si="52"/>
        <v>1860</v>
      </c>
      <c r="E380" t="str">
        <f t="shared" si="53"/>
        <v>Прочие дебиторы по банковской деятельности</v>
      </c>
      <c r="F380" t="str">
        <f>"2"</f>
        <v>2</v>
      </c>
      <c r="G380" t="str">
        <f>"7"</f>
        <v>7</v>
      </c>
      <c r="H380" t="str">
        <f>"1"</f>
        <v>1</v>
      </c>
      <c r="I380" s="2">
        <v>121660483</v>
      </c>
    </row>
    <row r="381" spans="1:9" x14ac:dyDescent="0.25">
      <c r="A381">
        <v>380</v>
      </c>
      <c r="B381" s="1">
        <v>44561</v>
      </c>
      <c r="C381">
        <v>14</v>
      </c>
      <c r="D381" t="str">
        <f t="shared" si="52"/>
        <v>1860</v>
      </c>
      <c r="E381" t="str">
        <f t="shared" si="53"/>
        <v>Прочие дебиторы по банковской деятельности</v>
      </c>
      <c r="F381" t="str">
        <f>"1"</f>
        <v>1</v>
      </c>
      <c r="G381" t="str">
        <f>"9"</f>
        <v>9</v>
      </c>
      <c r="H381" t="str">
        <f>"1"</f>
        <v>1</v>
      </c>
      <c r="I381" s="2">
        <v>4208903558</v>
      </c>
    </row>
    <row r="382" spans="1:9" x14ac:dyDescent="0.25">
      <c r="A382">
        <v>381</v>
      </c>
      <c r="B382" s="1">
        <v>44561</v>
      </c>
      <c r="C382">
        <v>14</v>
      </c>
      <c r="D382" t="str">
        <f t="shared" si="52"/>
        <v>1860</v>
      </c>
      <c r="E382" t="str">
        <f t="shared" si="53"/>
        <v>Прочие дебиторы по банковской деятельности</v>
      </c>
      <c r="F382" t="str">
        <f>"2"</f>
        <v>2</v>
      </c>
      <c r="G382" t="str">
        <f>"4"</f>
        <v>4</v>
      </c>
      <c r="H382" t="str">
        <f>"2"</f>
        <v>2</v>
      </c>
      <c r="I382" s="2">
        <v>7302204</v>
      </c>
    </row>
    <row r="383" spans="1:9" x14ac:dyDescent="0.25">
      <c r="A383">
        <v>382</v>
      </c>
      <c r="B383" s="1">
        <v>44561</v>
      </c>
      <c r="C383">
        <v>14</v>
      </c>
      <c r="D383" t="str">
        <f t="shared" si="52"/>
        <v>1860</v>
      </c>
      <c r="E383" t="str">
        <f t="shared" si="53"/>
        <v>Прочие дебиторы по банковской деятельности</v>
      </c>
      <c r="F383" t="str">
        <f>"1"</f>
        <v>1</v>
      </c>
      <c r="G383" t="str">
        <f>"7"</f>
        <v>7</v>
      </c>
      <c r="H383" t="str">
        <f>"1"</f>
        <v>1</v>
      </c>
      <c r="I383" s="2">
        <v>914442259</v>
      </c>
    </row>
    <row r="384" spans="1:9" x14ac:dyDescent="0.25">
      <c r="A384">
        <v>383</v>
      </c>
      <c r="B384" s="1">
        <v>44561</v>
      </c>
      <c r="C384">
        <v>14</v>
      </c>
      <c r="D384" t="str">
        <f t="shared" si="52"/>
        <v>1860</v>
      </c>
      <c r="E384" t="str">
        <f t="shared" si="53"/>
        <v>Прочие дебиторы по банковской деятельности</v>
      </c>
      <c r="F384" t="str">
        <f>"2"</f>
        <v>2</v>
      </c>
      <c r="G384" t="str">
        <f>"9"</f>
        <v>9</v>
      </c>
      <c r="H384" t="str">
        <f>"3"</f>
        <v>3</v>
      </c>
      <c r="I384" s="2">
        <v>90328</v>
      </c>
    </row>
    <row r="385" spans="1:9" x14ac:dyDescent="0.25">
      <c r="A385">
        <v>384</v>
      </c>
      <c r="B385" s="1">
        <v>44561</v>
      </c>
      <c r="C385">
        <v>14</v>
      </c>
      <c r="D385" t="str">
        <f t="shared" si="52"/>
        <v>1860</v>
      </c>
      <c r="E385" t="str">
        <f t="shared" si="53"/>
        <v>Прочие дебиторы по банковской деятельности</v>
      </c>
      <c r="F385" t="str">
        <f>"1"</f>
        <v>1</v>
      </c>
      <c r="G385" t="str">
        <f>"9"</f>
        <v>9</v>
      </c>
      <c r="H385" t="str">
        <f>"2"</f>
        <v>2</v>
      </c>
      <c r="I385" s="2">
        <v>222439910</v>
      </c>
    </row>
    <row r="386" spans="1:9" x14ac:dyDescent="0.25">
      <c r="A386">
        <v>385</v>
      </c>
      <c r="B386" s="1">
        <v>44561</v>
      </c>
      <c r="C386">
        <v>14</v>
      </c>
      <c r="D386" t="str">
        <f t="shared" si="52"/>
        <v>1860</v>
      </c>
      <c r="E386" t="str">
        <f t="shared" si="53"/>
        <v>Прочие дебиторы по банковской деятельности</v>
      </c>
      <c r="F386" t="str">
        <f>"1"</f>
        <v>1</v>
      </c>
      <c r="G386" t="str">
        <f>"9"</f>
        <v>9</v>
      </c>
      <c r="H386" t="str">
        <f>"3"</f>
        <v>3</v>
      </c>
      <c r="I386" s="2">
        <v>1011848</v>
      </c>
    </row>
    <row r="387" spans="1:9" x14ac:dyDescent="0.25">
      <c r="A387">
        <v>386</v>
      </c>
      <c r="B387" s="1">
        <v>44561</v>
      </c>
      <c r="C387">
        <v>14</v>
      </c>
      <c r="D387" t="str">
        <f t="shared" si="52"/>
        <v>1860</v>
      </c>
      <c r="E387" t="str">
        <f t="shared" si="53"/>
        <v>Прочие дебиторы по банковской деятельности</v>
      </c>
      <c r="F387" t="str">
        <f>"1"</f>
        <v>1</v>
      </c>
      <c r="G387" t="str">
        <f>"8"</f>
        <v>8</v>
      </c>
      <c r="H387" t="str">
        <f>"1"</f>
        <v>1</v>
      </c>
      <c r="I387" s="2">
        <v>15000010</v>
      </c>
    </row>
    <row r="388" spans="1:9" x14ac:dyDescent="0.25">
      <c r="A388">
        <v>387</v>
      </c>
      <c r="B388" s="1">
        <v>44561</v>
      </c>
      <c r="C388">
        <v>14</v>
      </c>
      <c r="D388" t="str">
        <f t="shared" si="52"/>
        <v>1860</v>
      </c>
      <c r="E388" t="str">
        <f t="shared" si="53"/>
        <v>Прочие дебиторы по банковской деятельности</v>
      </c>
      <c r="F388" t="str">
        <f>"1"</f>
        <v>1</v>
      </c>
      <c r="G388" t="str">
        <f>"5"</f>
        <v>5</v>
      </c>
      <c r="H388" t="str">
        <f>"2"</f>
        <v>2</v>
      </c>
      <c r="I388" s="2">
        <v>568167</v>
      </c>
    </row>
    <row r="389" spans="1:9" x14ac:dyDescent="0.25">
      <c r="A389">
        <v>388</v>
      </c>
      <c r="B389" s="1">
        <v>44561</v>
      </c>
      <c r="C389">
        <v>14</v>
      </c>
      <c r="D389" t="str">
        <f t="shared" si="52"/>
        <v>1860</v>
      </c>
      <c r="E389" t="str">
        <f t="shared" si="53"/>
        <v>Прочие дебиторы по банковской деятельности</v>
      </c>
      <c r="F389" t="str">
        <f>"2"</f>
        <v>2</v>
      </c>
      <c r="G389" t="str">
        <f>"9"</f>
        <v>9</v>
      </c>
      <c r="H389" t="str">
        <f>"2"</f>
        <v>2</v>
      </c>
      <c r="I389" s="2">
        <v>10506762</v>
      </c>
    </row>
    <row r="390" spans="1:9" x14ac:dyDescent="0.25">
      <c r="A390">
        <v>389</v>
      </c>
      <c r="B390" s="1">
        <v>44561</v>
      </c>
      <c r="C390">
        <v>14</v>
      </c>
      <c r="D390" t="str">
        <f t="shared" si="52"/>
        <v>1860</v>
      </c>
      <c r="E390" t="str">
        <f t="shared" si="53"/>
        <v>Прочие дебиторы по банковской деятельности</v>
      </c>
      <c r="F390" t="str">
        <f>"1"</f>
        <v>1</v>
      </c>
      <c r="G390" t="str">
        <f>"3"</f>
        <v>3</v>
      </c>
      <c r="H390" t="str">
        <f>"1"</f>
        <v>1</v>
      </c>
      <c r="I390" s="2">
        <v>15000000</v>
      </c>
    </row>
    <row r="391" spans="1:9" x14ac:dyDescent="0.25">
      <c r="A391">
        <v>390</v>
      </c>
      <c r="B391" s="1">
        <v>44561</v>
      </c>
      <c r="C391">
        <v>14</v>
      </c>
      <c r="D391" t="str">
        <f t="shared" si="52"/>
        <v>1860</v>
      </c>
      <c r="E391" t="str">
        <f t="shared" si="53"/>
        <v>Прочие дебиторы по банковской деятельности</v>
      </c>
      <c r="F391" t="str">
        <f>"2"</f>
        <v>2</v>
      </c>
      <c r="G391" t="str">
        <f>"5"</f>
        <v>5</v>
      </c>
      <c r="H391" t="str">
        <f>"2"</f>
        <v>2</v>
      </c>
      <c r="I391" s="2">
        <v>182373096</v>
      </c>
    </row>
    <row r="392" spans="1:9" x14ac:dyDescent="0.25">
      <c r="A392">
        <v>391</v>
      </c>
      <c r="B392" s="1">
        <v>44561</v>
      </c>
      <c r="C392">
        <v>14</v>
      </c>
      <c r="D392" t="str">
        <f t="shared" si="52"/>
        <v>1860</v>
      </c>
      <c r="E392" t="str">
        <f t="shared" si="53"/>
        <v>Прочие дебиторы по банковской деятельности</v>
      </c>
      <c r="F392" t="str">
        <f>"1"</f>
        <v>1</v>
      </c>
      <c r="G392" t="str">
        <f>"7"</f>
        <v>7</v>
      </c>
      <c r="H392" t="str">
        <f>"2"</f>
        <v>2</v>
      </c>
      <c r="I392" s="2">
        <v>4958063446</v>
      </c>
    </row>
    <row r="393" spans="1:9" x14ac:dyDescent="0.25">
      <c r="A393">
        <v>392</v>
      </c>
      <c r="B393" s="1">
        <v>44561</v>
      </c>
      <c r="C393">
        <v>14</v>
      </c>
      <c r="D393" t="str">
        <f t="shared" si="52"/>
        <v>1860</v>
      </c>
      <c r="E393" t="str">
        <f t="shared" si="53"/>
        <v>Прочие дебиторы по банковской деятельности</v>
      </c>
      <c r="F393" t="str">
        <f>"1"</f>
        <v>1</v>
      </c>
      <c r="G393" t="str">
        <f>"4"</f>
        <v>4</v>
      </c>
      <c r="H393" t="str">
        <f>"1"</f>
        <v>1</v>
      </c>
      <c r="I393" s="2">
        <v>5084992000</v>
      </c>
    </row>
    <row r="394" spans="1:9" x14ac:dyDescent="0.25">
      <c r="A394">
        <v>393</v>
      </c>
      <c r="B394" s="1">
        <v>44561</v>
      </c>
      <c r="C394">
        <v>14</v>
      </c>
      <c r="D394" t="str">
        <f t="shared" si="52"/>
        <v>1860</v>
      </c>
      <c r="E394" t="str">
        <f t="shared" si="53"/>
        <v>Прочие дебиторы по банковской деятельности</v>
      </c>
      <c r="F394" t="str">
        <f>"2"</f>
        <v>2</v>
      </c>
      <c r="G394" t="str">
        <f>"7"</f>
        <v>7</v>
      </c>
      <c r="H394" t="str">
        <f>"2"</f>
        <v>2</v>
      </c>
      <c r="I394" s="2">
        <v>355281</v>
      </c>
    </row>
    <row r="395" spans="1:9" x14ac:dyDescent="0.25">
      <c r="A395">
        <v>394</v>
      </c>
      <c r="B395" s="1">
        <v>44561</v>
      </c>
      <c r="C395">
        <v>14</v>
      </c>
      <c r="D395" t="str">
        <f>"1861"</f>
        <v>1861</v>
      </c>
      <c r="E395" t="str">
        <f>"Дебиторы по гарантиям"</f>
        <v>Дебиторы по гарантиям</v>
      </c>
      <c r="F395" t="str">
        <f>"1"</f>
        <v>1</v>
      </c>
      <c r="G395" t="str">
        <f>"7"</f>
        <v>7</v>
      </c>
      <c r="H395" t="str">
        <f>"1"</f>
        <v>1</v>
      </c>
      <c r="I395" s="2">
        <v>330405520</v>
      </c>
    </row>
    <row r="396" spans="1:9" x14ac:dyDescent="0.25">
      <c r="A396">
        <v>395</v>
      </c>
      <c r="B396" s="1">
        <v>44561</v>
      </c>
      <c r="C396">
        <v>14</v>
      </c>
      <c r="D396" t="str">
        <f>"1861"</f>
        <v>1861</v>
      </c>
      <c r="E396" t="str">
        <f>"Дебиторы по гарантиям"</f>
        <v>Дебиторы по гарантиям</v>
      </c>
      <c r="F396" t="str">
        <f>"1"</f>
        <v>1</v>
      </c>
      <c r="G396" t="str">
        <f>"8"</f>
        <v>8</v>
      </c>
      <c r="H396" t="str">
        <f>"1"</f>
        <v>1</v>
      </c>
      <c r="I396" s="2">
        <v>10964444</v>
      </c>
    </row>
    <row r="397" spans="1:9" x14ac:dyDescent="0.25">
      <c r="A397">
        <v>396</v>
      </c>
      <c r="B397" s="1">
        <v>44561</v>
      </c>
      <c r="C397">
        <v>14</v>
      </c>
      <c r="D397" t="str">
        <f>"1861"</f>
        <v>1861</v>
      </c>
      <c r="E397" t="str">
        <f>"Дебиторы по гарантиям"</f>
        <v>Дебиторы по гарантиям</v>
      </c>
      <c r="F397" t="str">
        <f>"1"</f>
        <v>1</v>
      </c>
      <c r="G397" t="str">
        <f>"9"</f>
        <v>9</v>
      </c>
      <c r="H397" t="str">
        <f>"1"</f>
        <v>1</v>
      </c>
      <c r="I397" s="2">
        <v>2016312</v>
      </c>
    </row>
    <row r="398" spans="1:9" x14ac:dyDescent="0.25">
      <c r="A398">
        <v>397</v>
      </c>
      <c r="B398" s="1">
        <v>44561</v>
      </c>
      <c r="C398">
        <v>14</v>
      </c>
      <c r="D398" t="str">
        <f>"1861"</f>
        <v>1861</v>
      </c>
      <c r="E398" t="str">
        <f>"Дебиторы по гарантиям"</f>
        <v>Дебиторы по гарантиям</v>
      </c>
      <c r="F398" t="str">
        <f>"1"</f>
        <v>1</v>
      </c>
      <c r="G398" t="str">
        <f>"7"</f>
        <v>7</v>
      </c>
      <c r="H398" t="str">
        <f>"2"</f>
        <v>2</v>
      </c>
      <c r="I398" s="2">
        <v>666511298</v>
      </c>
    </row>
    <row r="399" spans="1:9" x14ac:dyDescent="0.25">
      <c r="A399">
        <v>398</v>
      </c>
      <c r="B399" s="1">
        <v>44561</v>
      </c>
      <c r="C399">
        <v>14</v>
      </c>
      <c r="D399" t="str">
        <f t="shared" ref="D399:D408" si="54">"1867"</f>
        <v>1867</v>
      </c>
      <c r="E399" t="str">
        <f t="shared" ref="E399:E408" si="55">"Прочие дебиторы по неосновной деятельности"</f>
        <v>Прочие дебиторы по неосновной деятельности</v>
      </c>
      <c r="F399" t="str">
        <f>"2"</f>
        <v>2</v>
      </c>
      <c r="G399" t="str">
        <f>"9"</f>
        <v>9</v>
      </c>
      <c r="H399" t="str">
        <f t="shared" ref="H399:H408" si="56">"1"</f>
        <v>1</v>
      </c>
      <c r="I399" s="2">
        <v>48223000</v>
      </c>
    </row>
    <row r="400" spans="1:9" x14ac:dyDescent="0.25">
      <c r="A400">
        <v>399</v>
      </c>
      <c r="B400" s="1">
        <v>44561</v>
      </c>
      <c r="C400">
        <v>14</v>
      </c>
      <c r="D400" t="str">
        <f t="shared" si="54"/>
        <v>1867</v>
      </c>
      <c r="E400" t="str">
        <f t="shared" si="55"/>
        <v>Прочие дебиторы по неосновной деятельности</v>
      </c>
      <c r="F400" t="str">
        <f>"1"</f>
        <v>1</v>
      </c>
      <c r="G400" t="str">
        <f>"6"</f>
        <v>6</v>
      </c>
      <c r="H400" t="str">
        <f t="shared" si="56"/>
        <v>1</v>
      </c>
      <c r="I400" s="2">
        <v>15988821</v>
      </c>
    </row>
    <row r="401" spans="1:9" x14ac:dyDescent="0.25">
      <c r="A401">
        <v>400</v>
      </c>
      <c r="B401" s="1">
        <v>44561</v>
      </c>
      <c r="C401">
        <v>14</v>
      </c>
      <c r="D401" t="str">
        <f t="shared" si="54"/>
        <v>1867</v>
      </c>
      <c r="E401" t="str">
        <f t="shared" si="55"/>
        <v>Прочие дебиторы по неосновной деятельности</v>
      </c>
      <c r="F401" t="str">
        <f>"1"</f>
        <v>1</v>
      </c>
      <c r="G401" t="str">
        <f>"1"</f>
        <v>1</v>
      </c>
      <c r="H401" t="str">
        <f t="shared" si="56"/>
        <v>1</v>
      </c>
      <c r="I401" s="2">
        <v>2711000</v>
      </c>
    </row>
    <row r="402" spans="1:9" x14ac:dyDescent="0.25">
      <c r="A402">
        <v>401</v>
      </c>
      <c r="B402" s="1">
        <v>44561</v>
      </c>
      <c r="C402">
        <v>14</v>
      </c>
      <c r="D402" t="str">
        <f t="shared" si="54"/>
        <v>1867</v>
      </c>
      <c r="E402" t="str">
        <f t="shared" si="55"/>
        <v>Прочие дебиторы по неосновной деятельности</v>
      </c>
      <c r="F402" t="str">
        <f>"2"</f>
        <v>2</v>
      </c>
      <c r="G402" t="str">
        <f>"7"</f>
        <v>7</v>
      </c>
      <c r="H402" t="str">
        <f t="shared" si="56"/>
        <v>1</v>
      </c>
      <c r="I402" s="2">
        <v>122314900</v>
      </c>
    </row>
    <row r="403" spans="1:9" x14ac:dyDescent="0.25">
      <c r="A403">
        <v>402</v>
      </c>
      <c r="B403" s="1">
        <v>44561</v>
      </c>
      <c r="C403">
        <v>14</v>
      </c>
      <c r="D403" t="str">
        <f t="shared" si="54"/>
        <v>1867</v>
      </c>
      <c r="E403" t="str">
        <f t="shared" si="55"/>
        <v>Прочие дебиторы по неосновной деятельности</v>
      </c>
      <c r="F403" t="str">
        <f t="shared" ref="F403:F410" si="57">"1"</f>
        <v>1</v>
      </c>
      <c r="G403" t="str">
        <f>"8"</f>
        <v>8</v>
      </c>
      <c r="H403" t="str">
        <f t="shared" si="56"/>
        <v>1</v>
      </c>
      <c r="I403" s="2">
        <v>4262871</v>
      </c>
    </row>
    <row r="404" spans="1:9" x14ac:dyDescent="0.25">
      <c r="A404">
        <v>403</v>
      </c>
      <c r="B404" s="1">
        <v>44561</v>
      </c>
      <c r="C404">
        <v>14</v>
      </c>
      <c r="D404" t="str">
        <f t="shared" si="54"/>
        <v>1867</v>
      </c>
      <c r="E404" t="str">
        <f t="shared" si="55"/>
        <v>Прочие дебиторы по неосновной деятельности</v>
      </c>
      <c r="F404" t="str">
        <f t="shared" si="57"/>
        <v>1</v>
      </c>
      <c r="G404" t="str">
        <f>"7"</f>
        <v>7</v>
      </c>
      <c r="H404" t="str">
        <f t="shared" si="56"/>
        <v>1</v>
      </c>
      <c r="I404" s="2">
        <v>1676398699</v>
      </c>
    </row>
    <row r="405" spans="1:9" x14ac:dyDescent="0.25">
      <c r="A405">
        <v>404</v>
      </c>
      <c r="B405" s="1">
        <v>44561</v>
      </c>
      <c r="C405">
        <v>14</v>
      </c>
      <c r="D405" t="str">
        <f t="shared" si="54"/>
        <v>1867</v>
      </c>
      <c r="E405" t="str">
        <f t="shared" si="55"/>
        <v>Прочие дебиторы по неосновной деятельности</v>
      </c>
      <c r="F405" t="str">
        <f t="shared" si="57"/>
        <v>1</v>
      </c>
      <c r="G405" t="str">
        <f>"9"</f>
        <v>9</v>
      </c>
      <c r="H405" t="str">
        <f t="shared" si="56"/>
        <v>1</v>
      </c>
      <c r="I405" s="2">
        <v>81740104</v>
      </c>
    </row>
    <row r="406" spans="1:9" x14ac:dyDescent="0.25">
      <c r="A406">
        <v>405</v>
      </c>
      <c r="B406" s="1">
        <v>44561</v>
      </c>
      <c r="C406">
        <v>14</v>
      </c>
      <c r="D406" t="str">
        <f t="shared" si="54"/>
        <v>1867</v>
      </c>
      <c r="E406" t="str">
        <f t="shared" si="55"/>
        <v>Прочие дебиторы по неосновной деятельности</v>
      </c>
      <c r="F406" t="str">
        <f t="shared" si="57"/>
        <v>1</v>
      </c>
      <c r="G406" t="str">
        <f>"5"</f>
        <v>5</v>
      </c>
      <c r="H406" t="str">
        <f t="shared" si="56"/>
        <v>1</v>
      </c>
      <c r="I406" s="2">
        <v>26135743</v>
      </c>
    </row>
    <row r="407" spans="1:9" x14ac:dyDescent="0.25">
      <c r="A407">
        <v>406</v>
      </c>
      <c r="B407" s="1">
        <v>44561</v>
      </c>
      <c r="C407">
        <v>14</v>
      </c>
      <c r="D407" t="str">
        <f t="shared" si="54"/>
        <v>1867</v>
      </c>
      <c r="E407" t="str">
        <f t="shared" si="55"/>
        <v>Прочие дебиторы по неосновной деятельности</v>
      </c>
      <c r="F407" t="str">
        <f t="shared" si="57"/>
        <v>1</v>
      </c>
      <c r="G407" t="str">
        <f>"2"</f>
        <v>2</v>
      </c>
      <c r="H407" t="str">
        <f t="shared" si="56"/>
        <v>1</v>
      </c>
      <c r="I407" s="2">
        <v>304559</v>
      </c>
    </row>
    <row r="408" spans="1:9" x14ac:dyDescent="0.25">
      <c r="A408">
        <v>407</v>
      </c>
      <c r="B408" s="1">
        <v>44561</v>
      </c>
      <c r="C408">
        <v>14</v>
      </c>
      <c r="D408" t="str">
        <f t="shared" si="54"/>
        <v>1867</v>
      </c>
      <c r="E408" t="str">
        <f t="shared" si="55"/>
        <v>Прочие дебиторы по неосновной деятельности</v>
      </c>
      <c r="F408" t="str">
        <f t="shared" si="57"/>
        <v>1</v>
      </c>
      <c r="G408" t="str">
        <f>"4"</f>
        <v>4</v>
      </c>
      <c r="H408" t="str">
        <f t="shared" si="56"/>
        <v>1</v>
      </c>
      <c r="I408" s="2">
        <v>6355601962</v>
      </c>
    </row>
    <row r="409" spans="1:9" x14ac:dyDescent="0.25">
      <c r="A409">
        <v>408</v>
      </c>
      <c r="B409" s="1">
        <v>44561</v>
      </c>
      <c r="C409">
        <v>14</v>
      </c>
      <c r="D409" t="str">
        <f>"1870"</f>
        <v>1870</v>
      </c>
      <c r="E409" t="str">
        <f>"Прочие транзитные счета"</f>
        <v>Прочие транзитные счета</v>
      </c>
      <c r="F409" t="str">
        <f t="shared" si="57"/>
        <v>1</v>
      </c>
      <c r="G409" t="str">
        <f>"4"</f>
        <v>4</v>
      </c>
      <c r="H409" t="str">
        <f>"2"</f>
        <v>2</v>
      </c>
      <c r="I409" s="2">
        <v>428139</v>
      </c>
    </row>
    <row r="410" spans="1:9" x14ac:dyDescent="0.25">
      <c r="A410">
        <v>409</v>
      </c>
      <c r="B410" s="1">
        <v>44561</v>
      </c>
      <c r="C410">
        <v>14</v>
      </c>
      <c r="D410" t="str">
        <f>"1870"</f>
        <v>1870</v>
      </c>
      <c r="E410" t="str">
        <f>"Прочие транзитные счета"</f>
        <v>Прочие транзитные счета</v>
      </c>
      <c r="F410" t="str">
        <f t="shared" si="57"/>
        <v>1</v>
      </c>
      <c r="G410" t="str">
        <f>"4"</f>
        <v>4</v>
      </c>
      <c r="H410" t="str">
        <f>"1"</f>
        <v>1</v>
      </c>
      <c r="I410" s="2">
        <v>202015466</v>
      </c>
    </row>
    <row r="411" spans="1:9" x14ac:dyDescent="0.25">
      <c r="A411">
        <v>410</v>
      </c>
      <c r="B411" s="1">
        <v>44561</v>
      </c>
      <c r="C411">
        <v>14</v>
      </c>
      <c r="D411" t="str">
        <f>"1870"</f>
        <v>1870</v>
      </c>
      <c r="E411" t="str">
        <f>"Прочие транзитные счета"</f>
        <v>Прочие транзитные счета</v>
      </c>
      <c r="F411" t="str">
        <f>"2"</f>
        <v>2</v>
      </c>
      <c r="G411" t="str">
        <f>"7"</f>
        <v>7</v>
      </c>
      <c r="H411" t="str">
        <f>"2"</f>
        <v>2</v>
      </c>
      <c r="I411" s="2">
        <v>181821031</v>
      </c>
    </row>
    <row r="412" spans="1:9" x14ac:dyDescent="0.25">
      <c r="A412">
        <v>411</v>
      </c>
      <c r="B412" s="1">
        <v>44561</v>
      </c>
      <c r="C412">
        <v>14</v>
      </c>
      <c r="D412" t="str">
        <f>"1871"</f>
        <v>1871</v>
      </c>
      <c r="E412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12" t="str">
        <f>"2"</f>
        <v>2</v>
      </c>
      <c r="G412" t="str">
        <f>""</f>
        <v/>
      </c>
      <c r="H412" t="str">
        <f>"2"</f>
        <v>2</v>
      </c>
      <c r="I412" s="2">
        <v>848995041</v>
      </c>
    </row>
    <row r="413" spans="1:9" x14ac:dyDescent="0.25">
      <c r="A413">
        <v>412</v>
      </c>
      <c r="B413" s="1">
        <v>44561</v>
      </c>
      <c r="C413">
        <v>14</v>
      </c>
      <c r="D413" t="str">
        <f>"1871"</f>
        <v>1871</v>
      </c>
      <c r="E413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13" t="str">
        <f>"2"</f>
        <v>2</v>
      </c>
      <c r="G413" t="str">
        <f>""</f>
        <v/>
      </c>
      <c r="H413" t="str">
        <f>"1"</f>
        <v>1</v>
      </c>
      <c r="I413" s="2">
        <v>21592722</v>
      </c>
    </row>
    <row r="414" spans="1:9" x14ac:dyDescent="0.25">
      <c r="A414">
        <v>413</v>
      </c>
      <c r="B414" s="1">
        <v>44561</v>
      </c>
      <c r="C414">
        <v>14</v>
      </c>
      <c r="D414" t="str">
        <f>"1871"</f>
        <v>1871</v>
      </c>
      <c r="E414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14" t="str">
        <f>"2"</f>
        <v>2</v>
      </c>
      <c r="G414" t="str">
        <f>""</f>
        <v/>
      </c>
      <c r="H414" t="str">
        <f>"3"</f>
        <v>3</v>
      </c>
      <c r="I414" s="2">
        <v>1305834</v>
      </c>
    </row>
    <row r="415" spans="1:9" x14ac:dyDescent="0.25">
      <c r="A415">
        <v>414</v>
      </c>
      <c r="B415" s="1">
        <v>44561</v>
      </c>
      <c r="C415">
        <v>14</v>
      </c>
      <c r="D415" t="str">
        <f>"1876"</f>
        <v>1876</v>
      </c>
      <c r="E415" t="str">
        <f>"Резервы (провизии) по прочей банковской деятельности"</f>
        <v>Резервы (провизии) по прочей банковской деятельности</v>
      </c>
      <c r="F415" t="str">
        <f>"1"</f>
        <v>1</v>
      </c>
      <c r="G415" t="str">
        <f>"3"</f>
        <v>3</v>
      </c>
      <c r="H415" t="str">
        <f>"1"</f>
        <v>1</v>
      </c>
      <c r="I415" s="2">
        <v>-15000000</v>
      </c>
    </row>
    <row r="416" spans="1:9" x14ac:dyDescent="0.25">
      <c r="A416">
        <v>415</v>
      </c>
      <c r="B416" s="1">
        <v>44561</v>
      </c>
      <c r="C416">
        <v>14</v>
      </c>
      <c r="D416" t="str">
        <f>"1876"</f>
        <v>1876</v>
      </c>
      <c r="E416" t="str">
        <f>"Резервы (провизии) по прочей банковской деятельности"</f>
        <v>Резервы (провизии) по прочей банковской деятельности</v>
      </c>
      <c r="F416" t="str">
        <f>"1"</f>
        <v>1</v>
      </c>
      <c r="G416" t="str">
        <f>"7"</f>
        <v>7</v>
      </c>
      <c r="H416" t="str">
        <f>"1"</f>
        <v>1</v>
      </c>
      <c r="I416" s="2">
        <v>-62897248</v>
      </c>
    </row>
    <row r="417" spans="1:9" x14ac:dyDescent="0.25">
      <c r="A417">
        <v>416</v>
      </c>
      <c r="B417" s="1">
        <v>44561</v>
      </c>
      <c r="C417">
        <v>14</v>
      </c>
      <c r="D417" t="str">
        <f>"1876"</f>
        <v>1876</v>
      </c>
      <c r="E417" t="str">
        <f>"Резервы (провизии) по прочей банковской деятельности"</f>
        <v>Резервы (провизии) по прочей банковской деятельности</v>
      </c>
      <c r="F417" t="str">
        <f>"1"</f>
        <v>1</v>
      </c>
      <c r="G417" t="str">
        <f>"9"</f>
        <v>9</v>
      </c>
      <c r="H417" t="str">
        <f>"1"</f>
        <v>1</v>
      </c>
      <c r="I417" s="2">
        <v>-63844000</v>
      </c>
    </row>
    <row r="418" spans="1:9" x14ac:dyDescent="0.25">
      <c r="A418">
        <v>417</v>
      </c>
      <c r="B418" s="1">
        <v>44561</v>
      </c>
      <c r="C418">
        <v>14</v>
      </c>
      <c r="D418" t="str">
        <f>"1876"</f>
        <v>1876</v>
      </c>
      <c r="E418" t="str">
        <f>"Резервы (провизии) по прочей банковской деятельности"</f>
        <v>Резервы (провизии) по прочей банковской деятельности</v>
      </c>
      <c r="F418" t="str">
        <f>"1"</f>
        <v>1</v>
      </c>
      <c r="G418" t="str">
        <f>"4"</f>
        <v>4</v>
      </c>
      <c r="H418" t="str">
        <f>"1"</f>
        <v>1</v>
      </c>
      <c r="I418" s="2">
        <v>-2159489</v>
      </c>
    </row>
    <row r="419" spans="1:9" x14ac:dyDescent="0.25">
      <c r="A419">
        <v>418</v>
      </c>
      <c r="B419" s="1">
        <v>44561</v>
      </c>
      <c r="C419">
        <v>14</v>
      </c>
      <c r="D419" t="str">
        <f t="shared" ref="D419:D438" si="58">"1877"</f>
        <v>1877</v>
      </c>
      <c r="E419" t="str">
        <f t="shared" ref="E419:E438" si="59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19" t="str">
        <f>"2"</f>
        <v>2</v>
      </c>
      <c r="G419" t="str">
        <f>"9"</f>
        <v>9</v>
      </c>
      <c r="H419" t="str">
        <f>"1"</f>
        <v>1</v>
      </c>
      <c r="I419" s="2">
        <v>-1127566</v>
      </c>
    </row>
    <row r="420" spans="1:9" x14ac:dyDescent="0.25">
      <c r="A420">
        <v>419</v>
      </c>
      <c r="B420" s="1">
        <v>44561</v>
      </c>
      <c r="C420">
        <v>14</v>
      </c>
      <c r="D420" t="str">
        <f t="shared" si="58"/>
        <v>1877</v>
      </c>
      <c r="E420" t="str">
        <f t="shared" si="59"/>
        <v>Резервы (провизии) по дебиторской задолженности, связанной с банковской деятельностью</v>
      </c>
      <c r="F420" t="str">
        <f>"1"</f>
        <v>1</v>
      </c>
      <c r="G420" t="str">
        <f>"4"</f>
        <v>4</v>
      </c>
      <c r="H420" t="str">
        <f>"2"</f>
        <v>2</v>
      </c>
      <c r="I420" s="2">
        <v>-4915506</v>
      </c>
    </row>
    <row r="421" spans="1:9" x14ac:dyDescent="0.25">
      <c r="A421">
        <v>420</v>
      </c>
      <c r="B421" s="1">
        <v>44561</v>
      </c>
      <c r="C421">
        <v>14</v>
      </c>
      <c r="D421" t="str">
        <f t="shared" si="58"/>
        <v>1877</v>
      </c>
      <c r="E421" t="str">
        <f t="shared" si="59"/>
        <v>Резервы (провизии) по дебиторской задолженности, связанной с банковской деятельностью</v>
      </c>
      <c r="F421" t="str">
        <f>"1"</f>
        <v>1</v>
      </c>
      <c r="G421" t="str">
        <f>"8"</f>
        <v>8</v>
      </c>
      <c r="H421" t="str">
        <f>"1"</f>
        <v>1</v>
      </c>
      <c r="I421" s="2">
        <v>-25964446</v>
      </c>
    </row>
    <row r="422" spans="1:9" x14ac:dyDescent="0.25">
      <c r="A422">
        <v>421</v>
      </c>
      <c r="B422" s="1">
        <v>44561</v>
      </c>
      <c r="C422">
        <v>14</v>
      </c>
      <c r="D422" t="str">
        <f t="shared" si="58"/>
        <v>1877</v>
      </c>
      <c r="E422" t="str">
        <f t="shared" si="59"/>
        <v>Резервы (провизии) по дебиторской задолженности, связанной с банковской деятельностью</v>
      </c>
      <c r="F422" t="str">
        <f>"1"</f>
        <v>1</v>
      </c>
      <c r="G422" t="str">
        <f>"7"</f>
        <v>7</v>
      </c>
      <c r="H422" t="str">
        <f>"2"</f>
        <v>2</v>
      </c>
      <c r="I422" s="2">
        <v>-5624542251</v>
      </c>
    </row>
    <row r="423" spans="1:9" x14ac:dyDescent="0.25">
      <c r="A423">
        <v>422</v>
      </c>
      <c r="B423" s="1">
        <v>44561</v>
      </c>
      <c r="C423">
        <v>14</v>
      </c>
      <c r="D423" t="str">
        <f t="shared" si="58"/>
        <v>1877</v>
      </c>
      <c r="E423" t="str">
        <f t="shared" si="59"/>
        <v>Резервы (провизии) по дебиторской задолженности, связанной с банковской деятельностью</v>
      </c>
      <c r="F423" t="str">
        <f>"2"</f>
        <v>2</v>
      </c>
      <c r="G423" t="str">
        <f>"4"</f>
        <v>4</v>
      </c>
      <c r="H423" t="str">
        <f>"2"</f>
        <v>2</v>
      </c>
      <c r="I423" s="2">
        <v>-429723</v>
      </c>
    </row>
    <row r="424" spans="1:9" x14ac:dyDescent="0.25">
      <c r="A424">
        <v>423</v>
      </c>
      <c r="B424" s="1">
        <v>44561</v>
      </c>
      <c r="C424">
        <v>14</v>
      </c>
      <c r="D424" t="str">
        <f t="shared" si="58"/>
        <v>1877</v>
      </c>
      <c r="E424" t="str">
        <f t="shared" si="59"/>
        <v>Резервы (провизии) по дебиторской задолженности, связанной с банковской деятельностью</v>
      </c>
      <c r="F424" t="str">
        <f>"1"</f>
        <v>1</v>
      </c>
      <c r="G424" t="str">
        <f>"9"</f>
        <v>9</v>
      </c>
      <c r="H424" t="str">
        <f>"2"</f>
        <v>2</v>
      </c>
      <c r="I424" s="2">
        <v>-143454000</v>
      </c>
    </row>
    <row r="425" spans="1:9" x14ac:dyDescent="0.25">
      <c r="A425">
        <v>424</v>
      </c>
      <c r="B425" s="1">
        <v>44561</v>
      </c>
      <c r="C425">
        <v>14</v>
      </c>
      <c r="D425" t="str">
        <f t="shared" si="58"/>
        <v>1877</v>
      </c>
      <c r="E425" t="str">
        <f t="shared" si="59"/>
        <v>Резервы (провизии) по дебиторской задолженности, связанной с банковской деятельностью</v>
      </c>
      <c r="F425" t="str">
        <f>"1"</f>
        <v>1</v>
      </c>
      <c r="G425" t="str">
        <f>"7"</f>
        <v>7</v>
      </c>
      <c r="H425" t="str">
        <f>"1"</f>
        <v>1</v>
      </c>
      <c r="I425" s="2">
        <v>-748207000</v>
      </c>
    </row>
    <row r="426" spans="1:9" x14ac:dyDescent="0.25">
      <c r="A426">
        <v>425</v>
      </c>
      <c r="B426" s="1">
        <v>44561</v>
      </c>
      <c r="C426">
        <v>14</v>
      </c>
      <c r="D426" t="str">
        <f t="shared" si="58"/>
        <v>1877</v>
      </c>
      <c r="E426" t="str">
        <f t="shared" si="59"/>
        <v>Резервы (провизии) по дебиторской задолженности, связанной с банковской деятельностью</v>
      </c>
      <c r="F426" t="str">
        <f>"2"</f>
        <v>2</v>
      </c>
      <c r="G426" t="str">
        <f>"9"</f>
        <v>9</v>
      </c>
      <c r="H426" t="str">
        <f>"2"</f>
        <v>2</v>
      </c>
      <c r="I426" s="2">
        <v>-1644402</v>
      </c>
    </row>
    <row r="427" spans="1:9" x14ac:dyDescent="0.25">
      <c r="A427">
        <v>426</v>
      </c>
      <c r="B427" s="1">
        <v>44561</v>
      </c>
      <c r="C427">
        <v>14</v>
      </c>
      <c r="D427" t="str">
        <f t="shared" si="58"/>
        <v>1877</v>
      </c>
      <c r="E427" t="str">
        <f t="shared" si="59"/>
        <v>Резервы (провизии) по дебиторской задолженности, связанной с банковской деятельностью</v>
      </c>
      <c r="F427" t="str">
        <f>"2"</f>
        <v>2</v>
      </c>
      <c r="G427" t="str">
        <f>"5"</f>
        <v>5</v>
      </c>
      <c r="H427" t="str">
        <f>"1"</f>
        <v>1</v>
      </c>
      <c r="I427" s="2">
        <v>-1709686</v>
      </c>
    </row>
    <row r="428" spans="1:9" x14ac:dyDescent="0.25">
      <c r="A428">
        <v>427</v>
      </c>
      <c r="B428" s="1">
        <v>44561</v>
      </c>
      <c r="C428">
        <v>14</v>
      </c>
      <c r="D428" t="str">
        <f t="shared" si="58"/>
        <v>1877</v>
      </c>
      <c r="E428" t="str">
        <f t="shared" si="59"/>
        <v>Резервы (провизии) по дебиторской задолженности, связанной с банковской деятельностью</v>
      </c>
      <c r="F428" t="str">
        <f>"2"</f>
        <v>2</v>
      </c>
      <c r="G428" t="str">
        <f>"5"</f>
        <v>5</v>
      </c>
      <c r="H428" t="str">
        <f>"2"</f>
        <v>2</v>
      </c>
      <c r="I428" s="2">
        <v>-182373096</v>
      </c>
    </row>
    <row r="429" spans="1:9" x14ac:dyDescent="0.25">
      <c r="A429">
        <v>428</v>
      </c>
      <c r="B429" s="1">
        <v>44561</v>
      </c>
      <c r="C429">
        <v>14</v>
      </c>
      <c r="D429" t="str">
        <f t="shared" si="58"/>
        <v>1877</v>
      </c>
      <c r="E429" t="str">
        <f t="shared" si="59"/>
        <v>Резервы (провизии) по дебиторской задолженности, связанной с банковской деятельностью</v>
      </c>
      <c r="F429" t="str">
        <f>"1"</f>
        <v>1</v>
      </c>
      <c r="G429" t="str">
        <f>"4"</f>
        <v>4</v>
      </c>
      <c r="H429" t="str">
        <f>"3"</f>
        <v>3</v>
      </c>
      <c r="I429" s="2">
        <v>-17</v>
      </c>
    </row>
    <row r="430" spans="1:9" x14ac:dyDescent="0.25">
      <c r="A430">
        <v>429</v>
      </c>
      <c r="B430" s="1">
        <v>44561</v>
      </c>
      <c r="C430">
        <v>14</v>
      </c>
      <c r="D430" t="str">
        <f t="shared" si="58"/>
        <v>1877</v>
      </c>
      <c r="E430" t="str">
        <f t="shared" si="59"/>
        <v>Резервы (провизии) по дебиторской задолженности, связанной с банковской деятельностью</v>
      </c>
      <c r="F430" t="str">
        <f>"1"</f>
        <v>1</v>
      </c>
      <c r="G430" t="str">
        <f>"4"</f>
        <v>4</v>
      </c>
      <c r="H430" t="str">
        <f>"1"</f>
        <v>1</v>
      </c>
      <c r="I430" s="2">
        <v>-6223472591</v>
      </c>
    </row>
    <row r="431" spans="1:9" x14ac:dyDescent="0.25">
      <c r="A431">
        <v>430</v>
      </c>
      <c r="B431" s="1">
        <v>44561</v>
      </c>
      <c r="C431">
        <v>14</v>
      </c>
      <c r="D431" t="str">
        <f t="shared" si="58"/>
        <v>1877</v>
      </c>
      <c r="E431" t="str">
        <f t="shared" si="59"/>
        <v>Резервы (провизии) по дебиторской задолженности, связанной с банковской деятельностью</v>
      </c>
      <c r="F431" t="str">
        <f>"2"</f>
        <v>2</v>
      </c>
      <c r="G431" t="str">
        <f>"9"</f>
        <v>9</v>
      </c>
      <c r="H431" t="str">
        <f>"3"</f>
        <v>3</v>
      </c>
      <c r="I431" s="2">
        <v>-13947</v>
      </c>
    </row>
    <row r="432" spans="1:9" x14ac:dyDescent="0.25">
      <c r="A432">
        <v>431</v>
      </c>
      <c r="B432" s="1">
        <v>44561</v>
      </c>
      <c r="C432">
        <v>14</v>
      </c>
      <c r="D432" t="str">
        <f t="shared" si="58"/>
        <v>1877</v>
      </c>
      <c r="E432" t="str">
        <f t="shared" si="59"/>
        <v>Резервы (провизии) по дебиторской задолженности, связанной с банковской деятельностью</v>
      </c>
      <c r="F432" t="str">
        <f>"1"</f>
        <v>1</v>
      </c>
      <c r="G432" t="str">
        <f>"9"</f>
        <v>9</v>
      </c>
      <c r="H432" t="str">
        <f>"1"</f>
        <v>1</v>
      </c>
      <c r="I432" s="2">
        <v>-1514777014</v>
      </c>
    </row>
    <row r="433" spans="1:9" x14ac:dyDescent="0.25">
      <c r="A433">
        <v>432</v>
      </c>
      <c r="B433" s="1">
        <v>44561</v>
      </c>
      <c r="C433">
        <v>14</v>
      </c>
      <c r="D433" t="str">
        <f t="shared" si="58"/>
        <v>1877</v>
      </c>
      <c r="E433" t="str">
        <f t="shared" si="59"/>
        <v>Резервы (провизии) по дебиторской задолженности, связанной с банковской деятельностью</v>
      </c>
      <c r="F433" t="str">
        <f>"1"</f>
        <v>1</v>
      </c>
      <c r="G433" t="str">
        <f>"5"</f>
        <v>5</v>
      </c>
      <c r="H433" t="str">
        <f>"2"</f>
        <v>2</v>
      </c>
      <c r="I433" s="2">
        <v>-1582072</v>
      </c>
    </row>
    <row r="434" spans="1:9" x14ac:dyDescent="0.25">
      <c r="A434">
        <v>433</v>
      </c>
      <c r="B434" s="1">
        <v>44561</v>
      </c>
      <c r="C434">
        <v>14</v>
      </c>
      <c r="D434" t="str">
        <f t="shared" si="58"/>
        <v>1877</v>
      </c>
      <c r="E434" t="str">
        <f t="shared" si="59"/>
        <v>Резервы (провизии) по дебиторской задолженности, связанной с банковской деятельностью</v>
      </c>
      <c r="F434" t="str">
        <f>"2"</f>
        <v>2</v>
      </c>
      <c r="G434" t="str">
        <f>"7"</f>
        <v>7</v>
      </c>
      <c r="H434" t="str">
        <f>"2"</f>
        <v>2</v>
      </c>
      <c r="I434" s="2">
        <v>-91222</v>
      </c>
    </row>
    <row r="435" spans="1:9" x14ac:dyDescent="0.25">
      <c r="A435">
        <v>434</v>
      </c>
      <c r="B435" s="1">
        <v>44561</v>
      </c>
      <c r="C435">
        <v>14</v>
      </c>
      <c r="D435" t="str">
        <f t="shared" si="58"/>
        <v>1877</v>
      </c>
      <c r="E435" t="str">
        <f t="shared" si="59"/>
        <v>Резервы (провизии) по дебиторской задолженности, связанной с банковской деятельностью</v>
      </c>
      <c r="F435" t="str">
        <f>"1"</f>
        <v>1</v>
      </c>
      <c r="G435" t="str">
        <f>"9"</f>
        <v>9</v>
      </c>
      <c r="H435" t="str">
        <f>"3"</f>
        <v>3</v>
      </c>
      <c r="I435" s="2">
        <v>-154000</v>
      </c>
    </row>
    <row r="436" spans="1:9" x14ac:dyDescent="0.25">
      <c r="A436">
        <v>435</v>
      </c>
      <c r="B436" s="1">
        <v>44561</v>
      </c>
      <c r="C436">
        <v>14</v>
      </c>
      <c r="D436" t="str">
        <f t="shared" si="58"/>
        <v>1877</v>
      </c>
      <c r="E436" t="str">
        <f t="shared" si="59"/>
        <v>Резервы (провизии) по дебиторской задолженности, связанной с банковской деятельностью</v>
      </c>
      <c r="F436" t="str">
        <f>"2"</f>
        <v>2</v>
      </c>
      <c r="G436" t="str">
        <f>"4"</f>
        <v>4</v>
      </c>
      <c r="H436" t="str">
        <f t="shared" ref="H436:H444" si="60">"1"</f>
        <v>1</v>
      </c>
      <c r="I436" s="2">
        <v>-918</v>
      </c>
    </row>
    <row r="437" spans="1:9" x14ac:dyDescent="0.25">
      <c r="A437">
        <v>436</v>
      </c>
      <c r="B437" s="1">
        <v>44561</v>
      </c>
      <c r="C437">
        <v>14</v>
      </c>
      <c r="D437" t="str">
        <f t="shared" si="58"/>
        <v>1877</v>
      </c>
      <c r="E437" t="str">
        <f t="shared" si="59"/>
        <v>Резервы (провизии) по дебиторской задолженности, связанной с банковской деятельностью</v>
      </c>
      <c r="F437" t="str">
        <f>"1"</f>
        <v>1</v>
      </c>
      <c r="G437" t="str">
        <f>"5"</f>
        <v>5</v>
      </c>
      <c r="H437" t="str">
        <f t="shared" si="60"/>
        <v>1</v>
      </c>
      <c r="I437" s="2">
        <v>-1337796</v>
      </c>
    </row>
    <row r="438" spans="1:9" x14ac:dyDescent="0.25">
      <c r="A438">
        <v>437</v>
      </c>
      <c r="B438" s="1">
        <v>44561</v>
      </c>
      <c r="C438">
        <v>14</v>
      </c>
      <c r="D438" t="str">
        <f t="shared" si="58"/>
        <v>1877</v>
      </c>
      <c r="E438" t="str">
        <f t="shared" si="59"/>
        <v>Резервы (провизии) по дебиторской задолженности, связанной с банковской деятельностью</v>
      </c>
      <c r="F438" t="str">
        <f>"2"</f>
        <v>2</v>
      </c>
      <c r="G438" t="str">
        <f>"7"</f>
        <v>7</v>
      </c>
      <c r="H438" t="str">
        <f t="shared" si="60"/>
        <v>1</v>
      </c>
      <c r="I438" s="2">
        <v>-66376388</v>
      </c>
    </row>
    <row r="439" spans="1:9" x14ac:dyDescent="0.25">
      <c r="A439">
        <v>438</v>
      </c>
      <c r="B439" s="1">
        <v>44561</v>
      </c>
      <c r="C439">
        <v>14</v>
      </c>
      <c r="D439" t="str">
        <f>"1878"</f>
        <v>1878</v>
      </c>
      <c r="E439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39" t="str">
        <f>"2"</f>
        <v>2</v>
      </c>
      <c r="G439" t="str">
        <f>"7"</f>
        <v>7</v>
      </c>
      <c r="H439" t="str">
        <f t="shared" si="60"/>
        <v>1</v>
      </c>
      <c r="I439" s="2">
        <v>-218280</v>
      </c>
    </row>
    <row r="440" spans="1:9" x14ac:dyDescent="0.25">
      <c r="A440">
        <v>439</v>
      </c>
      <c r="B440" s="1">
        <v>44561</v>
      </c>
      <c r="C440">
        <v>14</v>
      </c>
      <c r="D440" t="str">
        <f>"1878"</f>
        <v>1878</v>
      </c>
      <c r="E440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40" t="str">
        <f>"1"</f>
        <v>1</v>
      </c>
      <c r="G440" t="str">
        <f>"4"</f>
        <v>4</v>
      </c>
      <c r="H440" t="str">
        <f t="shared" si="60"/>
        <v>1</v>
      </c>
      <c r="I440" s="2">
        <v>-1269879732</v>
      </c>
    </row>
    <row r="441" spans="1:9" x14ac:dyDescent="0.25">
      <c r="A441">
        <v>440</v>
      </c>
      <c r="B441" s="1">
        <v>44561</v>
      </c>
      <c r="C441">
        <v>14</v>
      </c>
      <c r="D441" t="str">
        <f>"1878"</f>
        <v>1878</v>
      </c>
      <c r="E441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41" t="str">
        <f>"2"</f>
        <v>2</v>
      </c>
      <c r="G441" t="str">
        <f>"9"</f>
        <v>9</v>
      </c>
      <c r="H441" t="str">
        <f t="shared" si="60"/>
        <v>1</v>
      </c>
      <c r="I441" s="2">
        <v>-327916</v>
      </c>
    </row>
    <row r="442" spans="1:9" x14ac:dyDescent="0.25">
      <c r="A442">
        <v>441</v>
      </c>
      <c r="B442" s="1">
        <v>44561</v>
      </c>
      <c r="C442">
        <v>14</v>
      </c>
      <c r="D442" t="str">
        <f>"1878"</f>
        <v>1878</v>
      </c>
      <c r="E442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42" t="str">
        <f>"1"</f>
        <v>1</v>
      </c>
      <c r="G442" t="str">
        <f>"9"</f>
        <v>9</v>
      </c>
      <c r="H442" t="str">
        <f t="shared" si="60"/>
        <v>1</v>
      </c>
      <c r="I442" s="2">
        <v>-79309</v>
      </c>
    </row>
    <row r="443" spans="1:9" x14ac:dyDescent="0.25">
      <c r="A443">
        <v>442</v>
      </c>
      <c r="B443" s="1">
        <v>44561</v>
      </c>
      <c r="C443">
        <v>14</v>
      </c>
      <c r="D443" t="str">
        <f>"1878"</f>
        <v>1878</v>
      </c>
      <c r="E443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43" t="str">
        <f>"1"</f>
        <v>1</v>
      </c>
      <c r="G443" t="str">
        <f>"7"</f>
        <v>7</v>
      </c>
      <c r="H443" t="str">
        <f t="shared" si="60"/>
        <v>1</v>
      </c>
      <c r="I443" s="2">
        <v>-2278817</v>
      </c>
    </row>
    <row r="444" spans="1:9" x14ac:dyDescent="0.25">
      <c r="A444">
        <v>443</v>
      </c>
      <c r="B444" s="1">
        <v>44561</v>
      </c>
      <c r="C444">
        <v>14</v>
      </c>
      <c r="D444" t="str">
        <f>"1879"</f>
        <v>1879</v>
      </c>
      <c r="E444" t="str">
        <f>"Начисленная неустойка (штраф, пеня)"</f>
        <v>Начисленная неустойка (штраф, пеня)</v>
      </c>
      <c r="F444" t="str">
        <f>"1"</f>
        <v>1</v>
      </c>
      <c r="G444" t="str">
        <f>"9"</f>
        <v>9</v>
      </c>
      <c r="H444" t="str">
        <f t="shared" si="60"/>
        <v>1</v>
      </c>
      <c r="I444" s="2">
        <v>3563714</v>
      </c>
    </row>
    <row r="445" spans="1:9" x14ac:dyDescent="0.25">
      <c r="A445">
        <v>444</v>
      </c>
      <c r="B445" s="1">
        <v>44561</v>
      </c>
      <c r="C445">
        <v>14</v>
      </c>
      <c r="D445" t="str">
        <f>"1879"</f>
        <v>1879</v>
      </c>
      <c r="E445" t="str">
        <f>"Начисленная неустойка (штраф, пеня)"</f>
        <v>Начисленная неустойка (штраф, пеня)</v>
      </c>
      <c r="F445" t="str">
        <f>"1"</f>
        <v>1</v>
      </c>
      <c r="G445" t="str">
        <f>"9"</f>
        <v>9</v>
      </c>
      <c r="H445" t="str">
        <f>"2"</f>
        <v>2</v>
      </c>
      <c r="I445" s="2">
        <v>986824</v>
      </c>
    </row>
    <row r="446" spans="1:9" x14ac:dyDescent="0.25">
      <c r="A446">
        <v>445</v>
      </c>
      <c r="B446" s="1">
        <v>44561</v>
      </c>
      <c r="C446">
        <v>14</v>
      </c>
      <c r="D446" t="str">
        <f>"1879"</f>
        <v>1879</v>
      </c>
      <c r="E446" t="str">
        <f>"Начисленная неустойка (штраф, пеня)"</f>
        <v>Начисленная неустойка (штраф, пеня)</v>
      </c>
      <c r="F446" t="str">
        <f>"2"</f>
        <v>2</v>
      </c>
      <c r="G446" t="str">
        <f>"9"</f>
        <v>9</v>
      </c>
      <c r="H446" t="str">
        <f>"1"</f>
        <v>1</v>
      </c>
      <c r="I446" s="2">
        <v>14021</v>
      </c>
    </row>
    <row r="447" spans="1:9" x14ac:dyDescent="0.25">
      <c r="A447">
        <v>446</v>
      </c>
      <c r="B447" s="1">
        <v>44561</v>
      </c>
      <c r="C447">
        <v>14</v>
      </c>
      <c r="D447" t="str">
        <f>"1879"</f>
        <v>1879</v>
      </c>
      <c r="E447" t="str">
        <f>"Начисленная неустойка (штраф, пеня)"</f>
        <v>Начисленная неустойка (штраф, пеня)</v>
      </c>
      <c r="F447" t="str">
        <f>"2"</f>
        <v>2</v>
      </c>
      <c r="G447" t="str">
        <f>"9"</f>
        <v>9</v>
      </c>
      <c r="H447" t="str">
        <f>"2"</f>
        <v>2</v>
      </c>
      <c r="I447" s="2">
        <v>143566</v>
      </c>
    </row>
    <row r="448" spans="1:9" x14ac:dyDescent="0.25">
      <c r="A448">
        <v>447</v>
      </c>
      <c r="B448" s="1">
        <v>44561</v>
      </c>
      <c r="C448">
        <v>14</v>
      </c>
      <c r="D448" s="3" t="str">
        <f>"1892"</f>
        <v>1892</v>
      </c>
      <c r="E448" s="3" t="str">
        <f>"Требования по операциям форвард"</f>
        <v>Требования по операциям форвард</v>
      </c>
      <c r="F448" s="3" t="str">
        <f>"2"</f>
        <v>2</v>
      </c>
      <c r="G448" s="3" t="str">
        <f>"4"</f>
        <v>4</v>
      </c>
      <c r="H448" s="3" t="str">
        <f t="shared" ref="H448:H453" si="61">"1"</f>
        <v>1</v>
      </c>
      <c r="I448" s="4">
        <v>11790802</v>
      </c>
    </row>
    <row r="449" spans="1:10" x14ac:dyDescent="0.25">
      <c r="A449">
        <v>448</v>
      </c>
      <c r="B449" s="1">
        <v>44561</v>
      </c>
      <c r="C449">
        <v>14</v>
      </c>
      <c r="D449" s="3" t="str">
        <f>"1894"</f>
        <v>1894</v>
      </c>
      <c r="E449" s="3" t="str">
        <f>"Требования по операциям спот"</f>
        <v>Требования по операциям спот</v>
      </c>
      <c r="F449" s="3" t="str">
        <f>"1"</f>
        <v>1</v>
      </c>
      <c r="G449" s="3" t="str">
        <f>"4"</f>
        <v>4</v>
      </c>
      <c r="H449" s="3" t="str">
        <f t="shared" si="61"/>
        <v>1</v>
      </c>
      <c r="I449" s="4">
        <v>24800000</v>
      </c>
      <c r="J449" s="2">
        <f>SUM(I448:I452)/1000</f>
        <v>5087871.8810000001</v>
      </c>
    </row>
    <row r="450" spans="1:10" x14ac:dyDescent="0.25">
      <c r="A450">
        <v>449</v>
      </c>
      <c r="B450" s="1">
        <v>44561</v>
      </c>
      <c r="C450">
        <v>14</v>
      </c>
      <c r="D450" s="3" t="str">
        <f>"1894"</f>
        <v>1894</v>
      </c>
      <c r="E450" s="3" t="str">
        <f>"Требования по операциям спот"</f>
        <v>Требования по операциям спот</v>
      </c>
      <c r="F450" s="3" t="str">
        <f>"2"</f>
        <v>2</v>
      </c>
      <c r="G450" s="3" t="str">
        <f>"4"</f>
        <v>4</v>
      </c>
      <c r="H450" s="3" t="str">
        <f t="shared" si="61"/>
        <v>1</v>
      </c>
      <c r="I450" s="4">
        <v>11257154</v>
      </c>
    </row>
    <row r="451" spans="1:10" x14ac:dyDescent="0.25">
      <c r="A451">
        <v>450</v>
      </c>
      <c r="B451" s="1">
        <v>44561</v>
      </c>
      <c r="C451">
        <v>14</v>
      </c>
      <c r="D451" s="3" t="str">
        <f>"1895"</f>
        <v>1895</v>
      </c>
      <c r="E451" s="3" t="str">
        <f>"Требования по операциям своп"</f>
        <v>Требования по операциям своп</v>
      </c>
      <c r="F451" s="3" t="str">
        <f>"2"</f>
        <v>2</v>
      </c>
      <c r="G451" s="3" t="str">
        <f>"4"</f>
        <v>4</v>
      </c>
      <c r="H451" s="3" t="str">
        <f t="shared" si="61"/>
        <v>1</v>
      </c>
      <c r="I451" s="4">
        <v>5004877520</v>
      </c>
    </row>
    <row r="452" spans="1:10" x14ac:dyDescent="0.25">
      <c r="A452">
        <v>451</v>
      </c>
      <c r="B452" s="1">
        <v>44561</v>
      </c>
      <c r="C452">
        <v>14</v>
      </c>
      <c r="D452" s="3" t="str">
        <f>"1895"</f>
        <v>1895</v>
      </c>
      <c r="E452" s="3" t="str">
        <f>"Требования по операциям своп"</f>
        <v>Требования по операциям своп</v>
      </c>
      <c r="F452" s="3" t="str">
        <f>"1"</f>
        <v>1</v>
      </c>
      <c r="G452" s="3" t="str">
        <f>"5"</f>
        <v>5</v>
      </c>
      <c r="H452" s="3" t="str">
        <f t="shared" si="61"/>
        <v>1</v>
      </c>
      <c r="I452" s="4">
        <v>35146405</v>
      </c>
    </row>
    <row r="453" spans="1:10" x14ac:dyDescent="0.25">
      <c r="A453">
        <v>452</v>
      </c>
      <c r="B453" s="1">
        <v>44561</v>
      </c>
      <c r="C453">
        <v>14</v>
      </c>
      <c r="D453" t="str">
        <f>"2012"</f>
        <v>2012</v>
      </c>
      <c r="E453" t="str">
        <f>"Корреспондентские счета иностранных центральных банков"</f>
        <v>Корреспондентские счета иностранных центральных банков</v>
      </c>
      <c r="F453" t="str">
        <f>"2"</f>
        <v>2</v>
      </c>
      <c r="G453" t="str">
        <f>"3"</f>
        <v>3</v>
      </c>
      <c r="H453" t="str">
        <f t="shared" si="61"/>
        <v>1</v>
      </c>
      <c r="I453" s="2">
        <v>1479724397</v>
      </c>
    </row>
    <row r="454" spans="1:10" x14ac:dyDescent="0.25">
      <c r="A454">
        <v>453</v>
      </c>
      <c r="B454" s="1">
        <v>44561</v>
      </c>
      <c r="C454">
        <v>14</v>
      </c>
      <c r="D454" t="str">
        <f>"2012"</f>
        <v>2012</v>
      </c>
      <c r="E454" t="str">
        <f>"Корреспондентские счета иностранных центральных банков"</f>
        <v>Корреспондентские счета иностранных центральных банков</v>
      </c>
      <c r="F454" t="str">
        <f>"2"</f>
        <v>2</v>
      </c>
      <c r="G454" t="str">
        <f>"3"</f>
        <v>3</v>
      </c>
      <c r="H454" t="str">
        <f>"2"</f>
        <v>2</v>
      </c>
      <c r="I454" s="2">
        <v>13979516</v>
      </c>
    </row>
    <row r="455" spans="1:10" x14ac:dyDescent="0.25">
      <c r="A455">
        <v>454</v>
      </c>
      <c r="B455" s="1">
        <v>44561</v>
      </c>
      <c r="C455">
        <v>14</v>
      </c>
      <c r="D455" t="str">
        <f t="shared" ref="D455:D460" si="62">"2013"</f>
        <v>2013</v>
      </c>
      <c r="E455" t="str">
        <f t="shared" ref="E455:E460" si="63">"Корреспондентские счета других банков"</f>
        <v>Корреспондентские счета других банков</v>
      </c>
      <c r="F455" t="str">
        <f>"2"</f>
        <v>2</v>
      </c>
      <c r="G455" t="str">
        <f t="shared" ref="G455:G460" si="64">"4"</f>
        <v>4</v>
      </c>
      <c r="H455" t="str">
        <f>"1"</f>
        <v>1</v>
      </c>
      <c r="I455" s="2">
        <v>3432459928</v>
      </c>
    </row>
    <row r="456" spans="1:10" x14ac:dyDescent="0.25">
      <c r="A456">
        <v>455</v>
      </c>
      <c r="B456" s="1">
        <v>44561</v>
      </c>
      <c r="C456">
        <v>14</v>
      </c>
      <c r="D456" t="str">
        <f t="shared" si="62"/>
        <v>2013</v>
      </c>
      <c r="E456" t="str">
        <f t="shared" si="63"/>
        <v>Корреспондентские счета других банков</v>
      </c>
      <c r="F456" t="str">
        <f>"2"</f>
        <v>2</v>
      </c>
      <c r="G456" t="str">
        <f t="shared" si="64"/>
        <v>4</v>
      </c>
      <c r="H456" t="str">
        <f>"3"</f>
        <v>3</v>
      </c>
      <c r="I456" s="2">
        <v>265891797</v>
      </c>
    </row>
    <row r="457" spans="1:10" x14ac:dyDescent="0.25">
      <c r="A457">
        <v>456</v>
      </c>
      <c r="B457" s="1">
        <v>44561</v>
      </c>
      <c r="C457">
        <v>14</v>
      </c>
      <c r="D457" t="str">
        <f t="shared" si="62"/>
        <v>2013</v>
      </c>
      <c r="E457" t="str">
        <f t="shared" si="63"/>
        <v>Корреспондентские счета других банков</v>
      </c>
      <c r="F457" t="str">
        <f>"1"</f>
        <v>1</v>
      </c>
      <c r="G457" t="str">
        <f t="shared" si="64"/>
        <v>4</v>
      </c>
      <c r="H457" t="str">
        <f>"1"</f>
        <v>1</v>
      </c>
      <c r="I457" s="2">
        <v>1437707000</v>
      </c>
    </row>
    <row r="458" spans="1:10" x14ac:dyDescent="0.25">
      <c r="A458">
        <v>457</v>
      </c>
      <c r="B458" s="1">
        <v>44561</v>
      </c>
      <c r="C458">
        <v>14</v>
      </c>
      <c r="D458" t="str">
        <f t="shared" si="62"/>
        <v>2013</v>
      </c>
      <c r="E458" t="str">
        <f t="shared" si="63"/>
        <v>Корреспондентские счета других банков</v>
      </c>
      <c r="F458" t="str">
        <f>"2"</f>
        <v>2</v>
      </c>
      <c r="G458" t="str">
        <f t="shared" si="64"/>
        <v>4</v>
      </c>
      <c r="H458" t="str">
        <f>"2"</f>
        <v>2</v>
      </c>
      <c r="I458" s="2">
        <v>14009537897</v>
      </c>
    </row>
    <row r="459" spans="1:10" x14ac:dyDescent="0.25">
      <c r="A459">
        <v>458</v>
      </c>
      <c r="B459" s="1">
        <v>44561</v>
      </c>
      <c r="C459">
        <v>14</v>
      </c>
      <c r="D459" t="str">
        <f t="shared" si="62"/>
        <v>2013</v>
      </c>
      <c r="E459" t="str">
        <f t="shared" si="63"/>
        <v>Корреспондентские счета других банков</v>
      </c>
      <c r="F459" t="str">
        <f t="shared" ref="F459:F467" si="65">"1"</f>
        <v>1</v>
      </c>
      <c r="G459" t="str">
        <f t="shared" si="64"/>
        <v>4</v>
      </c>
      <c r="H459" t="str">
        <f>"2"</f>
        <v>2</v>
      </c>
      <c r="I459" s="2">
        <v>3385411046</v>
      </c>
    </row>
    <row r="460" spans="1:10" x14ac:dyDescent="0.25">
      <c r="A460">
        <v>459</v>
      </c>
      <c r="B460" s="1">
        <v>44561</v>
      </c>
      <c r="C460">
        <v>14</v>
      </c>
      <c r="D460" t="str">
        <f t="shared" si="62"/>
        <v>2013</v>
      </c>
      <c r="E460" t="str">
        <f t="shared" si="63"/>
        <v>Корреспондентские счета других банков</v>
      </c>
      <c r="F460" t="str">
        <f t="shared" si="65"/>
        <v>1</v>
      </c>
      <c r="G460" t="str">
        <f t="shared" si="64"/>
        <v>4</v>
      </c>
      <c r="H460" t="str">
        <f>"3"</f>
        <v>3</v>
      </c>
      <c r="I460" s="2">
        <v>43497793</v>
      </c>
    </row>
    <row r="461" spans="1:10" x14ac:dyDescent="0.25">
      <c r="A461">
        <v>460</v>
      </c>
      <c r="B461" s="1">
        <v>44561</v>
      </c>
      <c r="C461">
        <v>14</v>
      </c>
      <c r="D461" t="str">
        <f>"2014"</f>
        <v>2014</v>
      </c>
      <c r="E461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61" t="str">
        <f t="shared" si="65"/>
        <v>1</v>
      </c>
      <c r="G461" t="str">
        <f>"6"</f>
        <v>6</v>
      </c>
      <c r="H461" t="str">
        <f>"2"</f>
        <v>2</v>
      </c>
      <c r="I461" s="2">
        <v>5381495983</v>
      </c>
    </row>
    <row r="462" spans="1:10" x14ac:dyDescent="0.25">
      <c r="A462">
        <v>461</v>
      </c>
      <c r="B462" s="1">
        <v>44561</v>
      </c>
      <c r="C462">
        <v>14</v>
      </c>
      <c r="D462" t="str">
        <f>"2014"</f>
        <v>2014</v>
      </c>
      <c r="E462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62" t="str">
        <f t="shared" si="65"/>
        <v>1</v>
      </c>
      <c r="G462" t="str">
        <f>"6"</f>
        <v>6</v>
      </c>
      <c r="H462" t="str">
        <f>"1"</f>
        <v>1</v>
      </c>
      <c r="I462" s="2">
        <v>4827709</v>
      </c>
    </row>
    <row r="463" spans="1:10" x14ac:dyDescent="0.25">
      <c r="A463">
        <v>462</v>
      </c>
      <c r="B463" s="1">
        <v>44561</v>
      </c>
      <c r="C463">
        <v>14</v>
      </c>
      <c r="D463" t="str">
        <f>"2014"</f>
        <v>2014</v>
      </c>
      <c r="E463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63" t="str">
        <f t="shared" si="65"/>
        <v>1</v>
      </c>
      <c r="G463" t="str">
        <f>"6"</f>
        <v>6</v>
      </c>
      <c r="H463" t="str">
        <f>"3"</f>
        <v>3</v>
      </c>
      <c r="I463" s="2">
        <v>32267997</v>
      </c>
    </row>
    <row r="464" spans="1:10" x14ac:dyDescent="0.25">
      <c r="A464">
        <v>463</v>
      </c>
      <c r="B464" s="1">
        <v>44561</v>
      </c>
      <c r="C464">
        <v>14</v>
      </c>
      <c r="D464" t="str">
        <f>"2014"</f>
        <v>2014</v>
      </c>
      <c r="E464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64" t="str">
        <f t="shared" si="65"/>
        <v>1</v>
      </c>
      <c r="G464" t="str">
        <f>"5"</f>
        <v>5</v>
      </c>
      <c r="H464" t="str">
        <f t="shared" ref="H464:H469" si="66">"1"</f>
        <v>1</v>
      </c>
      <c r="I464" s="2">
        <v>12202</v>
      </c>
    </row>
    <row r="465" spans="1:9" x14ac:dyDescent="0.25">
      <c r="A465">
        <v>464</v>
      </c>
      <c r="B465" s="1">
        <v>44561</v>
      </c>
      <c r="C465">
        <v>14</v>
      </c>
      <c r="D465" t="str">
        <f>"2036"</f>
        <v>2036</v>
      </c>
      <c r="E465" t="str">
        <f>"Долгосрочные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холдинга"</f>
        <v>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</v>
      </c>
      <c r="F465" t="str">
        <f t="shared" si="65"/>
        <v>1</v>
      </c>
      <c r="G465" t="str">
        <f>"6"</f>
        <v>6</v>
      </c>
      <c r="H465" t="str">
        <f t="shared" si="66"/>
        <v>1</v>
      </c>
      <c r="I465" s="2">
        <v>65555556</v>
      </c>
    </row>
    <row r="466" spans="1:9" x14ac:dyDescent="0.25">
      <c r="A466">
        <v>465</v>
      </c>
      <c r="B466" s="1">
        <v>44561</v>
      </c>
      <c r="C466">
        <v>14</v>
      </c>
      <c r="D466" t="str">
        <f>"2056"</f>
        <v>2056</v>
      </c>
      <c r="E466" t="str">
        <f>"Долгосрочные займы, полученные от других банков"</f>
        <v>Долгосрочные займы, полученные от других банков</v>
      </c>
      <c r="F466" t="str">
        <f t="shared" si="65"/>
        <v>1</v>
      </c>
      <c r="G466" t="str">
        <f>"4"</f>
        <v>4</v>
      </c>
      <c r="H466" t="str">
        <f t="shared" si="66"/>
        <v>1</v>
      </c>
      <c r="I466" s="2">
        <v>47295690389</v>
      </c>
    </row>
    <row r="467" spans="1:9" x14ac:dyDescent="0.25">
      <c r="A467">
        <v>466</v>
      </c>
      <c r="B467" s="1">
        <v>44561</v>
      </c>
      <c r="C467">
        <v>14</v>
      </c>
      <c r="D467" t="str">
        <f>"2066"</f>
        <v>2066</v>
      </c>
      <c r="E467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467" t="str">
        <f t="shared" si="65"/>
        <v>1</v>
      </c>
      <c r="G467" t="str">
        <f>"5"</f>
        <v>5</v>
      </c>
      <c r="H467" t="str">
        <f t="shared" si="66"/>
        <v>1</v>
      </c>
      <c r="I467" s="2">
        <v>83274671508</v>
      </c>
    </row>
    <row r="468" spans="1:9" x14ac:dyDescent="0.25">
      <c r="A468">
        <v>467</v>
      </c>
      <c r="B468" s="1">
        <v>44561</v>
      </c>
      <c r="C468">
        <v>14</v>
      </c>
      <c r="D468" t="str">
        <f>"2123"</f>
        <v>2123</v>
      </c>
      <c r="E468" t="str">
        <f>"Краткосрочные вклады других банков (до одного месяца)"</f>
        <v>Краткосрочные вклады других банков (до одного месяца)</v>
      </c>
      <c r="F468" t="str">
        <f>"2"</f>
        <v>2</v>
      </c>
      <c r="G468" t="str">
        <f>"4"</f>
        <v>4</v>
      </c>
      <c r="H468" t="str">
        <f t="shared" si="66"/>
        <v>1</v>
      </c>
      <c r="I468" s="2">
        <v>3100000000</v>
      </c>
    </row>
    <row r="469" spans="1:9" x14ac:dyDescent="0.25">
      <c r="A469">
        <v>468</v>
      </c>
      <c r="B469" s="1">
        <v>44561</v>
      </c>
      <c r="C469">
        <v>14</v>
      </c>
      <c r="D469" t="str">
        <f>"2125"</f>
        <v>2125</v>
      </c>
      <c r="E469" t="str">
        <f>"Вклады, привлеченные от других банков на одну ночь"</f>
        <v>Вклады, привлеченные от других банков на одну ночь</v>
      </c>
      <c r="F469" t="str">
        <f>"1"</f>
        <v>1</v>
      </c>
      <c r="G469" t="str">
        <f>"4"</f>
        <v>4</v>
      </c>
      <c r="H469" t="str">
        <f t="shared" si="66"/>
        <v>1</v>
      </c>
      <c r="I469" s="2">
        <v>12900000000</v>
      </c>
    </row>
    <row r="470" spans="1:9" x14ac:dyDescent="0.25">
      <c r="A470">
        <v>469</v>
      </c>
      <c r="B470" s="1">
        <v>44561</v>
      </c>
      <c r="C470">
        <v>14</v>
      </c>
      <c r="D470" t="str">
        <f>"2130"</f>
        <v>2130</v>
      </c>
      <c r="E470" t="str">
        <f>"Вклад, являющийся обеспечением обязательств других банков"</f>
        <v>Вклад, являющийся обеспечением обязательств других банков</v>
      </c>
      <c r="F470" t="str">
        <f>"2"</f>
        <v>2</v>
      </c>
      <c r="G470" t="str">
        <f>"4"</f>
        <v>4</v>
      </c>
      <c r="H470" t="str">
        <f>"2"</f>
        <v>2</v>
      </c>
      <c r="I470" s="2">
        <v>4318000</v>
      </c>
    </row>
    <row r="471" spans="1:9" x14ac:dyDescent="0.25">
      <c r="A471">
        <v>470</v>
      </c>
      <c r="B471" s="1">
        <v>44561</v>
      </c>
      <c r="C471">
        <v>14</v>
      </c>
      <c r="D471" t="str">
        <f>"2131"</f>
        <v>2131</v>
      </c>
      <c r="E471" t="str">
        <f>"Счет хранения денег, принятых в качестве обеспечения (заклад, задаток) обязательств других банков"</f>
        <v>Счет хранения денег, принятых в качестве обеспечения (заклад, задаток) обязательств других банков</v>
      </c>
      <c r="F471" t="str">
        <f>"2"</f>
        <v>2</v>
      </c>
      <c r="G471" t="str">
        <f>"4"</f>
        <v>4</v>
      </c>
      <c r="H471" t="str">
        <f>"2"</f>
        <v>2</v>
      </c>
      <c r="I471" s="2">
        <v>270430221</v>
      </c>
    </row>
    <row r="472" spans="1:9" x14ac:dyDescent="0.25">
      <c r="A472">
        <v>471</v>
      </c>
      <c r="B472" s="1">
        <v>44561</v>
      </c>
      <c r="C472">
        <v>14</v>
      </c>
      <c r="D472" t="str">
        <f>"2131"</f>
        <v>2131</v>
      </c>
      <c r="E472" t="str">
        <f>"Счет хранения денег, принятых в качестве обеспечения (заклад, задаток) обязательств других банков"</f>
        <v>Счет хранения денег, принятых в качестве обеспечения (заклад, задаток) обязательств других банков</v>
      </c>
      <c r="F472" t="str">
        <f>"1"</f>
        <v>1</v>
      </c>
      <c r="G472" t="str">
        <f>"4"</f>
        <v>4</v>
      </c>
      <c r="H472" t="str">
        <f>"2"</f>
        <v>2</v>
      </c>
      <c r="I472" s="2">
        <v>652381761</v>
      </c>
    </row>
    <row r="473" spans="1:9" x14ac:dyDescent="0.25">
      <c r="A473">
        <v>472</v>
      </c>
      <c r="B473" s="1">
        <v>44561</v>
      </c>
      <c r="C473">
        <v>14</v>
      </c>
      <c r="D473" t="str">
        <f>"2201"</f>
        <v>2201</v>
      </c>
      <c r="E473" t="str">
        <f>"Деньги государственного бюджета"</f>
        <v>Деньги государственного бюджета</v>
      </c>
      <c r="F473" t="str">
        <f>"1"</f>
        <v>1</v>
      </c>
      <c r="G473" t="str">
        <f>"1"</f>
        <v>1</v>
      </c>
      <c r="H473" t="str">
        <f>"1"</f>
        <v>1</v>
      </c>
      <c r="I473" s="2">
        <v>1937368859</v>
      </c>
    </row>
    <row r="474" spans="1:9" x14ac:dyDescent="0.25">
      <c r="A474">
        <v>473</v>
      </c>
      <c r="B474" s="1">
        <v>44561</v>
      </c>
      <c r="C474">
        <v>14</v>
      </c>
      <c r="D474" t="str">
        <f>"2202"</f>
        <v>2202</v>
      </c>
      <c r="E474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F474" t="str">
        <f>"1"</f>
        <v>1</v>
      </c>
      <c r="G474" t="str">
        <f>"5"</f>
        <v>5</v>
      </c>
      <c r="H474" t="str">
        <f>"2"</f>
        <v>2</v>
      </c>
      <c r="I474" s="2">
        <v>1662140385</v>
      </c>
    </row>
    <row r="475" spans="1:9" x14ac:dyDescent="0.25">
      <c r="A475">
        <v>474</v>
      </c>
      <c r="B475" s="1">
        <v>44561</v>
      </c>
      <c r="C475">
        <v>14</v>
      </c>
      <c r="D475" t="str">
        <f>"2202"</f>
        <v>2202</v>
      </c>
      <c r="E475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F475" t="str">
        <f>"1"</f>
        <v>1</v>
      </c>
      <c r="G475" t="str">
        <f>"5"</f>
        <v>5</v>
      </c>
      <c r="H475" t="str">
        <f>"1"</f>
        <v>1</v>
      </c>
      <c r="I475" s="2">
        <v>19893787</v>
      </c>
    </row>
    <row r="476" spans="1:9" x14ac:dyDescent="0.25">
      <c r="A476">
        <v>475</v>
      </c>
      <c r="B476" s="1">
        <v>44561</v>
      </c>
      <c r="C476">
        <v>14</v>
      </c>
      <c r="D476" t="str">
        <f t="shared" ref="D476:D506" si="67">"2203"</f>
        <v>2203</v>
      </c>
      <c r="E476" t="str">
        <f t="shared" ref="E476:E506" si="68">"Текущие счета юридических лиц"</f>
        <v>Текущие счета юридических лиц</v>
      </c>
      <c r="F476" t="str">
        <f>"2"</f>
        <v>2</v>
      </c>
      <c r="G476" t="str">
        <f>"5"</f>
        <v>5</v>
      </c>
      <c r="H476" t="str">
        <f>"2"</f>
        <v>2</v>
      </c>
      <c r="I476" s="2">
        <v>978162164</v>
      </c>
    </row>
    <row r="477" spans="1:9" x14ac:dyDescent="0.25">
      <c r="A477">
        <v>476</v>
      </c>
      <c r="B477" s="1">
        <v>44561</v>
      </c>
      <c r="C477">
        <v>14</v>
      </c>
      <c r="D477" t="str">
        <f t="shared" si="67"/>
        <v>2203</v>
      </c>
      <c r="E477" t="str">
        <f t="shared" si="68"/>
        <v>Текущие счета юридических лиц</v>
      </c>
      <c r="F477" t="str">
        <f>"2"</f>
        <v>2</v>
      </c>
      <c r="G477" t="str">
        <f>"2"</f>
        <v>2</v>
      </c>
      <c r="H477" t="str">
        <f>"1"</f>
        <v>1</v>
      </c>
      <c r="I477" s="2">
        <v>1617466</v>
      </c>
    </row>
    <row r="478" spans="1:9" x14ac:dyDescent="0.25">
      <c r="A478">
        <v>477</v>
      </c>
      <c r="B478" s="1">
        <v>44561</v>
      </c>
      <c r="C478">
        <v>14</v>
      </c>
      <c r="D478" t="str">
        <f t="shared" si="67"/>
        <v>2203</v>
      </c>
      <c r="E478" t="str">
        <f t="shared" si="68"/>
        <v>Текущие счета юридических лиц</v>
      </c>
      <c r="F478" t="str">
        <f>"2"</f>
        <v>2</v>
      </c>
      <c r="G478" t="str">
        <f>"6"</f>
        <v>6</v>
      </c>
      <c r="H478" t="str">
        <f>"2"</f>
        <v>2</v>
      </c>
      <c r="I478" s="2">
        <v>2915651034</v>
      </c>
    </row>
    <row r="479" spans="1:9" x14ac:dyDescent="0.25">
      <c r="A479">
        <v>478</v>
      </c>
      <c r="B479" s="1">
        <v>44561</v>
      </c>
      <c r="C479">
        <v>14</v>
      </c>
      <c r="D479" t="str">
        <f t="shared" si="67"/>
        <v>2203</v>
      </c>
      <c r="E479" t="str">
        <f t="shared" si="68"/>
        <v>Текущие счета юридических лиц</v>
      </c>
      <c r="F479" t="str">
        <f>"1"</f>
        <v>1</v>
      </c>
      <c r="G479" t="str">
        <f>"5"</f>
        <v>5</v>
      </c>
      <c r="H479" t="str">
        <f>"3"</f>
        <v>3</v>
      </c>
      <c r="I479" s="2">
        <v>131525510</v>
      </c>
    </row>
    <row r="480" spans="1:9" x14ac:dyDescent="0.25">
      <c r="A480">
        <v>479</v>
      </c>
      <c r="B480" s="1">
        <v>44561</v>
      </c>
      <c r="C480">
        <v>14</v>
      </c>
      <c r="D480" t="str">
        <f t="shared" si="67"/>
        <v>2203</v>
      </c>
      <c r="E480" t="str">
        <f t="shared" si="68"/>
        <v>Текущие счета юридических лиц</v>
      </c>
      <c r="F480" t="str">
        <f>"1"</f>
        <v>1</v>
      </c>
      <c r="G480" t="str">
        <f>"7"</f>
        <v>7</v>
      </c>
      <c r="H480" t="str">
        <f>"2"</f>
        <v>2</v>
      </c>
      <c r="I480" s="2">
        <v>561536872930</v>
      </c>
    </row>
    <row r="481" spans="1:9" x14ac:dyDescent="0.25">
      <c r="A481">
        <v>480</v>
      </c>
      <c r="B481" s="1">
        <v>44561</v>
      </c>
      <c r="C481">
        <v>14</v>
      </c>
      <c r="D481" t="str">
        <f t="shared" si="67"/>
        <v>2203</v>
      </c>
      <c r="E481" t="str">
        <f t="shared" si="68"/>
        <v>Текущие счета юридических лиц</v>
      </c>
      <c r="F481" t="str">
        <f>"1"</f>
        <v>1</v>
      </c>
      <c r="G481" t="str">
        <f>"8"</f>
        <v>8</v>
      </c>
      <c r="H481" t="str">
        <f>"1"</f>
        <v>1</v>
      </c>
      <c r="I481" s="2">
        <v>36533580722</v>
      </c>
    </row>
    <row r="482" spans="1:9" x14ac:dyDescent="0.25">
      <c r="A482">
        <v>481</v>
      </c>
      <c r="B482" s="1">
        <v>44561</v>
      </c>
      <c r="C482">
        <v>14</v>
      </c>
      <c r="D482" t="str">
        <f t="shared" si="67"/>
        <v>2203</v>
      </c>
      <c r="E482" t="str">
        <f t="shared" si="68"/>
        <v>Текущие счета юридических лиц</v>
      </c>
      <c r="F482" t="str">
        <f>"1"</f>
        <v>1</v>
      </c>
      <c r="G482" t="str">
        <f>"8"</f>
        <v>8</v>
      </c>
      <c r="H482" t="str">
        <f>"2"</f>
        <v>2</v>
      </c>
      <c r="I482" s="2">
        <v>17325941420</v>
      </c>
    </row>
    <row r="483" spans="1:9" x14ac:dyDescent="0.25">
      <c r="A483">
        <v>482</v>
      </c>
      <c r="B483" s="1">
        <v>44561</v>
      </c>
      <c r="C483">
        <v>14</v>
      </c>
      <c r="D483" t="str">
        <f t="shared" si="67"/>
        <v>2203</v>
      </c>
      <c r="E483" t="str">
        <f t="shared" si="68"/>
        <v>Текущие счета юридических лиц</v>
      </c>
      <c r="F483" t="str">
        <f>"1"</f>
        <v>1</v>
      </c>
      <c r="G483" t="str">
        <f>"7"</f>
        <v>7</v>
      </c>
      <c r="H483" t="str">
        <f>"3"</f>
        <v>3</v>
      </c>
      <c r="I483" s="2">
        <v>24696356119</v>
      </c>
    </row>
    <row r="484" spans="1:9" x14ac:dyDescent="0.25">
      <c r="A484">
        <v>483</v>
      </c>
      <c r="B484" s="1">
        <v>44561</v>
      </c>
      <c r="C484">
        <v>14</v>
      </c>
      <c r="D484" t="str">
        <f t="shared" si="67"/>
        <v>2203</v>
      </c>
      <c r="E484" t="str">
        <f t="shared" si="68"/>
        <v>Текущие счета юридических лиц</v>
      </c>
      <c r="F484" t="str">
        <f>"2"</f>
        <v>2</v>
      </c>
      <c r="G484" t="str">
        <f>"1"</f>
        <v>1</v>
      </c>
      <c r="H484" t="str">
        <f>"1"</f>
        <v>1</v>
      </c>
      <c r="I484" s="2">
        <v>84394468</v>
      </c>
    </row>
    <row r="485" spans="1:9" x14ac:dyDescent="0.25">
      <c r="A485">
        <v>484</v>
      </c>
      <c r="B485" s="1">
        <v>44561</v>
      </c>
      <c r="C485">
        <v>14</v>
      </c>
      <c r="D485" t="str">
        <f t="shared" si="67"/>
        <v>2203</v>
      </c>
      <c r="E485" t="str">
        <f t="shared" si="68"/>
        <v>Текущие счета юридических лиц</v>
      </c>
      <c r="F485" t="str">
        <f>"2"</f>
        <v>2</v>
      </c>
      <c r="G485" t="str">
        <f>"1"</f>
        <v>1</v>
      </c>
      <c r="H485" t="str">
        <f>"3"</f>
        <v>3</v>
      </c>
      <c r="I485" s="2">
        <v>37444040</v>
      </c>
    </row>
    <row r="486" spans="1:9" x14ac:dyDescent="0.25">
      <c r="A486">
        <v>485</v>
      </c>
      <c r="B486" s="1">
        <v>44561</v>
      </c>
      <c r="C486">
        <v>14</v>
      </c>
      <c r="D486" t="str">
        <f t="shared" si="67"/>
        <v>2203</v>
      </c>
      <c r="E486" t="str">
        <f t="shared" si="68"/>
        <v>Текущие счета юридических лиц</v>
      </c>
      <c r="F486" t="str">
        <f>"1"</f>
        <v>1</v>
      </c>
      <c r="G486" t="str">
        <f>"1"</f>
        <v>1</v>
      </c>
      <c r="H486" t="str">
        <f>"1"</f>
        <v>1</v>
      </c>
      <c r="I486" s="2">
        <v>17872581715</v>
      </c>
    </row>
    <row r="487" spans="1:9" x14ac:dyDescent="0.25">
      <c r="A487">
        <v>486</v>
      </c>
      <c r="B487" s="1">
        <v>44561</v>
      </c>
      <c r="C487">
        <v>14</v>
      </c>
      <c r="D487" t="str">
        <f t="shared" si="67"/>
        <v>2203</v>
      </c>
      <c r="E487" t="str">
        <f t="shared" si="68"/>
        <v>Текущие счета юридических лиц</v>
      </c>
      <c r="F487" t="str">
        <f>"1"</f>
        <v>1</v>
      </c>
      <c r="G487" t="str">
        <f>"4"</f>
        <v>4</v>
      </c>
      <c r="H487" t="str">
        <f>"1"</f>
        <v>1</v>
      </c>
      <c r="I487" s="2">
        <v>3054091</v>
      </c>
    </row>
    <row r="488" spans="1:9" x14ac:dyDescent="0.25">
      <c r="A488">
        <v>487</v>
      </c>
      <c r="B488" s="1">
        <v>44561</v>
      </c>
      <c r="C488">
        <v>14</v>
      </c>
      <c r="D488" t="str">
        <f t="shared" si="67"/>
        <v>2203</v>
      </c>
      <c r="E488" t="str">
        <f t="shared" si="68"/>
        <v>Текущие счета юридических лиц</v>
      </c>
      <c r="F488" t="str">
        <f>"1"</f>
        <v>1</v>
      </c>
      <c r="G488" t="str">
        <f>"5"</f>
        <v>5</v>
      </c>
      <c r="H488" t="str">
        <f>"1"</f>
        <v>1</v>
      </c>
      <c r="I488" s="2">
        <v>74938649594</v>
      </c>
    </row>
    <row r="489" spans="1:9" x14ac:dyDescent="0.25">
      <c r="A489">
        <v>488</v>
      </c>
      <c r="B489" s="1">
        <v>44561</v>
      </c>
      <c r="C489">
        <v>14</v>
      </c>
      <c r="D489" t="str">
        <f t="shared" si="67"/>
        <v>2203</v>
      </c>
      <c r="E489" t="str">
        <f t="shared" si="68"/>
        <v>Текущие счета юридических лиц</v>
      </c>
      <c r="F489" t="str">
        <f>"2"</f>
        <v>2</v>
      </c>
      <c r="G489" t="str">
        <f>"7"</f>
        <v>7</v>
      </c>
      <c r="H489" t="str">
        <f>"3"</f>
        <v>3</v>
      </c>
      <c r="I489" s="2">
        <v>66418983</v>
      </c>
    </row>
    <row r="490" spans="1:9" x14ac:dyDescent="0.25">
      <c r="A490">
        <v>489</v>
      </c>
      <c r="B490" s="1">
        <v>44561</v>
      </c>
      <c r="C490">
        <v>14</v>
      </c>
      <c r="D490" t="str">
        <f t="shared" si="67"/>
        <v>2203</v>
      </c>
      <c r="E490" t="str">
        <f t="shared" si="68"/>
        <v>Текущие счета юридических лиц</v>
      </c>
      <c r="F490" t="str">
        <f>"1"</f>
        <v>1</v>
      </c>
      <c r="G490" t="str">
        <f>"1"</f>
        <v>1</v>
      </c>
      <c r="H490" t="str">
        <f>"2"</f>
        <v>2</v>
      </c>
      <c r="I490" s="2">
        <v>75175716</v>
      </c>
    </row>
    <row r="491" spans="1:9" x14ac:dyDescent="0.25">
      <c r="A491">
        <v>490</v>
      </c>
      <c r="B491" s="1">
        <v>44561</v>
      </c>
      <c r="C491">
        <v>14</v>
      </c>
      <c r="D491" t="str">
        <f t="shared" si="67"/>
        <v>2203</v>
      </c>
      <c r="E491" t="str">
        <f t="shared" si="68"/>
        <v>Текущие счета юридических лиц</v>
      </c>
      <c r="F491" t="str">
        <f>"1"</f>
        <v>1</v>
      </c>
      <c r="G491" t="str">
        <f>"6"</f>
        <v>6</v>
      </c>
      <c r="H491" t="str">
        <f>"2"</f>
        <v>2</v>
      </c>
      <c r="I491" s="2">
        <v>146064956177</v>
      </c>
    </row>
    <row r="492" spans="1:9" x14ac:dyDescent="0.25">
      <c r="A492">
        <v>491</v>
      </c>
      <c r="B492" s="1">
        <v>44561</v>
      </c>
      <c r="C492">
        <v>14</v>
      </c>
      <c r="D492" t="str">
        <f t="shared" si="67"/>
        <v>2203</v>
      </c>
      <c r="E492" t="str">
        <f t="shared" si="68"/>
        <v>Текущие счета юридических лиц</v>
      </c>
      <c r="F492" t="str">
        <f>"2"</f>
        <v>2</v>
      </c>
      <c r="G492" t="str">
        <f>"6"</f>
        <v>6</v>
      </c>
      <c r="H492" t="str">
        <f>"1"</f>
        <v>1</v>
      </c>
      <c r="I492" s="2">
        <v>17449188</v>
      </c>
    </row>
    <row r="493" spans="1:9" x14ac:dyDescent="0.25">
      <c r="A493">
        <v>492</v>
      </c>
      <c r="B493" s="1">
        <v>44561</v>
      </c>
      <c r="C493">
        <v>14</v>
      </c>
      <c r="D493" t="str">
        <f t="shared" si="67"/>
        <v>2203</v>
      </c>
      <c r="E493" t="str">
        <f t="shared" si="68"/>
        <v>Текущие счета юридических лиц</v>
      </c>
      <c r="F493" t="str">
        <f>"2"</f>
        <v>2</v>
      </c>
      <c r="G493" t="str">
        <f>"8"</f>
        <v>8</v>
      </c>
      <c r="H493" t="str">
        <f>"1"</f>
        <v>1</v>
      </c>
      <c r="I493" s="2">
        <v>194407599</v>
      </c>
    </row>
    <row r="494" spans="1:9" x14ac:dyDescent="0.25">
      <c r="A494">
        <v>493</v>
      </c>
      <c r="B494" s="1">
        <v>44561</v>
      </c>
      <c r="C494">
        <v>14</v>
      </c>
      <c r="D494" t="str">
        <f t="shared" si="67"/>
        <v>2203</v>
      </c>
      <c r="E494" t="str">
        <f t="shared" si="68"/>
        <v>Текущие счета юридических лиц</v>
      </c>
      <c r="F494" t="str">
        <f>"2"</f>
        <v>2</v>
      </c>
      <c r="G494" t="str">
        <f>"8"</f>
        <v>8</v>
      </c>
      <c r="H494" t="str">
        <f>"2"</f>
        <v>2</v>
      </c>
      <c r="I494" s="2">
        <v>479438189</v>
      </c>
    </row>
    <row r="495" spans="1:9" x14ac:dyDescent="0.25">
      <c r="A495">
        <v>494</v>
      </c>
      <c r="B495" s="1">
        <v>44561</v>
      </c>
      <c r="C495">
        <v>14</v>
      </c>
      <c r="D495" t="str">
        <f t="shared" si="67"/>
        <v>2203</v>
      </c>
      <c r="E495" t="str">
        <f t="shared" si="68"/>
        <v>Текущие счета юридических лиц</v>
      </c>
      <c r="F495" t="str">
        <f>"1"</f>
        <v>1</v>
      </c>
      <c r="G495" t="str">
        <f>"2"</f>
        <v>2</v>
      </c>
      <c r="H495" t="str">
        <f>"1"</f>
        <v>1</v>
      </c>
      <c r="I495" s="2">
        <v>100893177</v>
      </c>
    </row>
    <row r="496" spans="1:9" x14ac:dyDescent="0.25">
      <c r="A496">
        <v>495</v>
      </c>
      <c r="B496" s="1">
        <v>44561</v>
      </c>
      <c r="C496">
        <v>14</v>
      </c>
      <c r="D496" t="str">
        <f t="shared" si="67"/>
        <v>2203</v>
      </c>
      <c r="E496" t="str">
        <f t="shared" si="68"/>
        <v>Текущие счета юридических лиц</v>
      </c>
      <c r="F496" t="str">
        <f>"1"</f>
        <v>1</v>
      </c>
      <c r="G496" t="str">
        <f>"8"</f>
        <v>8</v>
      </c>
      <c r="H496" t="str">
        <f>"3"</f>
        <v>3</v>
      </c>
      <c r="I496" s="2">
        <v>27089557</v>
      </c>
    </row>
    <row r="497" spans="1:9" x14ac:dyDescent="0.25">
      <c r="A497">
        <v>496</v>
      </c>
      <c r="B497" s="1">
        <v>44561</v>
      </c>
      <c r="C497">
        <v>14</v>
      </c>
      <c r="D497" t="str">
        <f t="shared" si="67"/>
        <v>2203</v>
      </c>
      <c r="E497" t="str">
        <f t="shared" si="68"/>
        <v>Текущие счета юридических лиц</v>
      </c>
      <c r="F497" t="str">
        <f>"1"</f>
        <v>1</v>
      </c>
      <c r="G497" t="str">
        <f>"6"</f>
        <v>6</v>
      </c>
      <c r="H497" t="str">
        <f>"3"</f>
        <v>3</v>
      </c>
      <c r="I497" s="2">
        <v>3351701336</v>
      </c>
    </row>
    <row r="498" spans="1:9" x14ac:dyDescent="0.25">
      <c r="A498">
        <v>497</v>
      </c>
      <c r="B498" s="1">
        <v>44561</v>
      </c>
      <c r="C498">
        <v>14</v>
      </c>
      <c r="D498" t="str">
        <f t="shared" si="67"/>
        <v>2203</v>
      </c>
      <c r="E498" t="str">
        <f t="shared" si="68"/>
        <v>Текущие счета юридических лиц</v>
      </c>
      <c r="F498" t="str">
        <f>"2"</f>
        <v>2</v>
      </c>
      <c r="G498" t="str">
        <f>"7"</f>
        <v>7</v>
      </c>
      <c r="H498" t="str">
        <f>"1"</f>
        <v>1</v>
      </c>
      <c r="I498" s="2">
        <v>1348942065</v>
      </c>
    </row>
    <row r="499" spans="1:9" x14ac:dyDescent="0.25">
      <c r="A499">
        <v>498</v>
      </c>
      <c r="B499" s="1">
        <v>44561</v>
      </c>
      <c r="C499">
        <v>14</v>
      </c>
      <c r="D499" t="str">
        <f t="shared" si="67"/>
        <v>2203</v>
      </c>
      <c r="E499" t="str">
        <f t="shared" si="68"/>
        <v>Текущие счета юридических лиц</v>
      </c>
      <c r="F499" t="str">
        <f>"1"</f>
        <v>1</v>
      </c>
      <c r="G499" t="str">
        <f>"5"</f>
        <v>5</v>
      </c>
      <c r="H499" t="str">
        <f>"2"</f>
        <v>2</v>
      </c>
      <c r="I499" s="2">
        <v>80869544731</v>
      </c>
    </row>
    <row r="500" spans="1:9" x14ac:dyDescent="0.25">
      <c r="A500">
        <v>499</v>
      </c>
      <c r="B500" s="1">
        <v>44561</v>
      </c>
      <c r="C500">
        <v>14</v>
      </c>
      <c r="D500" t="str">
        <f t="shared" si="67"/>
        <v>2203</v>
      </c>
      <c r="E500" t="str">
        <f t="shared" si="68"/>
        <v>Текущие счета юридических лиц</v>
      </c>
      <c r="F500" t="str">
        <f>"1"</f>
        <v>1</v>
      </c>
      <c r="G500" t="str">
        <f>"3"</f>
        <v>3</v>
      </c>
      <c r="H500" t="str">
        <f>"1"</f>
        <v>1</v>
      </c>
      <c r="I500" s="2">
        <v>902</v>
      </c>
    </row>
    <row r="501" spans="1:9" x14ac:dyDescent="0.25">
      <c r="A501">
        <v>500</v>
      </c>
      <c r="B501" s="1">
        <v>44561</v>
      </c>
      <c r="C501">
        <v>14</v>
      </c>
      <c r="D501" t="str">
        <f t="shared" si="67"/>
        <v>2203</v>
      </c>
      <c r="E501" t="str">
        <f t="shared" si="68"/>
        <v>Текущие счета юридических лиц</v>
      </c>
      <c r="F501" t="str">
        <f>"2"</f>
        <v>2</v>
      </c>
      <c r="G501" t="str">
        <f>"5"</f>
        <v>5</v>
      </c>
      <c r="H501" t="str">
        <f>"1"</f>
        <v>1</v>
      </c>
      <c r="I501" s="2">
        <v>17517232</v>
      </c>
    </row>
    <row r="502" spans="1:9" x14ac:dyDescent="0.25">
      <c r="A502">
        <v>501</v>
      </c>
      <c r="B502" s="1">
        <v>44561</v>
      </c>
      <c r="C502">
        <v>14</v>
      </c>
      <c r="D502" t="str">
        <f t="shared" si="67"/>
        <v>2203</v>
      </c>
      <c r="E502" t="str">
        <f t="shared" si="68"/>
        <v>Текущие счета юридических лиц</v>
      </c>
      <c r="F502" t="str">
        <f>"1"</f>
        <v>1</v>
      </c>
      <c r="G502" t="str">
        <f>"6"</f>
        <v>6</v>
      </c>
      <c r="H502" t="str">
        <f>"1"</f>
        <v>1</v>
      </c>
      <c r="I502" s="2">
        <v>185758310000</v>
      </c>
    </row>
    <row r="503" spans="1:9" x14ac:dyDescent="0.25">
      <c r="A503">
        <v>502</v>
      </c>
      <c r="B503" s="1">
        <v>44561</v>
      </c>
      <c r="C503">
        <v>14</v>
      </c>
      <c r="D503" t="str">
        <f t="shared" si="67"/>
        <v>2203</v>
      </c>
      <c r="E503" t="str">
        <f t="shared" si="68"/>
        <v>Текущие счета юридических лиц</v>
      </c>
      <c r="F503" t="str">
        <f>"2"</f>
        <v>2</v>
      </c>
      <c r="G503" t="str">
        <f>"1"</f>
        <v>1</v>
      </c>
      <c r="H503" t="str">
        <f>"2"</f>
        <v>2</v>
      </c>
      <c r="I503" s="2">
        <v>674266755</v>
      </c>
    </row>
    <row r="504" spans="1:9" x14ac:dyDescent="0.25">
      <c r="A504">
        <v>503</v>
      </c>
      <c r="B504" s="1">
        <v>44561</v>
      </c>
      <c r="C504">
        <v>14</v>
      </c>
      <c r="D504" t="str">
        <f t="shared" si="67"/>
        <v>2203</v>
      </c>
      <c r="E504" t="str">
        <f t="shared" si="68"/>
        <v>Текущие счета юридических лиц</v>
      </c>
      <c r="F504" t="str">
        <f>"2"</f>
        <v>2</v>
      </c>
      <c r="G504" t="str">
        <f>"7"</f>
        <v>7</v>
      </c>
      <c r="H504" t="str">
        <f>"2"</f>
        <v>2</v>
      </c>
      <c r="I504" s="2">
        <v>143890379695</v>
      </c>
    </row>
    <row r="505" spans="1:9" x14ac:dyDescent="0.25">
      <c r="A505">
        <v>504</v>
      </c>
      <c r="B505" s="1">
        <v>44561</v>
      </c>
      <c r="C505">
        <v>14</v>
      </c>
      <c r="D505" t="str">
        <f t="shared" si="67"/>
        <v>2203</v>
      </c>
      <c r="E505" t="str">
        <f t="shared" si="68"/>
        <v>Текущие счета юридических лиц</v>
      </c>
      <c r="F505" t="str">
        <f>"2"</f>
        <v>2</v>
      </c>
      <c r="G505" t="str">
        <f>"2"</f>
        <v>2</v>
      </c>
      <c r="H505" t="str">
        <f>"2"</f>
        <v>2</v>
      </c>
      <c r="I505" s="2">
        <v>11091910</v>
      </c>
    </row>
    <row r="506" spans="1:9" x14ac:dyDescent="0.25">
      <c r="A506">
        <v>505</v>
      </c>
      <c r="B506" s="1">
        <v>44561</v>
      </c>
      <c r="C506">
        <v>14</v>
      </c>
      <c r="D506" t="str">
        <f t="shared" si="67"/>
        <v>2203</v>
      </c>
      <c r="E506" t="str">
        <f t="shared" si="68"/>
        <v>Текущие счета юридических лиц</v>
      </c>
      <c r="F506" t="str">
        <f>"1"</f>
        <v>1</v>
      </c>
      <c r="G506" t="str">
        <f>"7"</f>
        <v>7</v>
      </c>
      <c r="H506" t="str">
        <f>"1"</f>
        <v>1</v>
      </c>
      <c r="I506" s="2">
        <v>590174069622</v>
      </c>
    </row>
    <row r="507" spans="1:9" x14ac:dyDescent="0.25">
      <c r="A507">
        <v>506</v>
      </c>
      <c r="B507" s="1">
        <v>44561</v>
      </c>
      <c r="C507">
        <v>14</v>
      </c>
      <c r="D507" t="str">
        <f t="shared" ref="D507:D512" si="69">"2204"</f>
        <v>2204</v>
      </c>
      <c r="E507" t="str">
        <f t="shared" ref="E507:E512" si="70">"Текущие счета физических лиц"</f>
        <v>Текущие счета физических лиц</v>
      </c>
      <c r="F507" t="str">
        <f>"2"</f>
        <v>2</v>
      </c>
      <c r="G507" t="str">
        <f t="shared" ref="G507:G533" si="71">"9"</f>
        <v>9</v>
      </c>
      <c r="H507" t="str">
        <f>"2"</f>
        <v>2</v>
      </c>
      <c r="I507" s="2">
        <v>11466078578</v>
      </c>
    </row>
    <row r="508" spans="1:9" x14ac:dyDescent="0.25">
      <c r="A508">
        <v>507</v>
      </c>
      <c r="B508" s="1">
        <v>44561</v>
      </c>
      <c r="C508">
        <v>14</v>
      </c>
      <c r="D508" t="str">
        <f t="shared" si="69"/>
        <v>2204</v>
      </c>
      <c r="E508" t="str">
        <f t="shared" si="70"/>
        <v>Текущие счета физических лиц</v>
      </c>
      <c r="F508" t="str">
        <f>"2"</f>
        <v>2</v>
      </c>
      <c r="G508" t="str">
        <f t="shared" si="71"/>
        <v>9</v>
      </c>
      <c r="H508" t="str">
        <f>"1"</f>
        <v>1</v>
      </c>
      <c r="I508" s="2">
        <v>9372211336</v>
      </c>
    </row>
    <row r="509" spans="1:9" x14ac:dyDescent="0.25">
      <c r="A509">
        <v>508</v>
      </c>
      <c r="B509" s="1">
        <v>44561</v>
      </c>
      <c r="C509">
        <v>14</v>
      </c>
      <c r="D509" t="str">
        <f t="shared" si="69"/>
        <v>2204</v>
      </c>
      <c r="E509" t="str">
        <f t="shared" si="70"/>
        <v>Текущие счета физических лиц</v>
      </c>
      <c r="F509" t="str">
        <f>"2"</f>
        <v>2</v>
      </c>
      <c r="G509" t="str">
        <f t="shared" si="71"/>
        <v>9</v>
      </c>
      <c r="H509" t="str">
        <f>"3"</f>
        <v>3</v>
      </c>
      <c r="I509" s="2">
        <v>133829653</v>
      </c>
    </row>
    <row r="510" spans="1:9" x14ac:dyDescent="0.25">
      <c r="A510">
        <v>509</v>
      </c>
      <c r="B510" s="1">
        <v>44561</v>
      </c>
      <c r="C510">
        <v>14</v>
      </c>
      <c r="D510" t="str">
        <f t="shared" si="69"/>
        <v>2204</v>
      </c>
      <c r="E510" t="str">
        <f t="shared" si="70"/>
        <v>Текущие счета физических лиц</v>
      </c>
      <c r="F510" t="str">
        <f>"1"</f>
        <v>1</v>
      </c>
      <c r="G510" t="str">
        <f t="shared" si="71"/>
        <v>9</v>
      </c>
      <c r="H510" t="str">
        <f>"2"</f>
        <v>2</v>
      </c>
      <c r="I510" s="2">
        <v>131103721122</v>
      </c>
    </row>
    <row r="511" spans="1:9" x14ac:dyDescent="0.25">
      <c r="A511">
        <v>510</v>
      </c>
      <c r="B511" s="1">
        <v>44561</v>
      </c>
      <c r="C511">
        <v>14</v>
      </c>
      <c r="D511" t="str">
        <f t="shared" si="69"/>
        <v>2204</v>
      </c>
      <c r="E511" t="str">
        <f t="shared" si="70"/>
        <v>Текущие счета физических лиц</v>
      </c>
      <c r="F511" t="str">
        <f>"1"</f>
        <v>1</v>
      </c>
      <c r="G511" t="str">
        <f t="shared" si="71"/>
        <v>9</v>
      </c>
      <c r="H511" t="str">
        <f>"3"</f>
        <v>3</v>
      </c>
      <c r="I511" s="2">
        <v>1662601829</v>
      </c>
    </row>
    <row r="512" spans="1:9" x14ac:dyDescent="0.25">
      <c r="A512">
        <v>511</v>
      </c>
      <c r="B512" s="1">
        <v>44561</v>
      </c>
      <c r="C512">
        <v>14</v>
      </c>
      <c r="D512" t="str">
        <f t="shared" si="69"/>
        <v>2204</v>
      </c>
      <c r="E512" t="str">
        <f t="shared" si="70"/>
        <v>Текущие счета физических лиц</v>
      </c>
      <c r="F512" t="str">
        <f>"1"</f>
        <v>1</v>
      </c>
      <c r="G512" t="str">
        <f t="shared" si="71"/>
        <v>9</v>
      </c>
      <c r="H512" t="str">
        <f>"1"</f>
        <v>1</v>
      </c>
      <c r="I512" s="2">
        <v>569651563420</v>
      </c>
    </row>
    <row r="513" spans="1:9" x14ac:dyDescent="0.25">
      <c r="A513">
        <v>512</v>
      </c>
      <c r="B513" s="1">
        <v>44561</v>
      </c>
      <c r="C513">
        <v>14</v>
      </c>
      <c r="D513" t="str">
        <f>"2205"</f>
        <v>2205</v>
      </c>
      <c r="E513" t="str">
        <f>"Вклады до востребования физических лиц"</f>
        <v>Вклады до востребования физических лиц</v>
      </c>
      <c r="F513" t="str">
        <f>"1"</f>
        <v>1</v>
      </c>
      <c r="G513" t="str">
        <f t="shared" si="71"/>
        <v>9</v>
      </c>
      <c r="H513" t="str">
        <f>"3"</f>
        <v>3</v>
      </c>
      <c r="I513" s="2">
        <v>21419</v>
      </c>
    </row>
    <row r="514" spans="1:9" x14ac:dyDescent="0.25">
      <c r="A514">
        <v>513</v>
      </c>
      <c r="B514" s="1">
        <v>44561</v>
      </c>
      <c r="C514">
        <v>14</v>
      </c>
      <c r="D514" t="str">
        <f>"2205"</f>
        <v>2205</v>
      </c>
      <c r="E514" t="str">
        <f>"Вклады до востребования физических лиц"</f>
        <v>Вклады до востребования физических лиц</v>
      </c>
      <c r="F514" t="str">
        <f>"2"</f>
        <v>2</v>
      </c>
      <c r="G514" t="str">
        <f t="shared" si="71"/>
        <v>9</v>
      </c>
      <c r="H514" t="str">
        <f>"2"</f>
        <v>2</v>
      </c>
      <c r="I514" s="2">
        <v>323</v>
      </c>
    </row>
    <row r="515" spans="1:9" x14ac:dyDescent="0.25">
      <c r="A515">
        <v>514</v>
      </c>
      <c r="B515" s="1">
        <v>44561</v>
      </c>
      <c r="C515">
        <v>14</v>
      </c>
      <c r="D515" t="str">
        <f>"2205"</f>
        <v>2205</v>
      </c>
      <c r="E515" t="str">
        <f>"Вклады до востребования физических лиц"</f>
        <v>Вклады до востребования физических лиц</v>
      </c>
      <c r="F515" t="str">
        <f>"2"</f>
        <v>2</v>
      </c>
      <c r="G515" t="str">
        <f t="shared" si="71"/>
        <v>9</v>
      </c>
      <c r="H515" t="str">
        <f>"1"</f>
        <v>1</v>
      </c>
      <c r="I515" s="2">
        <v>224492</v>
      </c>
    </row>
    <row r="516" spans="1:9" x14ac:dyDescent="0.25">
      <c r="A516">
        <v>515</v>
      </c>
      <c r="B516" s="1">
        <v>44561</v>
      </c>
      <c r="C516">
        <v>14</v>
      </c>
      <c r="D516" t="str">
        <f>"2205"</f>
        <v>2205</v>
      </c>
      <c r="E516" t="str">
        <f>"Вклады до востребования физических лиц"</f>
        <v>Вклады до востребования физических лиц</v>
      </c>
      <c r="F516" t="str">
        <f>"1"</f>
        <v>1</v>
      </c>
      <c r="G516" t="str">
        <f t="shared" si="71"/>
        <v>9</v>
      </c>
      <c r="H516" t="str">
        <f>"2"</f>
        <v>2</v>
      </c>
      <c r="I516" s="2">
        <v>113752000</v>
      </c>
    </row>
    <row r="517" spans="1:9" x14ac:dyDescent="0.25">
      <c r="A517">
        <v>516</v>
      </c>
      <c r="B517" s="1">
        <v>44561</v>
      </c>
      <c r="C517">
        <v>14</v>
      </c>
      <c r="D517" t="str">
        <f>"2205"</f>
        <v>2205</v>
      </c>
      <c r="E517" t="str">
        <f>"Вклады до востребования физических лиц"</f>
        <v>Вклады до востребования физических лиц</v>
      </c>
      <c r="F517" t="str">
        <f>"1"</f>
        <v>1</v>
      </c>
      <c r="G517" t="str">
        <f t="shared" si="71"/>
        <v>9</v>
      </c>
      <c r="H517" t="str">
        <f>"1"</f>
        <v>1</v>
      </c>
      <c r="I517" s="2">
        <v>217126804</v>
      </c>
    </row>
    <row r="518" spans="1:9" x14ac:dyDescent="0.25">
      <c r="A518">
        <v>517</v>
      </c>
      <c r="B518" s="1">
        <v>44561</v>
      </c>
      <c r="C518">
        <v>14</v>
      </c>
      <c r="D518" t="str">
        <f>"2206"</f>
        <v>2206</v>
      </c>
      <c r="E518" t="str">
        <f>"Краткосрочные вклады физических лиц"</f>
        <v>Краткосрочные вклады физических лиц</v>
      </c>
      <c r="F518" t="str">
        <f>"1"</f>
        <v>1</v>
      </c>
      <c r="G518" t="str">
        <f t="shared" si="71"/>
        <v>9</v>
      </c>
      <c r="H518" t="str">
        <f>"3"</f>
        <v>3</v>
      </c>
      <c r="I518" s="2">
        <v>14538413</v>
      </c>
    </row>
    <row r="519" spans="1:9" x14ac:dyDescent="0.25">
      <c r="A519">
        <v>518</v>
      </c>
      <c r="B519" s="1">
        <v>44561</v>
      </c>
      <c r="C519">
        <v>14</v>
      </c>
      <c r="D519" t="str">
        <f>"2206"</f>
        <v>2206</v>
      </c>
      <c r="E519" t="str">
        <f>"Краткосрочные вклады физических лиц"</f>
        <v>Краткосрочные вклады физических лиц</v>
      </c>
      <c r="F519" t="str">
        <f>"2"</f>
        <v>2</v>
      </c>
      <c r="G519" t="str">
        <f t="shared" si="71"/>
        <v>9</v>
      </c>
      <c r="H519" t="str">
        <f>"1"</f>
        <v>1</v>
      </c>
      <c r="I519" s="2">
        <v>3845987122</v>
      </c>
    </row>
    <row r="520" spans="1:9" x14ac:dyDescent="0.25">
      <c r="A520">
        <v>519</v>
      </c>
      <c r="B520" s="1">
        <v>44561</v>
      </c>
      <c r="C520">
        <v>14</v>
      </c>
      <c r="D520" t="str">
        <f>"2206"</f>
        <v>2206</v>
      </c>
      <c r="E520" t="str">
        <f>"Краткосрочные вклады физических лиц"</f>
        <v>Краткосрочные вклады физических лиц</v>
      </c>
      <c r="F520" t="str">
        <f>"1"</f>
        <v>1</v>
      </c>
      <c r="G520" t="str">
        <f t="shared" si="71"/>
        <v>9</v>
      </c>
      <c r="H520" t="str">
        <f>"2"</f>
        <v>2</v>
      </c>
      <c r="I520" s="2">
        <v>887206786000</v>
      </c>
    </row>
    <row r="521" spans="1:9" x14ac:dyDescent="0.25">
      <c r="A521">
        <v>520</v>
      </c>
      <c r="B521" s="1">
        <v>44561</v>
      </c>
      <c r="C521">
        <v>14</v>
      </c>
      <c r="D521" t="str">
        <f>"2206"</f>
        <v>2206</v>
      </c>
      <c r="E521" t="str">
        <f>"Краткосрочные вклады физических лиц"</f>
        <v>Краткосрочные вклады физических лиц</v>
      </c>
      <c r="F521" t="str">
        <f>"1"</f>
        <v>1</v>
      </c>
      <c r="G521" t="str">
        <f t="shared" si="71"/>
        <v>9</v>
      </c>
      <c r="H521" t="str">
        <f>"1"</f>
        <v>1</v>
      </c>
      <c r="I521" s="2">
        <v>1008528864009</v>
      </c>
    </row>
    <row r="522" spans="1:9" x14ac:dyDescent="0.25">
      <c r="A522">
        <v>521</v>
      </c>
      <c r="B522" s="1">
        <v>44561</v>
      </c>
      <c r="C522">
        <v>14</v>
      </c>
      <c r="D522" t="str">
        <f>"2206"</f>
        <v>2206</v>
      </c>
      <c r="E522" t="str">
        <f>"Краткосрочные вклады физических лиц"</f>
        <v>Краткосрочные вклады физических лиц</v>
      </c>
      <c r="F522" t="str">
        <f>"2"</f>
        <v>2</v>
      </c>
      <c r="G522" t="str">
        <f t="shared" si="71"/>
        <v>9</v>
      </c>
      <c r="H522" t="str">
        <f>"2"</f>
        <v>2</v>
      </c>
      <c r="I522" s="2">
        <v>7414338677</v>
      </c>
    </row>
    <row r="523" spans="1:9" x14ac:dyDescent="0.25">
      <c r="A523">
        <v>522</v>
      </c>
      <c r="B523" s="1">
        <v>44561</v>
      </c>
      <c r="C523">
        <v>14</v>
      </c>
      <c r="D523" t="str">
        <f t="shared" ref="D523:D528" si="72">"2207"</f>
        <v>2207</v>
      </c>
      <c r="E523" t="str">
        <f t="shared" ref="E523:E528" si="73">"Долгосрочные вклады физических лиц"</f>
        <v>Долгосрочные вклады физических лиц</v>
      </c>
      <c r="F523" t="str">
        <f>"1"</f>
        <v>1</v>
      </c>
      <c r="G523" t="str">
        <f t="shared" si="71"/>
        <v>9</v>
      </c>
      <c r="H523" t="str">
        <f>"3"</f>
        <v>3</v>
      </c>
      <c r="I523" s="2">
        <v>44707631</v>
      </c>
    </row>
    <row r="524" spans="1:9" x14ac:dyDescent="0.25">
      <c r="A524">
        <v>523</v>
      </c>
      <c r="B524" s="1">
        <v>44561</v>
      </c>
      <c r="C524">
        <v>14</v>
      </c>
      <c r="D524" t="str">
        <f t="shared" si="72"/>
        <v>2207</v>
      </c>
      <c r="E524" t="str">
        <f t="shared" si="73"/>
        <v>Долгосрочные вклады физических лиц</v>
      </c>
      <c r="F524" t="str">
        <f>"1"</f>
        <v>1</v>
      </c>
      <c r="G524" t="str">
        <f t="shared" si="71"/>
        <v>9</v>
      </c>
      <c r="H524" t="str">
        <f>"1"</f>
        <v>1</v>
      </c>
      <c r="I524" s="2">
        <v>128703650849</v>
      </c>
    </row>
    <row r="525" spans="1:9" x14ac:dyDescent="0.25">
      <c r="A525">
        <v>524</v>
      </c>
      <c r="B525" s="1">
        <v>44561</v>
      </c>
      <c r="C525">
        <v>14</v>
      </c>
      <c r="D525" t="str">
        <f t="shared" si="72"/>
        <v>2207</v>
      </c>
      <c r="E525" t="str">
        <f t="shared" si="73"/>
        <v>Долгосрочные вклады физических лиц</v>
      </c>
      <c r="F525" t="str">
        <f>"2"</f>
        <v>2</v>
      </c>
      <c r="G525" t="str">
        <f t="shared" si="71"/>
        <v>9</v>
      </c>
      <c r="H525" t="str">
        <f>"3"</f>
        <v>3</v>
      </c>
      <c r="I525" s="2">
        <v>264511</v>
      </c>
    </row>
    <row r="526" spans="1:9" x14ac:dyDescent="0.25">
      <c r="A526">
        <v>525</v>
      </c>
      <c r="B526" s="1">
        <v>44561</v>
      </c>
      <c r="C526">
        <v>14</v>
      </c>
      <c r="D526" t="str">
        <f t="shared" si="72"/>
        <v>2207</v>
      </c>
      <c r="E526" t="str">
        <f t="shared" si="73"/>
        <v>Долгосрочные вклады физических лиц</v>
      </c>
      <c r="F526" t="str">
        <f>"2"</f>
        <v>2</v>
      </c>
      <c r="G526" t="str">
        <f t="shared" si="71"/>
        <v>9</v>
      </c>
      <c r="H526" t="str">
        <f>"1"</f>
        <v>1</v>
      </c>
      <c r="I526" s="2">
        <v>798446000</v>
      </c>
    </row>
    <row r="527" spans="1:9" x14ac:dyDescent="0.25">
      <c r="A527">
        <v>526</v>
      </c>
      <c r="B527" s="1">
        <v>44561</v>
      </c>
      <c r="C527">
        <v>14</v>
      </c>
      <c r="D527" t="str">
        <f t="shared" si="72"/>
        <v>2207</v>
      </c>
      <c r="E527" t="str">
        <f t="shared" si="73"/>
        <v>Долгосрочные вклады физических лиц</v>
      </c>
      <c r="F527" t="str">
        <f>"1"</f>
        <v>1</v>
      </c>
      <c r="G527" t="str">
        <f t="shared" si="71"/>
        <v>9</v>
      </c>
      <c r="H527" t="str">
        <f>"2"</f>
        <v>2</v>
      </c>
      <c r="I527" s="2">
        <v>987051283000</v>
      </c>
    </row>
    <row r="528" spans="1:9" x14ac:dyDescent="0.25">
      <c r="A528">
        <v>527</v>
      </c>
      <c r="B528" s="1">
        <v>44561</v>
      </c>
      <c r="C528">
        <v>14</v>
      </c>
      <c r="D528" t="str">
        <f t="shared" si="72"/>
        <v>2207</v>
      </c>
      <c r="E528" t="str">
        <f t="shared" si="73"/>
        <v>Долгосрочные вклады физических лиц</v>
      </c>
      <c r="F528" t="str">
        <f>"2"</f>
        <v>2</v>
      </c>
      <c r="G528" t="str">
        <f t="shared" si="71"/>
        <v>9</v>
      </c>
      <c r="H528" t="str">
        <f>"2"</f>
        <v>2</v>
      </c>
      <c r="I528" s="2">
        <v>5338434208</v>
      </c>
    </row>
    <row r="529" spans="1:9" x14ac:dyDescent="0.25">
      <c r="A529">
        <v>528</v>
      </c>
      <c r="B529" s="1">
        <v>44561</v>
      </c>
      <c r="C529">
        <v>14</v>
      </c>
      <c r="D529" t="str">
        <f>"2208"</f>
        <v>2208</v>
      </c>
      <c r="E529" t="str">
        <f>"Условные вклады физических лиц"</f>
        <v>Условные вклады физических лиц</v>
      </c>
      <c r="F529" t="str">
        <f>"2"</f>
        <v>2</v>
      </c>
      <c r="G529" t="str">
        <f t="shared" si="71"/>
        <v>9</v>
      </c>
      <c r="H529" t="str">
        <f>"1"</f>
        <v>1</v>
      </c>
      <c r="I529" s="2">
        <v>48758776</v>
      </c>
    </row>
    <row r="530" spans="1:9" x14ac:dyDescent="0.25">
      <c r="A530">
        <v>529</v>
      </c>
      <c r="B530" s="1">
        <v>44561</v>
      </c>
      <c r="C530">
        <v>14</v>
      </c>
      <c r="D530" t="str">
        <f>"2208"</f>
        <v>2208</v>
      </c>
      <c r="E530" t="str">
        <f>"Условные вклады физических лиц"</f>
        <v>Условные вклады физических лиц</v>
      </c>
      <c r="F530" t="str">
        <f>"1"</f>
        <v>1</v>
      </c>
      <c r="G530" t="str">
        <f t="shared" si="71"/>
        <v>9</v>
      </c>
      <c r="H530" t="str">
        <f>"2"</f>
        <v>2</v>
      </c>
      <c r="I530" s="2">
        <v>1237107</v>
      </c>
    </row>
    <row r="531" spans="1:9" x14ac:dyDescent="0.25">
      <c r="A531">
        <v>530</v>
      </c>
      <c r="B531" s="1">
        <v>44561</v>
      </c>
      <c r="C531">
        <v>14</v>
      </c>
      <c r="D531" t="str">
        <f>"2208"</f>
        <v>2208</v>
      </c>
      <c r="E531" t="str">
        <f>"Условные вклады физических лиц"</f>
        <v>Условные вклады физических лиц</v>
      </c>
      <c r="F531" t="str">
        <f>"1"</f>
        <v>1</v>
      </c>
      <c r="G531" t="str">
        <f t="shared" si="71"/>
        <v>9</v>
      </c>
      <c r="H531" t="str">
        <f>"1"</f>
        <v>1</v>
      </c>
      <c r="I531" s="2">
        <v>1908272956</v>
      </c>
    </row>
    <row r="532" spans="1:9" x14ac:dyDescent="0.25">
      <c r="A532">
        <v>531</v>
      </c>
      <c r="B532" s="1">
        <v>44561</v>
      </c>
      <c r="C532">
        <v>14</v>
      </c>
      <c r="D532" t="str">
        <f>"2212"</f>
        <v>2212</v>
      </c>
      <c r="E532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32" t="str">
        <f>"2"</f>
        <v>2</v>
      </c>
      <c r="G532" t="str">
        <f t="shared" si="71"/>
        <v>9</v>
      </c>
      <c r="H532" t="str">
        <f>""</f>
        <v/>
      </c>
      <c r="I532" s="2">
        <v>20473553</v>
      </c>
    </row>
    <row r="533" spans="1:9" x14ac:dyDescent="0.25">
      <c r="A533">
        <v>532</v>
      </c>
      <c r="B533" s="1">
        <v>44561</v>
      </c>
      <c r="C533">
        <v>14</v>
      </c>
      <c r="D533" t="str">
        <f>"2212"</f>
        <v>2212</v>
      </c>
      <c r="E533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33" t="str">
        <f>"1"</f>
        <v>1</v>
      </c>
      <c r="G533" t="str">
        <f t="shared" si="71"/>
        <v>9</v>
      </c>
      <c r="H533" t="str">
        <f>""</f>
        <v/>
      </c>
      <c r="I533" s="2">
        <v>16853747956</v>
      </c>
    </row>
    <row r="534" spans="1:9" x14ac:dyDescent="0.25">
      <c r="A534">
        <v>533</v>
      </c>
      <c r="B534" s="1">
        <v>44561</v>
      </c>
      <c r="C534">
        <v>14</v>
      </c>
      <c r="D534" t="str">
        <f>"2212"</f>
        <v>2212</v>
      </c>
      <c r="E534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34" t="str">
        <f>"1"</f>
        <v>1</v>
      </c>
      <c r="G534" t="str">
        <f>"7"</f>
        <v>7</v>
      </c>
      <c r="H534" t="str">
        <f>""</f>
        <v/>
      </c>
      <c r="I534" s="2">
        <v>923825689</v>
      </c>
    </row>
    <row r="535" spans="1:9" x14ac:dyDescent="0.25">
      <c r="A535">
        <v>534</v>
      </c>
      <c r="B535" s="1">
        <v>44561</v>
      </c>
      <c r="C535">
        <v>14</v>
      </c>
      <c r="D535" t="str">
        <f>"2213"</f>
        <v>2213</v>
      </c>
      <c r="E535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535" t="str">
        <f>"1"</f>
        <v>1</v>
      </c>
      <c r="G535" t="str">
        <f t="shared" ref="G535:G542" si="74">"9"</f>
        <v>9</v>
      </c>
      <c r="H535" t="str">
        <f>"1"</f>
        <v>1</v>
      </c>
      <c r="I535" s="2">
        <v>12231715909</v>
      </c>
    </row>
    <row r="536" spans="1:9" x14ac:dyDescent="0.25">
      <c r="A536">
        <v>535</v>
      </c>
      <c r="B536" s="1">
        <v>44561</v>
      </c>
      <c r="C536">
        <v>14</v>
      </c>
      <c r="D536" t="str">
        <f>"2213"</f>
        <v>2213</v>
      </c>
      <c r="E536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536" t="str">
        <f>"2"</f>
        <v>2</v>
      </c>
      <c r="G536" t="str">
        <f t="shared" si="74"/>
        <v>9</v>
      </c>
      <c r="H536" t="str">
        <f>"2"</f>
        <v>2</v>
      </c>
      <c r="I536" s="2">
        <v>10512162</v>
      </c>
    </row>
    <row r="537" spans="1:9" x14ac:dyDescent="0.25">
      <c r="A537">
        <v>536</v>
      </c>
      <c r="B537" s="1">
        <v>44561</v>
      </c>
      <c r="C537">
        <v>14</v>
      </c>
      <c r="D537" t="str">
        <f>"2213"</f>
        <v>2213</v>
      </c>
      <c r="E537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537" t="str">
        <f>"2"</f>
        <v>2</v>
      </c>
      <c r="G537" t="str">
        <f t="shared" si="74"/>
        <v>9</v>
      </c>
      <c r="H537" t="str">
        <f>"1"</f>
        <v>1</v>
      </c>
      <c r="I537" s="2">
        <v>954065</v>
      </c>
    </row>
    <row r="538" spans="1:9" x14ac:dyDescent="0.25">
      <c r="A538">
        <v>537</v>
      </c>
      <c r="B538" s="1">
        <v>44561</v>
      </c>
      <c r="C538">
        <v>14</v>
      </c>
      <c r="D538" t="str">
        <f>"2213"</f>
        <v>2213</v>
      </c>
      <c r="E538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F538" t="str">
        <f>"1"</f>
        <v>1</v>
      </c>
      <c r="G538" t="str">
        <f t="shared" si="74"/>
        <v>9</v>
      </c>
      <c r="H538" t="str">
        <f>"2"</f>
        <v>2</v>
      </c>
      <c r="I538" s="2">
        <v>16011287771</v>
      </c>
    </row>
    <row r="539" spans="1:9" x14ac:dyDescent="0.25">
      <c r="A539">
        <v>538</v>
      </c>
      <c r="B539" s="1">
        <v>44561</v>
      </c>
      <c r="C539">
        <v>14</v>
      </c>
      <c r="D539" t="str">
        <f>"2214"</f>
        <v>2214</v>
      </c>
      <c r="E539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39" t="str">
        <f>"2"</f>
        <v>2</v>
      </c>
      <c r="G539" t="str">
        <f t="shared" si="74"/>
        <v>9</v>
      </c>
      <c r="H539" t="str">
        <f>"2"</f>
        <v>2</v>
      </c>
      <c r="I539" s="2">
        <v>88162239</v>
      </c>
    </row>
    <row r="540" spans="1:9" x14ac:dyDescent="0.25">
      <c r="A540">
        <v>539</v>
      </c>
      <c r="B540" s="1">
        <v>44561</v>
      </c>
      <c r="C540">
        <v>14</v>
      </c>
      <c r="D540" t="str">
        <f>"2214"</f>
        <v>2214</v>
      </c>
      <c r="E540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40" t="str">
        <f>"1"</f>
        <v>1</v>
      </c>
      <c r="G540" t="str">
        <f t="shared" si="74"/>
        <v>9</v>
      </c>
      <c r="H540" t="str">
        <f>"1"</f>
        <v>1</v>
      </c>
      <c r="I540" s="2">
        <v>447529941000</v>
      </c>
    </row>
    <row r="541" spans="1:9" x14ac:dyDescent="0.25">
      <c r="A541">
        <v>540</v>
      </c>
      <c r="B541" s="1">
        <v>44561</v>
      </c>
      <c r="C541">
        <v>14</v>
      </c>
      <c r="D541" t="str">
        <f>"2214"</f>
        <v>2214</v>
      </c>
      <c r="E54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41" t="str">
        <f>"2"</f>
        <v>2</v>
      </c>
      <c r="G541" t="str">
        <f t="shared" si="74"/>
        <v>9</v>
      </c>
      <c r="H541" t="str">
        <f>"1"</f>
        <v>1</v>
      </c>
      <c r="I541" s="2">
        <v>1916969573</v>
      </c>
    </row>
    <row r="542" spans="1:9" x14ac:dyDescent="0.25">
      <c r="A542">
        <v>541</v>
      </c>
      <c r="B542" s="1">
        <v>44561</v>
      </c>
      <c r="C542">
        <v>14</v>
      </c>
      <c r="D542" t="str">
        <f>"2214"</f>
        <v>2214</v>
      </c>
      <c r="E542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42" t="str">
        <f>"1"</f>
        <v>1</v>
      </c>
      <c r="G542" t="str">
        <f t="shared" si="74"/>
        <v>9</v>
      </c>
      <c r="H542" t="str">
        <f>"2"</f>
        <v>2</v>
      </c>
      <c r="I542" s="2">
        <v>20390382520</v>
      </c>
    </row>
    <row r="543" spans="1:9" x14ac:dyDescent="0.25">
      <c r="A543">
        <v>542</v>
      </c>
      <c r="B543" s="1">
        <v>44561</v>
      </c>
      <c r="C543">
        <v>14</v>
      </c>
      <c r="D543" t="str">
        <f t="shared" ref="D543:D553" si="75">"2215"</f>
        <v>2215</v>
      </c>
      <c r="E543" t="str">
        <f t="shared" ref="E543:E553" si="76">"Краткосрочные вклады юридических лиц"</f>
        <v>Краткосрочные вклады юридических лиц</v>
      </c>
      <c r="F543" t="str">
        <f>"1"</f>
        <v>1</v>
      </c>
      <c r="G543" t="str">
        <f>"7"</f>
        <v>7</v>
      </c>
      <c r="H543" t="str">
        <f>"2"</f>
        <v>2</v>
      </c>
      <c r="I543" s="2">
        <v>411438457138</v>
      </c>
    </row>
    <row r="544" spans="1:9" x14ac:dyDescent="0.25">
      <c r="A544">
        <v>543</v>
      </c>
      <c r="B544" s="1">
        <v>44561</v>
      </c>
      <c r="C544">
        <v>14</v>
      </c>
      <c r="D544" t="str">
        <f t="shared" si="75"/>
        <v>2215</v>
      </c>
      <c r="E544" t="str">
        <f t="shared" si="76"/>
        <v>Краткосрочные вклады юридических лиц</v>
      </c>
      <c r="F544" t="str">
        <f>"1"</f>
        <v>1</v>
      </c>
      <c r="G544" t="str">
        <f>"8"</f>
        <v>8</v>
      </c>
      <c r="H544" t="str">
        <f>"2"</f>
        <v>2</v>
      </c>
      <c r="I544" s="2">
        <v>116381598765</v>
      </c>
    </row>
    <row r="545" spans="1:9" x14ac:dyDescent="0.25">
      <c r="A545">
        <v>544</v>
      </c>
      <c r="B545" s="1">
        <v>44561</v>
      </c>
      <c r="C545">
        <v>14</v>
      </c>
      <c r="D545" t="str">
        <f t="shared" si="75"/>
        <v>2215</v>
      </c>
      <c r="E545" t="str">
        <f t="shared" si="76"/>
        <v>Краткосрочные вклады юридических лиц</v>
      </c>
      <c r="F545" t="str">
        <f>"2"</f>
        <v>2</v>
      </c>
      <c r="G545" t="str">
        <f>"7"</f>
        <v>7</v>
      </c>
      <c r="H545" t="str">
        <f>"2"</f>
        <v>2</v>
      </c>
      <c r="I545" s="2">
        <v>259323738</v>
      </c>
    </row>
    <row r="546" spans="1:9" x14ac:dyDescent="0.25">
      <c r="A546">
        <v>545</v>
      </c>
      <c r="B546" s="1">
        <v>44561</v>
      </c>
      <c r="C546">
        <v>14</v>
      </c>
      <c r="D546" t="str">
        <f t="shared" si="75"/>
        <v>2215</v>
      </c>
      <c r="E546" t="str">
        <f t="shared" si="76"/>
        <v>Краткосрочные вклады юридических лиц</v>
      </c>
      <c r="F546" t="str">
        <f>"1"</f>
        <v>1</v>
      </c>
      <c r="G546" t="str">
        <f>"6"</f>
        <v>6</v>
      </c>
      <c r="H546" t="str">
        <f>"1"</f>
        <v>1</v>
      </c>
      <c r="I546" s="2">
        <v>220248246599</v>
      </c>
    </row>
    <row r="547" spans="1:9" x14ac:dyDescent="0.25">
      <c r="A547">
        <v>546</v>
      </c>
      <c r="B547" s="1">
        <v>44561</v>
      </c>
      <c r="C547">
        <v>14</v>
      </c>
      <c r="D547" t="str">
        <f t="shared" si="75"/>
        <v>2215</v>
      </c>
      <c r="E547" t="str">
        <f t="shared" si="76"/>
        <v>Краткосрочные вклады юридических лиц</v>
      </c>
      <c r="F547" t="str">
        <f>"1"</f>
        <v>1</v>
      </c>
      <c r="G547" t="str">
        <f>"8"</f>
        <v>8</v>
      </c>
      <c r="H547" t="str">
        <f>"1"</f>
        <v>1</v>
      </c>
      <c r="I547" s="2">
        <v>41378854018</v>
      </c>
    </row>
    <row r="548" spans="1:9" x14ac:dyDescent="0.25">
      <c r="A548">
        <v>547</v>
      </c>
      <c r="B548" s="1">
        <v>44561</v>
      </c>
      <c r="C548">
        <v>14</v>
      </c>
      <c r="D548" t="str">
        <f t="shared" si="75"/>
        <v>2215</v>
      </c>
      <c r="E548" t="str">
        <f t="shared" si="76"/>
        <v>Краткосрочные вклады юридических лиц</v>
      </c>
      <c r="F548" t="str">
        <f>"1"</f>
        <v>1</v>
      </c>
      <c r="G548" t="str">
        <f>"5"</f>
        <v>5</v>
      </c>
      <c r="H548" t="str">
        <f>"2"</f>
        <v>2</v>
      </c>
      <c r="I548" s="2">
        <v>20683569128</v>
      </c>
    </row>
    <row r="549" spans="1:9" x14ac:dyDescent="0.25">
      <c r="A549">
        <v>548</v>
      </c>
      <c r="B549" s="1">
        <v>44561</v>
      </c>
      <c r="C549">
        <v>14</v>
      </c>
      <c r="D549" t="str">
        <f t="shared" si="75"/>
        <v>2215</v>
      </c>
      <c r="E549" t="str">
        <f t="shared" si="76"/>
        <v>Краткосрочные вклады юридических лиц</v>
      </c>
      <c r="F549" t="str">
        <f>"2"</f>
        <v>2</v>
      </c>
      <c r="G549" t="str">
        <f>"7"</f>
        <v>7</v>
      </c>
      <c r="H549" t="str">
        <f>"1"</f>
        <v>1</v>
      </c>
      <c r="I549" s="2">
        <v>4741345363</v>
      </c>
    </row>
    <row r="550" spans="1:9" x14ac:dyDescent="0.25">
      <c r="A550">
        <v>549</v>
      </c>
      <c r="B550" s="1">
        <v>44561</v>
      </c>
      <c r="C550">
        <v>14</v>
      </c>
      <c r="D550" t="str">
        <f t="shared" si="75"/>
        <v>2215</v>
      </c>
      <c r="E550" t="str">
        <f t="shared" si="76"/>
        <v>Краткосрочные вклады юридических лиц</v>
      </c>
      <c r="F550" t="str">
        <f>"1"</f>
        <v>1</v>
      </c>
      <c r="G550" t="str">
        <f>"6"</f>
        <v>6</v>
      </c>
      <c r="H550" t="str">
        <f>"2"</f>
        <v>2</v>
      </c>
      <c r="I550" s="2">
        <v>69948478198</v>
      </c>
    </row>
    <row r="551" spans="1:9" x14ac:dyDescent="0.25">
      <c r="A551">
        <v>550</v>
      </c>
      <c r="B551" s="1">
        <v>44561</v>
      </c>
      <c r="C551">
        <v>14</v>
      </c>
      <c r="D551" t="str">
        <f t="shared" si="75"/>
        <v>2215</v>
      </c>
      <c r="E551" t="str">
        <f t="shared" si="76"/>
        <v>Краткосрочные вклады юридических лиц</v>
      </c>
      <c r="F551" t="str">
        <f>"1"</f>
        <v>1</v>
      </c>
      <c r="G551" t="str">
        <f>"7"</f>
        <v>7</v>
      </c>
      <c r="H551" t="str">
        <f>"1"</f>
        <v>1</v>
      </c>
      <c r="I551" s="2">
        <v>650697974418</v>
      </c>
    </row>
    <row r="552" spans="1:9" x14ac:dyDescent="0.25">
      <c r="A552">
        <v>551</v>
      </c>
      <c r="B552" s="1">
        <v>44561</v>
      </c>
      <c r="C552">
        <v>14</v>
      </c>
      <c r="D552" t="str">
        <f t="shared" si="75"/>
        <v>2215</v>
      </c>
      <c r="E552" t="str">
        <f t="shared" si="76"/>
        <v>Краткосрочные вклады юридических лиц</v>
      </c>
      <c r="F552" t="str">
        <f>"1"</f>
        <v>1</v>
      </c>
      <c r="G552" t="str">
        <f>"5"</f>
        <v>5</v>
      </c>
      <c r="H552" t="str">
        <f>"1"</f>
        <v>1</v>
      </c>
      <c r="I552" s="2">
        <v>14727757960</v>
      </c>
    </row>
    <row r="553" spans="1:9" x14ac:dyDescent="0.25">
      <c r="A553">
        <v>552</v>
      </c>
      <c r="B553" s="1">
        <v>44561</v>
      </c>
      <c r="C553">
        <v>14</v>
      </c>
      <c r="D553" t="str">
        <f t="shared" si="75"/>
        <v>2215</v>
      </c>
      <c r="E553" t="str">
        <f t="shared" si="76"/>
        <v>Краткосрочные вклады юридических лиц</v>
      </c>
      <c r="F553" t="str">
        <f>"2"</f>
        <v>2</v>
      </c>
      <c r="G553" t="str">
        <f>"5"</f>
        <v>5</v>
      </c>
      <c r="H553" t="str">
        <f>"2"</f>
        <v>2</v>
      </c>
      <c r="I553" s="2">
        <v>345440000</v>
      </c>
    </row>
    <row r="554" spans="1:9" x14ac:dyDescent="0.25">
      <c r="A554">
        <v>553</v>
      </c>
      <c r="B554" s="1">
        <v>44561</v>
      </c>
      <c r="C554">
        <v>14</v>
      </c>
      <c r="D554" t="str">
        <f t="shared" ref="D554:D562" si="77">"2217"</f>
        <v>2217</v>
      </c>
      <c r="E554" t="str">
        <f t="shared" ref="E554:E562" si="78">"Долгосрочные вклады юридических лиц"</f>
        <v>Долгосрочные вклады юридических лиц</v>
      </c>
      <c r="F554" t="str">
        <f>"1"</f>
        <v>1</v>
      </c>
      <c r="G554" t="str">
        <f>"8"</f>
        <v>8</v>
      </c>
      <c r="H554" t="str">
        <f>"2"</f>
        <v>2</v>
      </c>
      <c r="I554" s="2">
        <v>42232963783</v>
      </c>
    </row>
    <row r="555" spans="1:9" x14ac:dyDescent="0.25">
      <c r="A555">
        <v>554</v>
      </c>
      <c r="B555" s="1">
        <v>44561</v>
      </c>
      <c r="C555">
        <v>14</v>
      </c>
      <c r="D555" t="str">
        <f t="shared" si="77"/>
        <v>2217</v>
      </c>
      <c r="E555" t="str">
        <f t="shared" si="78"/>
        <v>Долгосрочные вклады юридических лиц</v>
      </c>
      <c r="F555" t="str">
        <f>"1"</f>
        <v>1</v>
      </c>
      <c r="G555" t="str">
        <f>"7"</f>
        <v>7</v>
      </c>
      <c r="H555" t="str">
        <f>"2"</f>
        <v>2</v>
      </c>
      <c r="I555" s="2">
        <v>4569355029</v>
      </c>
    </row>
    <row r="556" spans="1:9" x14ac:dyDescent="0.25">
      <c r="A556">
        <v>555</v>
      </c>
      <c r="B556" s="1">
        <v>44561</v>
      </c>
      <c r="C556">
        <v>14</v>
      </c>
      <c r="D556" t="str">
        <f t="shared" si="77"/>
        <v>2217</v>
      </c>
      <c r="E556" t="str">
        <f t="shared" si="78"/>
        <v>Долгосрочные вклады юридических лиц</v>
      </c>
      <c r="F556" t="str">
        <f>"1"</f>
        <v>1</v>
      </c>
      <c r="G556" t="str">
        <f>"6"</f>
        <v>6</v>
      </c>
      <c r="H556" t="str">
        <f>"1"</f>
        <v>1</v>
      </c>
      <c r="I556" s="2">
        <v>40370187969</v>
      </c>
    </row>
    <row r="557" spans="1:9" x14ac:dyDescent="0.25">
      <c r="A557">
        <v>556</v>
      </c>
      <c r="B557" s="1">
        <v>44561</v>
      </c>
      <c r="C557">
        <v>14</v>
      </c>
      <c r="D557" t="str">
        <f t="shared" si="77"/>
        <v>2217</v>
      </c>
      <c r="E557" t="str">
        <f t="shared" si="78"/>
        <v>Долгосрочные вклады юридических лиц</v>
      </c>
      <c r="F557" t="str">
        <f>"1"</f>
        <v>1</v>
      </c>
      <c r="G557" t="str">
        <f>"8"</f>
        <v>8</v>
      </c>
      <c r="H557" t="str">
        <f>"1"</f>
        <v>1</v>
      </c>
      <c r="I557" s="2">
        <v>38000000</v>
      </c>
    </row>
    <row r="558" spans="1:9" x14ac:dyDescent="0.25">
      <c r="A558">
        <v>557</v>
      </c>
      <c r="B558" s="1">
        <v>44561</v>
      </c>
      <c r="C558">
        <v>14</v>
      </c>
      <c r="D558" t="str">
        <f t="shared" si="77"/>
        <v>2217</v>
      </c>
      <c r="E558" t="str">
        <f t="shared" si="78"/>
        <v>Долгосрочные вклады юридических лиц</v>
      </c>
      <c r="F558" t="str">
        <f>"1"</f>
        <v>1</v>
      </c>
      <c r="G558" t="str">
        <f>"6"</f>
        <v>6</v>
      </c>
      <c r="H558" t="str">
        <f>"2"</f>
        <v>2</v>
      </c>
      <c r="I558" s="2">
        <v>994653101</v>
      </c>
    </row>
    <row r="559" spans="1:9" x14ac:dyDescent="0.25">
      <c r="A559">
        <v>558</v>
      </c>
      <c r="B559" s="1">
        <v>44561</v>
      </c>
      <c r="C559">
        <v>14</v>
      </c>
      <c r="D559" t="str">
        <f t="shared" si="77"/>
        <v>2217</v>
      </c>
      <c r="E559" t="str">
        <f t="shared" si="78"/>
        <v>Долгосрочные вклады юридических лиц</v>
      </c>
      <c r="F559" t="str">
        <f>"2"</f>
        <v>2</v>
      </c>
      <c r="G559" t="str">
        <f>"7"</f>
        <v>7</v>
      </c>
      <c r="H559" t="str">
        <f>"1"</f>
        <v>1</v>
      </c>
      <c r="I559" s="2">
        <v>23086657</v>
      </c>
    </row>
    <row r="560" spans="1:9" x14ac:dyDescent="0.25">
      <c r="A560">
        <v>559</v>
      </c>
      <c r="B560" s="1">
        <v>44561</v>
      </c>
      <c r="C560">
        <v>14</v>
      </c>
      <c r="D560" t="str">
        <f t="shared" si="77"/>
        <v>2217</v>
      </c>
      <c r="E560" t="str">
        <f t="shared" si="78"/>
        <v>Долгосрочные вклады юридических лиц</v>
      </c>
      <c r="F560" t="str">
        <f>"1"</f>
        <v>1</v>
      </c>
      <c r="G560" t="str">
        <f>"7"</f>
        <v>7</v>
      </c>
      <c r="H560" t="str">
        <f>"1"</f>
        <v>1</v>
      </c>
      <c r="I560" s="2">
        <v>10137694640</v>
      </c>
    </row>
    <row r="561" spans="1:9" x14ac:dyDescent="0.25">
      <c r="A561">
        <v>560</v>
      </c>
      <c r="B561" s="1">
        <v>44561</v>
      </c>
      <c r="C561">
        <v>14</v>
      </c>
      <c r="D561" t="str">
        <f t="shared" si="77"/>
        <v>2217</v>
      </c>
      <c r="E561" t="str">
        <f t="shared" si="78"/>
        <v>Долгосрочные вклады юридических лиц</v>
      </c>
      <c r="F561" t="str">
        <f>"1"</f>
        <v>1</v>
      </c>
      <c r="G561" t="str">
        <f>"5"</f>
        <v>5</v>
      </c>
      <c r="H561" t="str">
        <f>"2"</f>
        <v>2</v>
      </c>
      <c r="I561" s="2">
        <v>2159000000</v>
      </c>
    </row>
    <row r="562" spans="1:9" x14ac:dyDescent="0.25">
      <c r="A562">
        <v>561</v>
      </c>
      <c r="B562" s="1">
        <v>44561</v>
      </c>
      <c r="C562">
        <v>14</v>
      </c>
      <c r="D562" t="str">
        <f t="shared" si="77"/>
        <v>2217</v>
      </c>
      <c r="E562" t="str">
        <f t="shared" si="78"/>
        <v>Долгосрочные вклады юридических лиц</v>
      </c>
      <c r="F562" t="str">
        <f>"1"</f>
        <v>1</v>
      </c>
      <c r="G562" t="str">
        <f>"5"</f>
        <v>5</v>
      </c>
      <c r="H562" t="str">
        <f>"1"</f>
        <v>1</v>
      </c>
      <c r="I562" s="2">
        <v>408419772069</v>
      </c>
    </row>
    <row r="563" spans="1:9" x14ac:dyDescent="0.25">
      <c r="A563">
        <v>562</v>
      </c>
      <c r="B563" s="1">
        <v>44561</v>
      </c>
      <c r="C563">
        <v>14</v>
      </c>
      <c r="D563" t="str">
        <f t="shared" ref="D563:D570" si="79">"2219"</f>
        <v>2219</v>
      </c>
      <c r="E563" t="str">
        <f t="shared" ref="E563:E570" si="80">"Условные вклады юридических лиц"</f>
        <v>Условные вклады юридических лиц</v>
      </c>
      <c r="F563" t="str">
        <f>"1"</f>
        <v>1</v>
      </c>
      <c r="G563" t="str">
        <f>"6"</f>
        <v>6</v>
      </c>
      <c r="H563" t="str">
        <f>"1"</f>
        <v>1</v>
      </c>
      <c r="I563" s="2">
        <v>15935463</v>
      </c>
    </row>
    <row r="564" spans="1:9" x14ac:dyDescent="0.25">
      <c r="A564">
        <v>563</v>
      </c>
      <c r="B564" s="1">
        <v>44561</v>
      </c>
      <c r="C564">
        <v>14</v>
      </c>
      <c r="D564" t="str">
        <f t="shared" si="79"/>
        <v>2219</v>
      </c>
      <c r="E564" t="str">
        <f t="shared" si="80"/>
        <v>Условные вклады юридических лиц</v>
      </c>
      <c r="F564" t="str">
        <f>"2"</f>
        <v>2</v>
      </c>
      <c r="G564" t="str">
        <f>"7"</f>
        <v>7</v>
      </c>
      <c r="H564" t="str">
        <f>"3"</f>
        <v>3</v>
      </c>
      <c r="I564" s="2">
        <v>4070411</v>
      </c>
    </row>
    <row r="565" spans="1:9" x14ac:dyDescent="0.25">
      <c r="A565">
        <v>564</v>
      </c>
      <c r="B565" s="1">
        <v>44561</v>
      </c>
      <c r="C565">
        <v>14</v>
      </c>
      <c r="D565" t="str">
        <f t="shared" si="79"/>
        <v>2219</v>
      </c>
      <c r="E565" t="str">
        <f t="shared" si="80"/>
        <v>Условные вклады юридических лиц</v>
      </c>
      <c r="F565" t="str">
        <f>"1"</f>
        <v>1</v>
      </c>
      <c r="G565" t="str">
        <f>"7"</f>
        <v>7</v>
      </c>
      <c r="H565" t="str">
        <f>"2"</f>
        <v>2</v>
      </c>
      <c r="I565" s="2">
        <v>80707679008</v>
      </c>
    </row>
    <row r="566" spans="1:9" x14ac:dyDescent="0.25">
      <c r="A566">
        <v>565</v>
      </c>
      <c r="B566" s="1">
        <v>44561</v>
      </c>
      <c r="C566">
        <v>14</v>
      </c>
      <c r="D566" t="str">
        <f t="shared" si="79"/>
        <v>2219</v>
      </c>
      <c r="E566" t="str">
        <f t="shared" si="80"/>
        <v>Условные вклады юридических лиц</v>
      </c>
      <c r="F566" t="str">
        <f>"1"</f>
        <v>1</v>
      </c>
      <c r="G566" t="str">
        <f>"5"</f>
        <v>5</v>
      </c>
      <c r="H566" t="str">
        <f>"1"</f>
        <v>1</v>
      </c>
      <c r="I566" s="2">
        <v>60000</v>
      </c>
    </row>
    <row r="567" spans="1:9" x14ac:dyDescent="0.25">
      <c r="A567">
        <v>566</v>
      </c>
      <c r="B567" s="1">
        <v>44561</v>
      </c>
      <c r="C567">
        <v>14</v>
      </c>
      <c r="D567" t="str">
        <f t="shared" si="79"/>
        <v>2219</v>
      </c>
      <c r="E567" t="str">
        <f t="shared" si="80"/>
        <v>Условные вклады юридических лиц</v>
      </c>
      <c r="F567" t="str">
        <f>"1"</f>
        <v>1</v>
      </c>
      <c r="G567" t="str">
        <f>"8"</f>
        <v>8</v>
      </c>
      <c r="H567" t="str">
        <f>"1"</f>
        <v>1</v>
      </c>
      <c r="I567" s="2">
        <v>678315</v>
      </c>
    </row>
    <row r="568" spans="1:9" x14ac:dyDescent="0.25">
      <c r="A568">
        <v>567</v>
      </c>
      <c r="B568" s="1">
        <v>44561</v>
      </c>
      <c r="C568">
        <v>14</v>
      </c>
      <c r="D568" t="str">
        <f t="shared" si="79"/>
        <v>2219</v>
      </c>
      <c r="E568" t="str">
        <f t="shared" si="80"/>
        <v>Условные вклады юридических лиц</v>
      </c>
      <c r="F568" t="str">
        <f>"1"</f>
        <v>1</v>
      </c>
      <c r="G568" t="str">
        <f t="shared" ref="G568:G573" si="81">"7"</f>
        <v>7</v>
      </c>
      <c r="H568" t="str">
        <f>"1"</f>
        <v>1</v>
      </c>
      <c r="I568" s="2">
        <v>10004812000</v>
      </c>
    </row>
    <row r="569" spans="1:9" x14ac:dyDescent="0.25">
      <c r="A569">
        <v>568</v>
      </c>
      <c r="B569" s="1">
        <v>44561</v>
      </c>
      <c r="C569">
        <v>14</v>
      </c>
      <c r="D569" t="str">
        <f t="shared" si="79"/>
        <v>2219</v>
      </c>
      <c r="E569" t="str">
        <f t="shared" si="80"/>
        <v>Условные вклады юридических лиц</v>
      </c>
      <c r="F569" t="str">
        <f>"2"</f>
        <v>2</v>
      </c>
      <c r="G569" t="str">
        <f t="shared" si="81"/>
        <v>7</v>
      </c>
      <c r="H569" t="str">
        <f>"1"</f>
        <v>1</v>
      </c>
      <c r="I569" s="2">
        <v>345466952</v>
      </c>
    </row>
    <row r="570" spans="1:9" x14ac:dyDescent="0.25">
      <c r="A570">
        <v>569</v>
      </c>
      <c r="B570" s="1">
        <v>44561</v>
      </c>
      <c r="C570">
        <v>14</v>
      </c>
      <c r="D570" t="str">
        <f t="shared" si="79"/>
        <v>2219</v>
      </c>
      <c r="E570" t="str">
        <f t="shared" si="80"/>
        <v>Условные вклады юридических лиц</v>
      </c>
      <c r="F570" t="str">
        <f>"2"</f>
        <v>2</v>
      </c>
      <c r="G570" t="str">
        <f t="shared" si="81"/>
        <v>7</v>
      </c>
      <c r="H570" t="str">
        <f>"2"</f>
        <v>2</v>
      </c>
      <c r="I570" s="2">
        <v>57883678</v>
      </c>
    </row>
    <row r="571" spans="1:9" x14ac:dyDescent="0.25">
      <c r="A571">
        <v>570</v>
      </c>
      <c r="B571" s="1">
        <v>44561</v>
      </c>
      <c r="C571">
        <v>14</v>
      </c>
      <c r="D571" t="str">
        <f>"2223"</f>
        <v>2223</v>
      </c>
      <c r="E571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571" t="str">
        <f>"1"</f>
        <v>1</v>
      </c>
      <c r="G571" t="str">
        <f t="shared" si="81"/>
        <v>7</v>
      </c>
      <c r="H571" t="str">
        <f>"2"</f>
        <v>2</v>
      </c>
      <c r="I571" s="2">
        <v>4681937819</v>
      </c>
    </row>
    <row r="572" spans="1:9" x14ac:dyDescent="0.25">
      <c r="A572">
        <v>571</v>
      </c>
      <c r="B572" s="1">
        <v>44561</v>
      </c>
      <c r="C572">
        <v>14</v>
      </c>
      <c r="D572" t="str">
        <f>"2223"</f>
        <v>2223</v>
      </c>
      <c r="E572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572" t="str">
        <f>"1"</f>
        <v>1</v>
      </c>
      <c r="G572" t="str">
        <f t="shared" si="81"/>
        <v>7</v>
      </c>
      <c r="H572" t="str">
        <f>"1"</f>
        <v>1</v>
      </c>
      <c r="I572" s="2">
        <v>6314024448</v>
      </c>
    </row>
    <row r="573" spans="1:9" x14ac:dyDescent="0.25">
      <c r="A573">
        <v>572</v>
      </c>
      <c r="B573" s="1">
        <v>44561</v>
      </c>
      <c r="C573">
        <v>14</v>
      </c>
      <c r="D573" t="str">
        <f>"2223"</f>
        <v>2223</v>
      </c>
      <c r="E573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573" t="str">
        <f>"2"</f>
        <v>2</v>
      </c>
      <c r="G573" t="str">
        <f t="shared" si="81"/>
        <v>7</v>
      </c>
      <c r="H573" t="str">
        <f>"2"</f>
        <v>2</v>
      </c>
      <c r="I573" s="2">
        <v>15199360000</v>
      </c>
    </row>
    <row r="574" spans="1:9" x14ac:dyDescent="0.25">
      <c r="A574">
        <v>573</v>
      </c>
      <c r="B574" s="1">
        <v>44561</v>
      </c>
      <c r="C574">
        <v>14</v>
      </c>
      <c r="D574" t="str">
        <f>"2223"</f>
        <v>2223</v>
      </c>
      <c r="E574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F574" t="str">
        <f t="shared" ref="F574:F579" si="82">"1"</f>
        <v>1</v>
      </c>
      <c r="G574" t="str">
        <f>"5"</f>
        <v>5</v>
      </c>
      <c r="H574" t="str">
        <f>"2"</f>
        <v>2</v>
      </c>
      <c r="I574" s="2">
        <v>647700000</v>
      </c>
    </row>
    <row r="575" spans="1:9" x14ac:dyDescent="0.25">
      <c r="A575">
        <v>574</v>
      </c>
      <c r="B575" s="1">
        <v>44561</v>
      </c>
      <c r="C575">
        <v>14</v>
      </c>
      <c r="D575" t="str">
        <f>"2227"</f>
        <v>2227</v>
      </c>
      <c r="E575" t="str">
        <f>"Обязательства по аренде"</f>
        <v>Обязательства по аренде</v>
      </c>
      <c r="F575" t="str">
        <f t="shared" si="82"/>
        <v>1</v>
      </c>
      <c r="G575" t="str">
        <f>"4"</f>
        <v>4</v>
      </c>
      <c r="H575" t="str">
        <f>"1"</f>
        <v>1</v>
      </c>
      <c r="I575" s="2">
        <v>12345966</v>
      </c>
    </row>
    <row r="576" spans="1:9" x14ac:dyDescent="0.25">
      <c r="A576">
        <v>575</v>
      </c>
      <c r="B576" s="1">
        <v>44561</v>
      </c>
      <c r="C576">
        <v>14</v>
      </c>
      <c r="D576" t="str">
        <f>"2227"</f>
        <v>2227</v>
      </c>
      <c r="E576" t="str">
        <f>"Обязательства по аренде"</f>
        <v>Обязательства по аренде</v>
      </c>
      <c r="F576" t="str">
        <f t="shared" si="82"/>
        <v>1</v>
      </c>
      <c r="G576" t="str">
        <f>"9"</f>
        <v>9</v>
      </c>
      <c r="H576" t="str">
        <f>"1"</f>
        <v>1</v>
      </c>
      <c r="I576" s="2">
        <v>2119122236</v>
      </c>
    </row>
    <row r="577" spans="1:9" x14ac:dyDescent="0.25">
      <c r="A577">
        <v>576</v>
      </c>
      <c r="B577" s="1">
        <v>44561</v>
      </c>
      <c r="C577">
        <v>14</v>
      </c>
      <c r="D577" t="str">
        <f>"2227"</f>
        <v>2227</v>
      </c>
      <c r="E577" t="str">
        <f>"Обязательства по аренде"</f>
        <v>Обязательства по аренде</v>
      </c>
      <c r="F577" t="str">
        <f t="shared" si="82"/>
        <v>1</v>
      </c>
      <c r="G577" t="str">
        <f>"2"</f>
        <v>2</v>
      </c>
      <c r="H577" t="str">
        <f>"1"</f>
        <v>1</v>
      </c>
      <c r="I577" s="2">
        <v>2988370</v>
      </c>
    </row>
    <row r="578" spans="1:9" x14ac:dyDescent="0.25">
      <c r="A578">
        <v>577</v>
      </c>
      <c r="B578" s="1">
        <v>44561</v>
      </c>
      <c r="C578">
        <v>14</v>
      </c>
      <c r="D578" t="str">
        <f>"2227"</f>
        <v>2227</v>
      </c>
      <c r="E578" t="str">
        <f>"Обязательства по аренде"</f>
        <v>Обязательства по аренде</v>
      </c>
      <c r="F578" t="str">
        <f t="shared" si="82"/>
        <v>1</v>
      </c>
      <c r="G578" t="str">
        <f>"6"</f>
        <v>6</v>
      </c>
      <c r="H578" t="str">
        <f>"1"</f>
        <v>1</v>
      </c>
      <c r="I578" s="2">
        <v>66297230</v>
      </c>
    </row>
    <row r="579" spans="1:9" x14ac:dyDescent="0.25">
      <c r="A579">
        <v>578</v>
      </c>
      <c r="B579" s="1">
        <v>44561</v>
      </c>
      <c r="C579">
        <v>14</v>
      </c>
      <c r="D579" t="str">
        <f>"2227"</f>
        <v>2227</v>
      </c>
      <c r="E579" t="str">
        <f>"Обязательства по аренде"</f>
        <v>Обязательства по аренде</v>
      </c>
      <c r="F579" t="str">
        <f t="shared" si="82"/>
        <v>1</v>
      </c>
      <c r="G579" t="str">
        <f>"7"</f>
        <v>7</v>
      </c>
      <c r="H579" t="str">
        <f>"1"</f>
        <v>1</v>
      </c>
      <c r="I579" s="2">
        <v>1426543279</v>
      </c>
    </row>
    <row r="580" spans="1:9" x14ac:dyDescent="0.25">
      <c r="A580">
        <v>579</v>
      </c>
      <c r="B580" s="1">
        <v>44561</v>
      </c>
      <c r="C580">
        <v>14</v>
      </c>
      <c r="D580" t="str">
        <f>"2229"</f>
        <v>2229</v>
      </c>
      <c r="E580" t="str">
        <f>"Сберегательные вклады физических лиц (более одного года)"</f>
        <v>Сберегательные вклады физических лиц (более одного года)</v>
      </c>
      <c r="F580" t="str">
        <f>"2"</f>
        <v>2</v>
      </c>
      <c r="G580" t="str">
        <f>"9"</f>
        <v>9</v>
      </c>
      <c r="H580" t="str">
        <f>"2"</f>
        <v>2</v>
      </c>
      <c r="I580" s="2">
        <v>34759300</v>
      </c>
    </row>
    <row r="581" spans="1:9" x14ac:dyDescent="0.25">
      <c r="A581">
        <v>580</v>
      </c>
      <c r="B581" s="1">
        <v>44561</v>
      </c>
      <c r="C581">
        <v>14</v>
      </c>
      <c r="D581" t="str">
        <f>"2229"</f>
        <v>2229</v>
      </c>
      <c r="E581" t="str">
        <f>"Сберегательные вклады физических лиц (более одного года)"</f>
        <v>Сберегательные вклады физических лиц (более одного года)</v>
      </c>
      <c r="F581" t="str">
        <f>"1"</f>
        <v>1</v>
      </c>
      <c r="G581" t="str">
        <f>"9"</f>
        <v>9</v>
      </c>
      <c r="H581" t="str">
        <f>"1"</f>
        <v>1</v>
      </c>
      <c r="I581" s="2">
        <v>39505755965</v>
      </c>
    </row>
    <row r="582" spans="1:9" x14ac:dyDescent="0.25">
      <c r="A582">
        <v>581</v>
      </c>
      <c r="B582" s="1">
        <v>44561</v>
      </c>
      <c r="C582">
        <v>14</v>
      </c>
      <c r="D582" t="str">
        <f>"2229"</f>
        <v>2229</v>
      </c>
      <c r="E582" t="str">
        <f>"Сберегательные вклады физических лиц (более одного года)"</f>
        <v>Сберегательные вклады физических лиц (более одного года)</v>
      </c>
      <c r="F582" t="str">
        <f>"1"</f>
        <v>1</v>
      </c>
      <c r="G582" t="str">
        <f>"9"</f>
        <v>9</v>
      </c>
      <c r="H582" t="str">
        <f>"2"</f>
        <v>2</v>
      </c>
      <c r="I582" s="2">
        <v>13440693987</v>
      </c>
    </row>
    <row r="583" spans="1:9" x14ac:dyDescent="0.25">
      <c r="A583">
        <v>582</v>
      </c>
      <c r="B583" s="1">
        <v>44561</v>
      </c>
      <c r="C583">
        <v>14</v>
      </c>
      <c r="D583" t="str">
        <f>"2229"</f>
        <v>2229</v>
      </c>
      <c r="E583" t="str">
        <f>"Сберегательные вклады физических лиц (более одного года)"</f>
        <v>Сберегательные вклады физических лиц (более одного года)</v>
      </c>
      <c r="F583" t="str">
        <f>"2"</f>
        <v>2</v>
      </c>
      <c r="G583" t="str">
        <f>"9"</f>
        <v>9</v>
      </c>
      <c r="H583" t="str">
        <f>"1"</f>
        <v>1</v>
      </c>
      <c r="I583" s="2">
        <v>47320408</v>
      </c>
    </row>
    <row r="584" spans="1:9" x14ac:dyDescent="0.25">
      <c r="A584">
        <v>583</v>
      </c>
      <c r="B584" s="1">
        <v>44561</v>
      </c>
      <c r="C584">
        <v>14</v>
      </c>
      <c r="D584" t="str">
        <f>"2237"</f>
        <v>2237</v>
      </c>
      <c r="E584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584" t="str">
        <f>"1"</f>
        <v>1</v>
      </c>
      <c r="G584" t="str">
        <f>"7"</f>
        <v>7</v>
      </c>
      <c r="H584" t="str">
        <f>"3"</f>
        <v>3</v>
      </c>
      <c r="I584" s="2">
        <v>1073244821</v>
      </c>
    </row>
    <row r="585" spans="1:9" x14ac:dyDescent="0.25">
      <c r="A585">
        <v>584</v>
      </c>
      <c r="B585" s="1">
        <v>44561</v>
      </c>
      <c r="C585">
        <v>14</v>
      </c>
      <c r="D585" t="str">
        <f>"2237"</f>
        <v>2237</v>
      </c>
      <c r="E585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585" t="str">
        <f>"1"</f>
        <v>1</v>
      </c>
      <c r="G585" t="str">
        <f>"7"</f>
        <v>7</v>
      </c>
      <c r="H585" t="str">
        <f>"1"</f>
        <v>1</v>
      </c>
      <c r="I585" s="2">
        <v>1026988452</v>
      </c>
    </row>
    <row r="586" spans="1:9" x14ac:dyDescent="0.25">
      <c r="A586">
        <v>585</v>
      </c>
      <c r="B586" s="1">
        <v>44561</v>
      </c>
      <c r="C586">
        <v>14</v>
      </c>
      <c r="D586" t="str">
        <f>"2237"</f>
        <v>2237</v>
      </c>
      <c r="E586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586" t="str">
        <f>"1"</f>
        <v>1</v>
      </c>
      <c r="G586" t="str">
        <f>"7"</f>
        <v>7</v>
      </c>
      <c r="H586" t="str">
        <f>"2"</f>
        <v>2</v>
      </c>
      <c r="I586" s="2">
        <v>17290610021</v>
      </c>
    </row>
    <row r="587" spans="1:9" x14ac:dyDescent="0.25">
      <c r="A587">
        <v>586</v>
      </c>
      <c r="B587" s="1">
        <v>44561</v>
      </c>
      <c r="C587">
        <v>14</v>
      </c>
      <c r="D587" t="str">
        <f>"2239"</f>
        <v>2239</v>
      </c>
      <c r="E587" t="str">
        <f>"Дисконт по вкладам, привлеченным от клиентов"</f>
        <v>Дисконт по вкладам, привлеченным от клиентов</v>
      </c>
      <c r="F587" t="str">
        <f>"1"</f>
        <v>1</v>
      </c>
      <c r="G587" t="str">
        <f>"5"</f>
        <v>5</v>
      </c>
      <c r="H587" t="str">
        <f>"1"</f>
        <v>1</v>
      </c>
      <c r="I587" s="2">
        <v>-204819213745</v>
      </c>
    </row>
    <row r="588" spans="1:9" x14ac:dyDescent="0.25">
      <c r="A588">
        <v>587</v>
      </c>
      <c r="B588" s="1">
        <v>44561</v>
      </c>
      <c r="C588">
        <v>14</v>
      </c>
      <c r="D588" t="str">
        <f t="shared" ref="D588:D597" si="83">"2240"</f>
        <v>2240</v>
      </c>
      <c r="E588" t="str">
        <f t="shared" ref="E588:E597" si="84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588" t="str">
        <f>"2"</f>
        <v>2</v>
      </c>
      <c r="G588" t="str">
        <f>"4"</f>
        <v>4</v>
      </c>
      <c r="H588" t="str">
        <f>"2"</f>
        <v>2</v>
      </c>
      <c r="I588" s="2">
        <v>43180000</v>
      </c>
    </row>
    <row r="589" spans="1:9" x14ac:dyDescent="0.25">
      <c r="A589">
        <v>588</v>
      </c>
      <c r="B589" s="1">
        <v>44561</v>
      </c>
      <c r="C589">
        <v>14</v>
      </c>
      <c r="D589" t="str">
        <f t="shared" si="83"/>
        <v>2240</v>
      </c>
      <c r="E589" t="str">
        <f t="shared" si="84"/>
        <v>Счет хранения денег, принятых в качестве обеспечения (заклад, задаток) обязательств клиентов</v>
      </c>
      <c r="F589" t="str">
        <f>"1"</f>
        <v>1</v>
      </c>
      <c r="G589" t="str">
        <f>"7"</f>
        <v>7</v>
      </c>
      <c r="H589" t="str">
        <f>"1"</f>
        <v>1</v>
      </c>
      <c r="I589" s="2">
        <v>6582929686</v>
      </c>
    </row>
    <row r="590" spans="1:9" x14ac:dyDescent="0.25">
      <c r="A590">
        <v>589</v>
      </c>
      <c r="B590" s="1">
        <v>44561</v>
      </c>
      <c r="C590">
        <v>14</v>
      </c>
      <c r="D590" t="str">
        <f t="shared" si="83"/>
        <v>2240</v>
      </c>
      <c r="E590" t="str">
        <f t="shared" si="84"/>
        <v>Счет хранения денег, принятых в качестве обеспечения (заклад, задаток) обязательств клиентов</v>
      </c>
      <c r="F590" t="str">
        <f>"1"</f>
        <v>1</v>
      </c>
      <c r="G590" t="str">
        <f>"1"</f>
        <v>1</v>
      </c>
      <c r="H590" t="str">
        <f>"1"</f>
        <v>1</v>
      </c>
      <c r="I590" s="2">
        <v>150918</v>
      </c>
    </row>
    <row r="591" spans="1:9" x14ac:dyDescent="0.25">
      <c r="A591">
        <v>590</v>
      </c>
      <c r="B591" s="1">
        <v>44561</v>
      </c>
      <c r="C591">
        <v>14</v>
      </c>
      <c r="D591" t="str">
        <f t="shared" si="83"/>
        <v>2240</v>
      </c>
      <c r="E591" t="str">
        <f t="shared" si="84"/>
        <v>Счет хранения денег, принятых в качестве обеспечения (заклад, задаток) обязательств клиентов</v>
      </c>
      <c r="F591" t="str">
        <f>"1"</f>
        <v>1</v>
      </c>
      <c r="G591" t="str">
        <f>"9"</f>
        <v>9</v>
      </c>
      <c r="H591" t="str">
        <f>"2"</f>
        <v>2</v>
      </c>
      <c r="I591" s="2">
        <v>31764175</v>
      </c>
    </row>
    <row r="592" spans="1:9" x14ac:dyDescent="0.25">
      <c r="A592">
        <v>591</v>
      </c>
      <c r="B592" s="1">
        <v>44561</v>
      </c>
      <c r="C592">
        <v>14</v>
      </c>
      <c r="D592" t="str">
        <f t="shared" si="83"/>
        <v>2240</v>
      </c>
      <c r="E592" t="str">
        <f t="shared" si="84"/>
        <v>Счет хранения денег, принятых в качестве обеспечения (заклад, задаток) обязательств клиентов</v>
      </c>
      <c r="F592" t="str">
        <f>"2"</f>
        <v>2</v>
      </c>
      <c r="G592" t="str">
        <f>"7"</f>
        <v>7</v>
      </c>
      <c r="H592" t="str">
        <f>"2"</f>
        <v>2</v>
      </c>
      <c r="I592" s="2">
        <v>693188921</v>
      </c>
    </row>
    <row r="593" spans="1:9" x14ac:dyDescent="0.25">
      <c r="A593">
        <v>592</v>
      </c>
      <c r="B593" s="1">
        <v>44561</v>
      </c>
      <c r="C593">
        <v>14</v>
      </c>
      <c r="D593" t="str">
        <f t="shared" si="83"/>
        <v>2240</v>
      </c>
      <c r="E593" t="str">
        <f t="shared" si="84"/>
        <v>Счет хранения денег, принятых в качестве обеспечения (заклад, задаток) обязательств клиентов</v>
      </c>
      <c r="F593" t="str">
        <f t="shared" ref="F593:F605" si="85">"1"</f>
        <v>1</v>
      </c>
      <c r="G593" t="str">
        <f>"9"</f>
        <v>9</v>
      </c>
      <c r="H593" t="str">
        <f>"1"</f>
        <v>1</v>
      </c>
      <c r="I593" s="2">
        <v>90088666</v>
      </c>
    </row>
    <row r="594" spans="1:9" x14ac:dyDescent="0.25">
      <c r="A594">
        <v>593</v>
      </c>
      <c r="B594" s="1">
        <v>44561</v>
      </c>
      <c r="C594">
        <v>14</v>
      </c>
      <c r="D594" t="str">
        <f t="shared" si="83"/>
        <v>2240</v>
      </c>
      <c r="E594" t="str">
        <f t="shared" si="84"/>
        <v>Счет хранения денег, принятых в качестве обеспечения (заклад, задаток) обязательств клиентов</v>
      </c>
      <c r="F594" t="str">
        <f t="shared" si="85"/>
        <v>1</v>
      </c>
      <c r="G594" t="str">
        <f>"7"</f>
        <v>7</v>
      </c>
      <c r="H594" t="str">
        <f>"3"</f>
        <v>3</v>
      </c>
      <c r="I594" s="2">
        <v>209210255</v>
      </c>
    </row>
    <row r="595" spans="1:9" x14ac:dyDescent="0.25">
      <c r="A595">
        <v>594</v>
      </c>
      <c r="B595" s="1">
        <v>44561</v>
      </c>
      <c r="C595">
        <v>14</v>
      </c>
      <c r="D595" t="str">
        <f t="shared" si="83"/>
        <v>2240</v>
      </c>
      <c r="E595" t="str">
        <f t="shared" si="84"/>
        <v>Счет хранения денег, принятых в качестве обеспечения (заклад, задаток) обязательств клиентов</v>
      </c>
      <c r="F595" t="str">
        <f t="shared" si="85"/>
        <v>1</v>
      </c>
      <c r="G595" t="str">
        <f>"6"</f>
        <v>6</v>
      </c>
      <c r="H595" t="str">
        <f>"1"</f>
        <v>1</v>
      </c>
      <c r="I595" s="2">
        <v>590608773</v>
      </c>
    </row>
    <row r="596" spans="1:9" x14ac:dyDescent="0.25">
      <c r="A596">
        <v>595</v>
      </c>
      <c r="B596" s="1">
        <v>44561</v>
      </c>
      <c r="C596">
        <v>14</v>
      </c>
      <c r="D596" t="str">
        <f t="shared" si="83"/>
        <v>2240</v>
      </c>
      <c r="E596" t="str">
        <f t="shared" si="84"/>
        <v>Счет хранения денег, принятых в качестве обеспечения (заклад, задаток) обязательств клиентов</v>
      </c>
      <c r="F596" t="str">
        <f t="shared" si="85"/>
        <v>1</v>
      </c>
      <c r="G596" t="str">
        <f>"7"</f>
        <v>7</v>
      </c>
      <c r="H596" t="str">
        <f>"2"</f>
        <v>2</v>
      </c>
      <c r="I596" s="2">
        <v>8863498894</v>
      </c>
    </row>
    <row r="597" spans="1:9" x14ac:dyDescent="0.25">
      <c r="A597">
        <v>596</v>
      </c>
      <c r="B597" s="1">
        <v>44561</v>
      </c>
      <c r="C597">
        <v>14</v>
      </c>
      <c r="D597" t="str">
        <f t="shared" si="83"/>
        <v>2240</v>
      </c>
      <c r="E597" t="str">
        <f t="shared" si="84"/>
        <v>Счет хранения денег, принятых в качестве обеспечения (заклад, задаток) обязательств клиентов</v>
      </c>
      <c r="F597" t="str">
        <f t="shared" si="85"/>
        <v>1</v>
      </c>
      <c r="G597" t="str">
        <f>"8"</f>
        <v>8</v>
      </c>
      <c r="H597" t="str">
        <f>"1"</f>
        <v>1</v>
      </c>
      <c r="I597" s="2">
        <v>13553546</v>
      </c>
    </row>
    <row r="598" spans="1:9" x14ac:dyDescent="0.25">
      <c r="A598">
        <v>597</v>
      </c>
      <c r="B598" s="1">
        <v>44561</v>
      </c>
      <c r="C598">
        <v>14</v>
      </c>
      <c r="D598" t="str">
        <f>"2255"</f>
        <v>2255</v>
      </c>
      <c r="E598" t="str">
        <f>"Операции «РЕПО» с ценными бумагами"</f>
        <v>Операции «РЕПО» с ценными бумагами</v>
      </c>
      <c r="F598" t="str">
        <f t="shared" si="85"/>
        <v>1</v>
      </c>
      <c r="G598" t="str">
        <f>"5"</f>
        <v>5</v>
      </c>
      <c r="H598" t="str">
        <f>"1"</f>
        <v>1</v>
      </c>
      <c r="I598" s="2">
        <v>848194434479</v>
      </c>
    </row>
    <row r="599" spans="1:9" x14ac:dyDescent="0.25">
      <c r="A599">
        <v>598</v>
      </c>
      <c r="B599" s="1">
        <v>44561</v>
      </c>
      <c r="C599">
        <v>14</v>
      </c>
      <c r="D599" t="str">
        <f>"2301"</f>
        <v>2301</v>
      </c>
      <c r="E599" t="str">
        <f>"Выпущенные в обращение облигации"</f>
        <v>Выпущенные в обращение облигации</v>
      </c>
      <c r="F599" t="str">
        <f t="shared" si="85"/>
        <v>1</v>
      </c>
      <c r="G599" t="str">
        <f>"5"</f>
        <v>5</v>
      </c>
      <c r="H599" t="str">
        <f>"1"</f>
        <v>1</v>
      </c>
      <c r="I599" s="2">
        <v>325828261000</v>
      </c>
    </row>
    <row r="600" spans="1:9" x14ac:dyDescent="0.25">
      <c r="A600">
        <v>599</v>
      </c>
      <c r="B600" s="1">
        <v>44561</v>
      </c>
      <c r="C600">
        <v>14</v>
      </c>
      <c r="D600" t="str">
        <f>"2301"</f>
        <v>2301</v>
      </c>
      <c r="E600" t="str">
        <f>"Выпущенные в обращение облигации"</f>
        <v>Выпущенные в обращение облигации</v>
      </c>
      <c r="F600" t="str">
        <f t="shared" si="85"/>
        <v>1</v>
      </c>
      <c r="G600" t="str">
        <f>"5"</f>
        <v>5</v>
      </c>
      <c r="H600" t="str">
        <f>"2"</f>
        <v>2</v>
      </c>
      <c r="I600" s="2">
        <v>79019400000</v>
      </c>
    </row>
    <row r="601" spans="1:9" x14ac:dyDescent="0.25">
      <c r="A601">
        <v>600</v>
      </c>
      <c r="B601" s="1">
        <v>44561</v>
      </c>
      <c r="C601">
        <v>14</v>
      </c>
      <c r="D601" t="str">
        <f>"2305"</f>
        <v>2305</v>
      </c>
      <c r="E601" t="str">
        <f>"Дисконт по выпущенным в обращение ценным бумагам"</f>
        <v>Дисконт по выпущенным в обращение ценным бумагам</v>
      </c>
      <c r="F601" t="str">
        <f t="shared" si="85"/>
        <v>1</v>
      </c>
      <c r="G601" t="str">
        <f>"5"</f>
        <v>5</v>
      </c>
      <c r="H601" t="str">
        <f>"1"</f>
        <v>1</v>
      </c>
      <c r="I601" s="2">
        <v>-5302086339</v>
      </c>
    </row>
    <row r="602" spans="1:9" x14ac:dyDescent="0.25">
      <c r="A602">
        <v>601</v>
      </c>
      <c r="B602" s="1">
        <v>44561</v>
      </c>
      <c r="C602">
        <v>14</v>
      </c>
      <c r="D602" t="str">
        <f>"2305"</f>
        <v>2305</v>
      </c>
      <c r="E602" t="str">
        <f>"Дисконт по выпущенным в обращение ценным бумагам"</f>
        <v>Дисконт по выпущенным в обращение ценным бумагам</v>
      </c>
      <c r="F602" t="str">
        <f t="shared" si="85"/>
        <v>1</v>
      </c>
      <c r="G602" t="str">
        <f>"5"</f>
        <v>5</v>
      </c>
      <c r="H602" t="str">
        <f>"2"</f>
        <v>2</v>
      </c>
      <c r="I602" s="2">
        <v>-2102210</v>
      </c>
    </row>
    <row r="603" spans="1:9" x14ac:dyDescent="0.25">
      <c r="A603">
        <v>602</v>
      </c>
      <c r="B603" s="1">
        <v>44561</v>
      </c>
      <c r="C603">
        <v>14</v>
      </c>
      <c r="D603" t="str">
        <f>"2306"</f>
        <v>2306</v>
      </c>
      <c r="E603" t="str">
        <f>"Выкупленные облигации"</f>
        <v>Выкупленные облигации</v>
      </c>
      <c r="F603" t="str">
        <f t="shared" si="85"/>
        <v>1</v>
      </c>
      <c r="G603" t="str">
        <f>"4"</f>
        <v>4</v>
      </c>
      <c r="H603" t="str">
        <f>"1"</f>
        <v>1</v>
      </c>
      <c r="I603" s="2">
        <v>-544852000</v>
      </c>
    </row>
    <row r="604" spans="1:9" x14ac:dyDescent="0.25">
      <c r="A604">
        <v>603</v>
      </c>
      <c r="B604" s="1">
        <v>44561</v>
      </c>
      <c r="C604">
        <v>14</v>
      </c>
      <c r="D604" t="str">
        <f>"2404"</f>
        <v>2404</v>
      </c>
      <c r="E604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604" t="str">
        <f t="shared" si="85"/>
        <v>1</v>
      </c>
      <c r="G604" t="str">
        <f>"5"</f>
        <v>5</v>
      </c>
      <c r="H604" t="str">
        <f>"1"</f>
        <v>1</v>
      </c>
      <c r="I604" s="2">
        <v>-684805478</v>
      </c>
    </row>
    <row r="605" spans="1:9" x14ac:dyDescent="0.25">
      <c r="A605">
        <v>604</v>
      </c>
      <c r="B605" s="1">
        <v>44561</v>
      </c>
      <c r="C605">
        <v>14</v>
      </c>
      <c r="D605" t="str">
        <f>"2406"</f>
        <v>2406</v>
      </c>
      <c r="E605" t="str">
        <f>"Субординированные облигации"</f>
        <v>Субординированные облигации</v>
      </c>
      <c r="F605" t="str">
        <f t="shared" si="85"/>
        <v>1</v>
      </c>
      <c r="G605" t="str">
        <f>"5"</f>
        <v>5</v>
      </c>
      <c r="H605" t="str">
        <f>"1"</f>
        <v>1</v>
      </c>
      <c r="I605" s="2">
        <v>101143563000</v>
      </c>
    </row>
    <row r="606" spans="1:9" x14ac:dyDescent="0.25">
      <c r="A606">
        <v>605</v>
      </c>
      <c r="B606" s="1">
        <v>44561</v>
      </c>
      <c r="C606">
        <v>14</v>
      </c>
      <c r="D606" t="str">
        <f t="shared" ref="D606:D611" si="86">"2551"</f>
        <v>2551</v>
      </c>
      <c r="E606" t="str">
        <f t="shared" ref="E606:E611" si="87">"Расчеты с другими банками"</f>
        <v>Расчеты с другими банками</v>
      </c>
      <c r="F606" t="str">
        <f>"2"</f>
        <v>2</v>
      </c>
      <c r="G606" t="str">
        <f t="shared" ref="G606:G611" si="88">"4"</f>
        <v>4</v>
      </c>
      <c r="H606" t="str">
        <f>"1"</f>
        <v>1</v>
      </c>
      <c r="I606" s="2">
        <v>2839208</v>
      </c>
    </row>
    <row r="607" spans="1:9" x14ac:dyDescent="0.25">
      <c r="A607">
        <v>606</v>
      </c>
      <c r="B607" s="1">
        <v>44561</v>
      </c>
      <c r="C607">
        <v>14</v>
      </c>
      <c r="D607" t="str">
        <f t="shared" si="86"/>
        <v>2551</v>
      </c>
      <c r="E607" t="str">
        <f t="shared" si="87"/>
        <v>Расчеты с другими банками</v>
      </c>
      <c r="F607" t="str">
        <f>"1"</f>
        <v>1</v>
      </c>
      <c r="G607" t="str">
        <f t="shared" si="88"/>
        <v>4</v>
      </c>
      <c r="H607" t="str">
        <f>"2"</f>
        <v>2</v>
      </c>
      <c r="I607" s="2">
        <v>3990407</v>
      </c>
    </row>
    <row r="608" spans="1:9" x14ac:dyDescent="0.25">
      <c r="A608">
        <v>607</v>
      </c>
      <c r="B608" s="1">
        <v>44561</v>
      </c>
      <c r="C608">
        <v>14</v>
      </c>
      <c r="D608" t="str">
        <f t="shared" si="86"/>
        <v>2551</v>
      </c>
      <c r="E608" t="str">
        <f t="shared" si="87"/>
        <v>Расчеты с другими банками</v>
      </c>
      <c r="F608" t="str">
        <f>"2"</f>
        <v>2</v>
      </c>
      <c r="G608" t="str">
        <f t="shared" si="88"/>
        <v>4</v>
      </c>
      <c r="H608" t="str">
        <f>"3"</f>
        <v>3</v>
      </c>
      <c r="I608" s="2">
        <v>152700</v>
      </c>
    </row>
    <row r="609" spans="1:9" x14ac:dyDescent="0.25">
      <c r="A609">
        <v>608</v>
      </c>
      <c r="B609" s="1">
        <v>44561</v>
      </c>
      <c r="C609">
        <v>14</v>
      </c>
      <c r="D609" t="str">
        <f t="shared" si="86"/>
        <v>2551</v>
      </c>
      <c r="E609" t="str">
        <f t="shared" si="87"/>
        <v>Расчеты с другими банками</v>
      </c>
      <c r="F609" t="str">
        <f>"2"</f>
        <v>2</v>
      </c>
      <c r="G609" t="str">
        <f t="shared" si="88"/>
        <v>4</v>
      </c>
      <c r="H609" t="str">
        <f>"2"</f>
        <v>2</v>
      </c>
      <c r="I609" s="2">
        <v>108887798</v>
      </c>
    </row>
    <row r="610" spans="1:9" x14ac:dyDescent="0.25">
      <c r="A610">
        <v>609</v>
      </c>
      <c r="B610" s="1">
        <v>44561</v>
      </c>
      <c r="C610">
        <v>14</v>
      </c>
      <c r="D610" t="str">
        <f t="shared" si="86"/>
        <v>2551</v>
      </c>
      <c r="E610" t="str">
        <f t="shared" si="87"/>
        <v>Расчеты с другими банками</v>
      </c>
      <c r="F610" t="str">
        <f>"1"</f>
        <v>1</v>
      </c>
      <c r="G610" t="str">
        <f t="shared" si="88"/>
        <v>4</v>
      </c>
      <c r="H610" t="str">
        <f>"1"</f>
        <v>1</v>
      </c>
      <c r="I610" s="2">
        <v>172122205</v>
      </c>
    </row>
    <row r="611" spans="1:9" x14ac:dyDescent="0.25">
      <c r="A611">
        <v>610</v>
      </c>
      <c r="B611" s="1">
        <v>44561</v>
      </c>
      <c r="C611">
        <v>14</v>
      </c>
      <c r="D611" t="str">
        <f t="shared" si="86"/>
        <v>2551</v>
      </c>
      <c r="E611" t="str">
        <f t="shared" si="87"/>
        <v>Расчеты с другими банками</v>
      </c>
      <c r="F611" t="str">
        <f>"1"</f>
        <v>1</v>
      </c>
      <c r="G611" t="str">
        <f t="shared" si="88"/>
        <v>4</v>
      </c>
      <c r="H611" t="str">
        <f>"3"</f>
        <v>3</v>
      </c>
      <c r="I611" s="2">
        <v>141184</v>
      </c>
    </row>
    <row r="612" spans="1:9" x14ac:dyDescent="0.25">
      <c r="A612">
        <v>611</v>
      </c>
      <c r="B612" s="1">
        <v>44561</v>
      </c>
      <c r="C612">
        <v>14</v>
      </c>
      <c r="D612" t="str">
        <f t="shared" ref="D612:D617" si="89">"2552"</f>
        <v>2552</v>
      </c>
      <c r="E612" t="str">
        <f t="shared" ref="E612:E617" si="90">"Расчеты с клиентами"</f>
        <v>Расчеты с клиентами</v>
      </c>
      <c r="F612" t="str">
        <f>"2"</f>
        <v>2</v>
      </c>
      <c r="G612" t="str">
        <f>"7"</f>
        <v>7</v>
      </c>
      <c r="H612" t="str">
        <f>"1"</f>
        <v>1</v>
      </c>
      <c r="I612" s="2">
        <v>23485822455</v>
      </c>
    </row>
    <row r="613" spans="1:9" x14ac:dyDescent="0.25">
      <c r="A613">
        <v>612</v>
      </c>
      <c r="B613" s="1">
        <v>44561</v>
      </c>
      <c r="C613">
        <v>14</v>
      </c>
      <c r="D613" t="str">
        <f t="shared" si="89"/>
        <v>2552</v>
      </c>
      <c r="E613" t="str">
        <f t="shared" si="90"/>
        <v>Расчеты с клиентами</v>
      </c>
      <c r="F613" t="str">
        <f>"2"</f>
        <v>2</v>
      </c>
      <c r="G613" t="str">
        <f>"7"</f>
        <v>7</v>
      </c>
      <c r="H613" t="str">
        <f>"3"</f>
        <v>3</v>
      </c>
      <c r="I613" s="2">
        <v>268094577</v>
      </c>
    </row>
    <row r="614" spans="1:9" x14ac:dyDescent="0.25">
      <c r="A614">
        <v>613</v>
      </c>
      <c r="B614" s="1">
        <v>44561</v>
      </c>
      <c r="C614">
        <v>14</v>
      </c>
      <c r="D614" t="str">
        <f t="shared" si="89"/>
        <v>2552</v>
      </c>
      <c r="E614" t="str">
        <f t="shared" si="90"/>
        <v>Расчеты с клиентами</v>
      </c>
      <c r="F614" t="str">
        <f>"1"</f>
        <v>1</v>
      </c>
      <c r="G614" t="str">
        <f>"9"</f>
        <v>9</v>
      </c>
      <c r="H614" t="str">
        <f>"2"</f>
        <v>2</v>
      </c>
      <c r="I614" s="2">
        <v>133853794</v>
      </c>
    </row>
    <row r="615" spans="1:9" x14ac:dyDescent="0.25">
      <c r="A615">
        <v>614</v>
      </c>
      <c r="B615" s="1">
        <v>44561</v>
      </c>
      <c r="C615">
        <v>14</v>
      </c>
      <c r="D615" t="str">
        <f t="shared" si="89"/>
        <v>2552</v>
      </c>
      <c r="E615" t="str">
        <f t="shared" si="90"/>
        <v>Расчеты с клиентами</v>
      </c>
      <c r="F615" t="str">
        <f>"1"</f>
        <v>1</v>
      </c>
      <c r="G615" t="str">
        <f>"7"</f>
        <v>7</v>
      </c>
      <c r="H615" t="str">
        <f>"1"</f>
        <v>1</v>
      </c>
      <c r="I615" s="2">
        <v>3902157</v>
      </c>
    </row>
    <row r="616" spans="1:9" x14ac:dyDescent="0.25">
      <c r="A616">
        <v>615</v>
      </c>
      <c r="B616" s="1">
        <v>44561</v>
      </c>
      <c r="C616">
        <v>14</v>
      </c>
      <c r="D616" t="str">
        <f t="shared" si="89"/>
        <v>2552</v>
      </c>
      <c r="E616" t="str">
        <f t="shared" si="90"/>
        <v>Расчеты с клиентами</v>
      </c>
      <c r="F616" t="str">
        <f>"2"</f>
        <v>2</v>
      </c>
      <c r="G616" t="str">
        <f>"7"</f>
        <v>7</v>
      </c>
      <c r="H616" t="str">
        <f>"2"</f>
        <v>2</v>
      </c>
      <c r="I616" s="2">
        <v>571227963</v>
      </c>
    </row>
    <row r="617" spans="1:9" x14ac:dyDescent="0.25">
      <c r="A617">
        <v>616</v>
      </c>
      <c r="B617" s="1">
        <v>44561</v>
      </c>
      <c r="C617">
        <v>14</v>
      </c>
      <c r="D617" t="str">
        <f t="shared" si="89"/>
        <v>2552</v>
      </c>
      <c r="E617" t="str">
        <f t="shared" si="90"/>
        <v>Расчеты с клиентами</v>
      </c>
      <c r="F617" t="str">
        <f>"1"</f>
        <v>1</v>
      </c>
      <c r="G617" t="str">
        <f>"9"</f>
        <v>9</v>
      </c>
      <c r="H617" t="str">
        <f t="shared" ref="H617:H622" si="91">"1"</f>
        <v>1</v>
      </c>
      <c r="I617" s="2">
        <v>11457220</v>
      </c>
    </row>
    <row r="618" spans="1:9" x14ac:dyDescent="0.25">
      <c r="A618">
        <v>617</v>
      </c>
      <c r="B618" s="1">
        <v>44561</v>
      </c>
      <c r="C618">
        <v>14</v>
      </c>
      <c r="D618" t="str">
        <f>"2703"</f>
        <v>2703</v>
      </c>
      <c r="E618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618" t="str">
        <f>"1"</f>
        <v>1</v>
      </c>
      <c r="G618" t="str">
        <f>"6"</f>
        <v>6</v>
      </c>
      <c r="H618" t="str">
        <f t="shared" si="91"/>
        <v>1</v>
      </c>
      <c r="I618" s="2">
        <v>81944</v>
      </c>
    </row>
    <row r="619" spans="1:9" x14ac:dyDescent="0.25">
      <c r="A619">
        <v>618</v>
      </c>
      <c r="B619" s="1">
        <v>44561</v>
      </c>
      <c r="C619">
        <v>14</v>
      </c>
      <c r="D619" t="str">
        <f>"2705"</f>
        <v>2705</v>
      </c>
      <c r="E619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619" t="str">
        <f>"1"</f>
        <v>1</v>
      </c>
      <c r="G619" t="str">
        <f>"4"</f>
        <v>4</v>
      </c>
      <c r="H619" t="str">
        <f t="shared" si="91"/>
        <v>1</v>
      </c>
      <c r="I619" s="2">
        <v>155778540</v>
      </c>
    </row>
    <row r="620" spans="1:9" x14ac:dyDescent="0.25">
      <c r="A620">
        <v>619</v>
      </c>
      <c r="B620" s="1">
        <v>44561</v>
      </c>
      <c r="C620">
        <v>14</v>
      </c>
      <c r="D620" t="str">
        <f>"2706"</f>
        <v>2706</v>
      </c>
      <c r="E620" t="str">
        <f>"Начисленные расходы по займам и финансовому лизингу"</f>
        <v>Начисленные расходы по займам и финансовому лизингу</v>
      </c>
      <c r="F620" t="str">
        <f>"1"</f>
        <v>1</v>
      </c>
      <c r="G620" t="str">
        <f>"5"</f>
        <v>5</v>
      </c>
      <c r="H620" t="str">
        <f t="shared" si="91"/>
        <v>1</v>
      </c>
      <c r="I620" s="2">
        <v>411527614</v>
      </c>
    </row>
    <row r="621" spans="1:9" x14ac:dyDescent="0.25">
      <c r="A621">
        <v>620</v>
      </c>
      <c r="B621" s="1">
        <v>44561</v>
      </c>
      <c r="C621">
        <v>14</v>
      </c>
      <c r="D621" t="str">
        <f>"2712"</f>
        <v>2712</v>
      </c>
      <c r="E621" t="str">
        <f>"Начисленные расходы по срочным вкладам других банков"</f>
        <v>Начисленные расходы по срочным вкладам других банков</v>
      </c>
      <c r="F621" t="str">
        <f>"2"</f>
        <v>2</v>
      </c>
      <c r="G621" t="str">
        <f>"4"</f>
        <v>4</v>
      </c>
      <c r="H621" t="str">
        <f t="shared" si="91"/>
        <v>1</v>
      </c>
      <c r="I621" s="2">
        <v>719444</v>
      </c>
    </row>
    <row r="622" spans="1:9" x14ac:dyDescent="0.25">
      <c r="A622">
        <v>621</v>
      </c>
      <c r="B622" s="1">
        <v>44561</v>
      </c>
      <c r="C622">
        <v>14</v>
      </c>
      <c r="D622" t="str">
        <f>"2718"</f>
        <v>2718</v>
      </c>
      <c r="E622" t="str">
        <f>"Начисленные расходы по текущим счетам клиентов"</f>
        <v>Начисленные расходы по текущим счетам клиентов</v>
      </c>
      <c r="F622" t="str">
        <f>"1"</f>
        <v>1</v>
      </c>
      <c r="G622" t="str">
        <f>"6"</f>
        <v>6</v>
      </c>
      <c r="H622" t="str">
        <f t="shared" si="91"/>
        <v>1</v>
      </c>
      <c r="I622" s="2">
        <v>41811</v>
      </c>
    </row>
    <row r="623" spans="1:9" x14ac:dyDescent="0.25">
      <c r="A623">
        <v>622</v>
      </c>
      <c r="B623" s="1">
        <v>44561</v>
      </c>
      <c r="C623">
        <v>14</v>
      </c>
      <c r="D623" t="str">
        <f t="shared" ref="D623:D633" si="92">"2719"</f>
        <v>2719</v>
      </c>
      <c r="E623" t="str">
        <f t="shared" ref="E623:E633" si="93">"Начисленные расходы по условным вкладам клиентов"</f>
        <v>Начисленные расходы по условным вкладам клиентов</v>
      </c>
      <c r="F623" t="str">
        <f>"2"</f>
        <v>2</v>
      </c>
      <c r="G623" t="str">
        <f>"7"</f>
        <v>7</v>
      </c>
      <c r="H623" t="str">
        <f>"3"</f>
        <v>3</v>
      </c>
      <c r="I623" s="2">
        <v>66748</v>
      </c>
    </row>
    <row r="624" spans="1:9" x14ac:dyDescent="0.25">
      <c r="A624">
        <v>623</v>
      </c>
      <c r="B624" s="1">
        <v>44561</v>
      </c>
      <c r="C624">
        <v>14</v>
      </c>
      <c r="D624" t="str">
        <f t="shared" si="92"/>
        <v>2719</v>
      </c>
      <c r="E624" t="str">
        <f t="shared" si="93"/>
        <v>Начисленные расходы по условным вкладам клиентов</v>
      </c>
      <c r="F624" t="str">
        <f>"1"</f>
        <v>1</v>
      </c>
      <c r="G624" t="str">
        <f>"7"</f>
        <v>7</v>
      </c>
      <c r="H624" t="str">
        <f>"2"</f>
        <v>2</v>
      </c>
      <c r="I624" s="2">
        <v>1318454539</v>
      </c>
    </row>
    <row r="625" spans="1:9" x14ac:dyDescent="0.25">
      <c r="A625">
        <v>624</v>
      </c>
      <c r="B625" s="1">
        <v>44561</v>
      </c>
      <c r="C625">
        <v>14</v>
      </c>
      <c r="D625" t="str">
        <f t="shared" si="92"/>
        <v>2719</v>
      </c>
      <c r="E625" t="str">
        <f t="shared" si="93"/>
        <v>Начисленные расходы по условным вкладам клиентов</v>
      </c>
      <c r="F625" t="str">
        <f>"2"</f>
        <v>2</v>
      </c>
      <c r="G625" t="str">
        <f>"7"</f>
        <v>7</v>
      </c>
      <c r="H625" t="str">
        <f>"2"</f>
        <v>2</v>
      </c>
      <c r="I625" s="2">
        <v>3742768</v>
      </c>
    </row>
    <row r="626" spans="1:9" x14ac:dyDescent="0.25">
      <c r="A626">
        <v>625</v>
      </c>
      <c r="B626" s="1">
        <v>44561</v>
      </c>
      <c r="C626">
        <v>14</v>
      </c>
      <c r="D626" t="str">
        <f t="shared" si="92"/>
        <v>2719</v>
      </c>
      <c r="E626" t="str">
        <f t="shared" si="93"/>
        <v>Начисленные расходы по условным вкладам клиентов</v>
      </c>
      <c r="F626" t="str">
        <f>"2"</f>
        <v>2</v>
      </c>
      <c r="G626" t="str">
        <f>"9"</f>
        <v>9</v>
      </c>
      <c r="H626" t="str">
        <f>"1"</f>
        <v>1</v>
      </c>
      <c r="I626" s="2">
        <v>247363</v>
      </c>
    </row>
    <row r="627" spans="1:9" x14ac:dyDescent="0.25">
      <c r="A627">
        <v>626</v>
      </c>
      <c r="B627" s="1">
        <v>44561</v>
      </c>
      <c r="C627">
        <v>14</v>
      </c>
      <c r="D627" t="str">
        <f t="shared" si="92"/>
        <v>2719</v>
      </c>
      <c r="E627" t="str">
        <f t="shared" si="93"/>
        <v>Начисленные расходы по условным вкладам клиентов</v>
      </c>
      <c r="F627" t="str">
        <f>"1"</f>
        <v>1</v>
      </c>
      <c r="G627" t="str">
        <f>"9"</f>
        <v>9</v>
      </c>
      <c r="H627" t="str">
        <f>"2"</f>
        <v>2</v>
      </c>
      <c r="I627" s="2">
        <v>46151</v>
      </c>
    </row>
    <row r="628" spans="1:9" x14ac:dyDescent="0.25">
      <c r="A628">
        <v>627</v>
      </c>
      <c r="B628" s="1">
        <v>44561</v>
      </c>
      <c r="C628">
        <v>14</v>
      </c>
      <c r="D628" t="str">
        <f t="shared" si="92"/>
        <v>2719</v>
      </c>
      <c r="E628" t="str">
        <f t="shared" si="93"/>
        <v>Начисленные расходы по условным вкладам клиентов</v>
      </c>
      <c r="F628" t="str">
        <f>"1"</f>
        <v>1</v>
      </c>
      <c r="G628" t="str">
        <f>"9"</f>
        <v>9</v>
      </c>
      <c r="H628" t="str">
        <f t="shared" ref="H628:H633" si="94">"1"</f>
        <v>1</v>
      </c>
      <c r="I628" s="2">
        <v>10889105</v>
      </c>
    </row>
    <row r="629" spans="1:9" x14ac:dyDescent="0.25">
      <c r="A629">
        <v>628</v>
      </c>
      <c r="B629" s="1">
        <v>44561</v>
      </c>
      <c r="C629">
        <v>14</v>
      </c>
      <c r="D629" t="str">
        <f t="shared" si="92"/>
        <v>2719</v>
      </c>
      <c r="E629" t="str">
        <f t="shared" si="93"/>
        <v>Начисленные расходы по условным вкладам клиентов</v>
      </c>
      <c r="F629" t="str">
        <f>"1"</f>
        <v>1</v>
      </c>
      <c r="G629" t="str">
        <f>"5"</f>
        <v>5</v>
      </c>
      <c r="H629" t="str">
        <f t="shared" si="94"/>
        <v>1</v>
      </c>
      <c r="I629" s="2">
        <v>432</v>
      </c>
    </row>
    <row r="630" spans="1:9" x14ac:dyDescent="0.25">
      <c r="A630">
        <v>629</v>
      </c>
      <c r="B630" s="1">
        <v>44561</v>
      </c>
      <c r="C630">
        <v>14</v>
      </c>
      <c r="D630" t="str">
        <f t="shared" si="92"/>
        <v>2719</v>
      </c>
      <c r="E630" t="str">
        <f t="shared" si="93"/>
        <v>Начисленные расходы по условным вкладам клиентов</v>
      </c>
      <c r="F630" t="str">
        <f>"1"</f>
        <v>1</v>
      </c>
      <c r="G630" t="str">
        <f>"8"</f>
        <v>8</v>
      </c>
      <c r="H630" t="str">
        <f t="shared" si="94"/>
        <v>1</v>
      </c>
      <c r="I630" s="2">
        <v>233527</v>
      </c>
    </row>
    <row r="631" spans="1:9" x14ac:dyDescent="0.25">
      <c r="A631">
        <v>630</v>
      </c>
      <c r="B631" s="1">
        <v>44561</v>
      </c>
      <c r="C631">
        <v>14</v>
      </c>
      <c r="D631" t="str">
        <f t="shared" si="92"/>
        <v>2719</v>
      </c>
      <c r="E631" t="str">
        <f t="shared" si="93"/>
        <v>Начисленные расходы по условным вкладам клиентов</v>
      </c>
      <c r="F631" t="str">
        <f>"1"</f>
        <v>1</v>
      </c>
      <c r="G631" t="str">
        <f>"6"</f>
        <v>6</v>
      </c>
      <c r="H631" t="str">
        <f t="shared" si="94"/>
        <v>1</v>
      </c>
      <c r="I631" s="2">
        <v>153818</v>
      </c>
    </row>
    <row r="632" spans="1:9" x14ac:dyDescent="0.25">
      <c r="A632">
        <v>631</v>
      </c>
      <c r="B632" s="1">
        <v>44561</v>
      </c>
      <c r="C632">
        <v>14</v>
      </c>
      <c r="D632" t="str">
        <f t="shared" si="92"/>
        <v>2719</v>
      </c>
      <c r="E632" t="str">
        <f t="shared" si="93"/>
        <v>Начисленные расходы по условным вкладам клиентов</v>
      </c>
      <c r="F632" t="str">
        <f>"2"</f>
        <v>2</v>
      </c>
      <c r="G632" t="str">
        <f>"7"</f>
        <v>7</v>
      </c>
      <c r="H632" t="str">
        <f t="shared" si="94"/>
        <v>1</v>
      </c>
      <c r="I632" s="2">
        <v>25793948</v>
      </c>
    </row>
    <row r="633" spans="1:9" x14ac:dyDescent="0.25">
      <c r="A633">
        <v>632</v>
      </c>
      <c r="B633" s="1">
        <v>44561</v>
      </c>
      <c r="C633">
        <v>14</v>
      </c>
      <c r="D633" t="str">
        <f t="shared" si="92"/>
        <v>2719</v>
      </c>
      <c r="E633" t="str">
        <f t="shared" si="93"/>
        <v>Начисленные расходы по условным вкладам клиентов</v>
      </c>
      <c r="F633" t="str">
        <f>"1"</f>
        <v>1</v>
      </c>
      <c r="G633" t="str">
        <f>"7"</f>
        <v>7</v>
      </c>
      <c r="H633" t="str">
        <f t="shared" si="94"/>
        <v>1</v>
      </c>
      <c r="I633" s="2">
        <v>389199285</v>
      </c>
    </row>
    <row r="634" spans="1:9" x14ac:dyDescent="0.25">
      <c r="A634">
        <v>633</v>
      </c>
      <c r="B634" s="1">
        <v>44561</v>
      </c>
      <c r="C634">
        <v>14</v>
      </c>
      <c r="D634" t="str">
        <f t="shared" ref="D634:D650" si="95">"2721"</f>
        <v>2721</v>
      </c>
      <c r="E634" t="str">
        <f t="shared" ref="E634:E650" si="96">"Начисленные расходы по срочным вкладам клиентов"</f>
        <v>Начисленные расходы по срочным вкладам клиентов</v>
      </c>
      <c r="F634" t="str">
        <f>"2"</f>
        <v>2</v>
      </c>
      <c r="G634" t="str">
        <f>"9"</f>
        <v>9</v>
      </c>
      <c r="H634" t="str">
        <f>"2"</f>
        <v>2</v>
      </c>
      <c r="I634" s="2">
        <v>7120403</v>
      </c>
    </row>
    <row r="635" spans="1:9" x14ac:dyDescent="0.25">
      <c r="A635">
        <v>634</v>
      </c>
      <c r="B635" s="1">
        <v>44561</v>
      </c>
      <c r="C635">
        <v>14</v>
      </c>
      <c r="D635" t="str">
        <f t="shared" si="95"/>
        <v>2721</v>
      </c>
      <c r="E635" t="str">
        <f t="shared" si="96"/>
        <v>Начисленные расходы по срочным вкладам клиентов</v>
      </c>
      <c r="F635" t="str">
        <f>"2"</f>
        <v>2</v>
      </c>
      <c r="G635" t="str">
        <f>"9"</f>
        <v>9</v>
      </c>
      <c r="H635" t="str">
        <f>"1"</f>
        <v>1</v>
      </c>
      <c r="I635" s="2">
        <v>15463000</v>
      </c>
    </row>
    <row r="636" spans="1:9" x14ac:dyDescent="0.25">
      <c r="A636">
        <v>635</v>
      </c>
      <c r="B636" s="1">
        <v>44561</v>
      </c>
      <c r="C636">
        <v>14</v>
      </c>
      <c r="D636" t="str">
        <f t="shared" si="95"/>
        <v>2721</v>
      </c>
      <c r="E636" t="str">
        <f t="shared" si="96"/>
        <v>Начисленные расходы по срочным вкладам клиентов</v>
      </c>
      <c r="F636" t="str">
        <f>"1"</f>
        <v>1</v>
      </c>
      <c r="G636" t="str">
        <f>"8"</f>
        <v>8</v>
      </c>
      <c r="H636" t="str">
        <f>"1"</f>
        <v>1</v>
      </c>
      <c r="I636" s="2">
        <v>31369252</v>
      </c>
    </row>
    <row r="637" spans="1:9" x14ac:dyDescent="0.25">
      <c r="A637">
        <v>636</v>
      </c>
      <c r="B637" s="1">
        <v>44561</v>
      </c>
      <c r="C637">
        <v>14</v>
      </c>
      <c r="D637" t="str">
        <f t="shared" si="95"/>
        <v>2721</v>
      </c>
      <c r="E637" t="str">
        <f t="shared" si="96"/>
        <v>Начисленные расходы по срочным вкладам клиентов</v>
      </c>
      <c r="F637" t="str">
        <f>"1"</f>
        <v>1</v>
      </c>
      <c r="G637" t="str">
        <f>"7"</f>
        <v>7</v>
      </c>
      <c r="H637" t="str">
        <f>"2"</f>
        <v>2</v>
      </c>
      <c r="I637" s="2">
        <v>1005695299</v>
      </c>
    </row>
    <row r="638" spans="1:9" x14ac:dyDescent="0.25">
      <c r="A638">
        <v>637</v>
      </c>
      <c r="B638" s="1">
        <v>44561</v>
      </c>
      <c r="C638">
        <v>14</v>
      </c>
      <c r="D638" t="str">
        <f t="shared" si="95"/>
        <v>2721</v>
      </c>
      <c r="E638" t="str">
        <f t="shared" si="96"/>
        <v>Начисленные расходы по срочным вкладам клиентов</v>
      </c>
      <c r="F638" t="str">
        <f>"1"</f>
        <v>1</v>
      </c>
      <c r="G638" t="str">
        <f>"5"</f>
        <v>5</v>
      </c>
      <c r="H638" t="str">
        <f>"1"</f>
        <v>1</v>
      </c>
      <c r="I638" s="2">
        <v>2259550000</v>
      </c>
    </row>
    <row r="639" spans="1:9" x14ac:dyDescent="0.25">
      <c r="A639">
        <v>638</v>
      </c>
      <c r="B639" s="1">
        <v>44561</v>
      </c>
      <c r="C639">
        <v>14</v>
      </c>
      <c r="D639" t="str">
        <f t="shared" si="95"/>
        <v>2721</v>
      </c>
      <c r="E639" t="str">
        <f t="shared" si="96"/>
        <v>Начисленные расходы по срочным вкладам клиентов</v>
      </c>
      <c r="F639" t="str">
        <f>"1"</f>
        <v>1</v>
      </c>
      <c r="G639" t="str">
        <f>"8"</f>
        <v>8</v>
      </c>
      <c r="H639" t="str">
        <f>"2"</f>
        <v>2</v>
      </c>
      <c r="I639" s="2">
        <v>572252653</v>
      </c>
    </row>
    <row r="640" spans="1:9" x14ac:dyDescent="0.25">
      <c r="A640">
        <v>639</v>
      </c>
      <c r="B640" s="1">
        <v>44561</v>
      </c>
      <c r="C640">
        <v>14</v>
      </c>
      <c r="D640" t="str">
        <f t="shared" si="95"/>
        <v>2721</v>
      </c>
      <c r="E640" t="str">
        <f t="shared" si="96"/>
        <v>Начисленные расходы по срочным вкладам клиентов</v>
      </c>
      <c r="F640" t="str">
        <f>"2"</f>
        <v>2</v>
      </c>
      <c r="G640" t="str">
        <f>"7"</f>
        <v>7</v>
      </c>
      <c r="H640" t="str">
        <f>"2"</f>
        <v>2</v>
      </c>
      <c r="I640" s="2">
        <v>67543</v>
      </c>
    </row>
    <row r="641" spans="1:9" x14ac:dyDescent="0.25">
      <c r="A641">
        <v>640</v>
      </c>
      <c r="B641" s="1">
        <v>44561</v>
      </c>
      <c r="C641">
        <v>14</v>
      </c>
      <c r="D641" t="str">
        <f t="shared" si="95"/>
        <v>2721</v>
      </c>
      <c r="E641" t="str">
        <f t="shared" si="96"/>
        <v>Начисленные расходы по срочным вкладам клиентов</v>
      </c>
      <c r="F641" t="str">
        <f>"1"</f>
        <v>1</v>
      </c>
      <c r="G641" t="str">
        <f>"6"</f>
        <v>6</v>
      </c>
      <c r="H641" t="str">
        <f>"2"</f>
        <v>2</v>
      </c>
      <c r="I641" s="2">
        <v>130779465</v>
      </c>
    </row>
    <row r="642" spans="1:9" x14ac:dyDescent="0.25">
      <c r="A642">
        <v>641</v>
      </c>
      <c r="B642" s="1">
        <v>44561</v>
      </c>
      <c r="C642">
        <v>14</v>
      </c>
      <c r="D642" t="str">
        <f t="shared" si="95"/>
        <v>2721</v>
      </c>
      <c r="E642" t="str">
        <f t="shared" si="96"/>
        <v>Начисленные расходы по срочным вкладам клиентов</v>
      </c>
      <c r="F642" t="str">
        <f>"2"</f>
        <v>2</v>
      </c>
      <c r="G642" t="str">
        <f>"9"</f>
        <v>9</v>
      </c>
      <c r="H642" t="str">
        <f>"3"</f>
        <v>3</v>
      </c>
      <c r="I642" s="2">
        <v>1</v>
      </c>
    </row>
    <row r="643" spans="1:9" x14ac:dyDescent="0.25">
      <c r="A643">
        <v>642</v>
      </c>
      <c r="B643" s="1">
        <v>44561</v>
      </c>
      <c r="C643">
        <v>14</v>
      </c>
      <c r="D643" t="str">
        <f t="shared" si="95"/>
        <v>2721</v>
      </c>
      <c r="E643" t="str">
        <f t="shared" si="96"/>
        <v>Начисленные расходы по срочным вкладам клиентов</v>
      </c>
      <c r="F643" t="str">
        <f>"1"</f>
        <v>1</v>
      </c>
      <c r="G643" t="str">
        <f>"9"</f>
        <v>9</v>
      </c>
      <c r="H643" t="str">
        <f>"3"</f>
        <v>3</v>
      </c>
      <c r="I643" s="2">
        <v>189</v>
      </c>
    </row>
    <row r="644" spans="1:9" x14ac:dyDescent="0.25">
      <c r="A644">
        <v>643</v>
      </c>
      <c r="B644" s="1">
        <v>44561</v>
      </c>
      <c r="C644">
        <v>14</v>
      </c>
      <c r="D644" t="str">
        <f t="shared" si="95"/>
        <v>2721</v>
      </c>
      <c r="E644" t="str">
        <f t="shared" si="96"/>
        <v>Начисленные расходы по срочным вкладам клиентов</v>
      </c>
      <c r="F644" t="str">
        <f>"1"</f>
        <v>1</v>
      </c>
      <c r="G644" t="str">
        <f>"7"</f>
        <v>7</v>
      </c>
      <c r="H644" t="str">
        <f>"1"</f>
        <v>1</v>
      </c>
      <c r="I644" s="2">
        <v>338482823</v>
      </c>
    </row>
    <row r="645" spans="1:9" x14ac:dyDescent="0.25">
      <c r="A645">
        <v>644</v>
      </c>
      <c r="B645" s="1">
        <v>44561</v>
      </c>
      <c r="C645">
        <v>14</v>
      </c>
      <c r="D645" t="str">
        <f t="shared" si="95"/>
        <v>2721</v>
      </c>
      <c r="E645" t="str">
        <f t="shared" si="96"/>
        <v>Начисленные расходы по срочным вкладам клиентов</v>
      </c>
      <c r="F645" t="str">
        <f>"2"</f>
        <v>2</v>
      </c>
      <c r="G645" t="str">
        <f>"7"</f>
        <v>7</v>
      </c>
      <c r="H645" t="str">
        <f>"1"</f>
        <v>1</v>
      </c>
      <c r="I645" s="2">
        <v>1260371</v>
      </c>
    </row>
    <row r="646" spans="1:9" x14ac:dyDescent="0.25">
      <c r="A646">
        <v>645</v>
      </c>
      <c r="B646" s="1">
        <v>44561</v>
      </c>
      <c r="C646">
        <v>14</v>
      </c>
      <c r="D646" t="str">
        <f t="shared" si="95"/>
        <v>2721</v>
      </c>
      <c r="E646" t="str">
        <f t="shared" si="96"/>
        <v>Начисленные расходы по срочным вкладам клиентов</v>
      </c>
      <c r="F646" t="str">
        <f>"1"</f>
        <v>1</v>
      </c>
      <c r="G646" t="str">
        <f>"9"</f>
        <v>9</v>
      </c>
      <c r="H646" t="str">
        <f>"2"</f>
        <v>2</v>
      </c>
      <c r="I646" s="2">
        <v>827955930</v>
      </c>
    </row>
    <row r="647" spans="1:9" x14ac:dyDescent="0.25">
      <c r="A647">
        <v>646</v>
      </c>
      <c r="B647" s="1">
        <v>44561</v>
      </c>
      <c r="C647">
        <v>14</v>
      </c>
      <c r="D647" t="str">
        <f t="shared" si="95"/>
        <v>2721</v>
      </c>
      <c r="E647" t="str">
        <f t="shared" si="96"/>
        <v>Начисленные расходы по срочным вкладам клиентов</v>
      </c>
      <c r="F647" t="str">
        <f>"1"</f>
        <v>1</v>
      </c>
      <c r="G647" t="str">
        <f>"9"</f>
        <v>9</v>
      </c>
      <c r="H647" t="str">
        <f>"1"</f>
        <v>1</v>
      </c>
      <c r="I647" s="2">
        <v>4080926000</v>
      </c>
    </row>
    <row r="648" spans="1:9" x14ac:dyDescent="0.25">
      <c r="A648">
        <v>647</v>
      </c>
      <c r="B648" s="1">
        <v>44561</v>
      </c>
      <c r="C648">
        <v>14</v>
      </c>
      <c r="D648" t="str">
        <f t="shared" si="95"/>
        <v>2721</v>
      </c>
      <c r="E648" t="str">
        <f t="shared" si="96"/>
        <v>Начисленные расходы по срочным вкладам клиентов</v>
      </c>
      <c r="F648" t="str">
        <f>"1"</f>
        <v>1</v>
      </c>
      <c r="G648" t="str">
        <f>"6"</f>
        <v>6</v>
      </c>
      <c r="H648" t="str">
        <f>"1"</f>
        <v>1</v>
      </c>
      <c r="I648" s="2">
        <v>987899000</v>
      </c>
    </row>
    <row r="649" spans="1:9" x14ac:dyDescent="0.25">
      <c r="A649">
        <v>648</v>
      </c>
      <c r="B649" s="1">
        <v>44561</v>
      </c>
      <c r="C649">
        <v>14</v>
      </c>
      <c r="D649" t="str">
        <f t="shared" si="95"/>
        <v>2721</v>
      </c>
      <c r="E649" t="str">
        <f t="shared" si="96"/>
        <v>Начисленные расходы по срочным вкладам клиентов</v>
      </c>
      <c r="F649" t="str">
        <f>"2"</f>
        <v>2</v>
      </c>
      <c r="G649" t="str">
        <f>"5"</f>
        <v>5</v>
      </c>
      <c r="H649" t="str">
        <f>"2"</f>
        <v>2</v>
      </c>
      <c r="I649" s="2">
        <v>87560</v>
      </c>
    </row>
    <row r="650" spans="1:9" x14ac:dyDescent="0.25">
      <c r="A650">
        <v>649</v>
      </c>
      <c r="B650" s="1">
        <v>44561</v>
      </c>
      <c r="C650">
        <v>14</v>
      </c>
      <c r="D650" t="str">
        <f t="shared" si="95"/>
        <v>2721</v>
      </c>
      <c r="E650" t="str">
        <f t="shared" si="96"/>
        <v>Начисленные расходы по срочным вкладам клиентов</v>
      </c>
      <c r="F650" t="str">
        <f>"1"</f>
        <v>1</v>
      </c>
      <c r="G650" t="str">
        <f>"5"</f>
        <v>5</v>
      </c>
      <c r="H650" t="str">
        <f>"2"</f>
        <v>2</v>
      </c>
      <c r="I650" s="2">
        <v>47211595</v>
      </c>
    </row>
    <row r="651" spans="1:9" x14ac:dyDescent="0.25">
      <c r="A651">
        <v>650</v>
      </c>
      <c r="B651" s="1">
        <v>44561</v>
      </c>
      <c r="C651">
        <v>14</v>
      </c>
      <c r="D651" t="str">
        <f t="shared" ref="D651:D658" si="97">"2723"</f>
        <v>2723</v>
      </c>
      <c r="E651" t="str">
        <f t="shared" ref="E651:E658" si="98"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51" t="str">
        <f>"1"</f>
        <v>1</v>
      </c>
      <c r="G651" t="str">
        <f>"7"</f>
        <v>7</v>
      </c>
      <c r="H651" t="str">
        <f>"2"</f>
        <v>2</v>
      </c>
      <c r="I651" s="2">
        <v>1369635</v>
      </c>
    </row>
    <row r="652" spans="1:9" x14ac:dyDescent="0.25">
      <c r="A652">
        <v>651</v>
      </c>
      <c r="B652" s="1">
        <v>44561</v>
      </c>
      <c r="C652">
        <v>14</v>
      </c>
      <c r="D652" t="str">
        <f t="shared" si="97"/>
        <v>2723</v>
      </c>
      <c r="E652" t="str">
        <f t="shared" si="98"/>
        <v>Начисленные расходы по вкладу, являющемуся обеспечением обязательств клиентов</v>
      </c>
      <c r="F652" t="str">
        <f>"2"</f>
        <v>2</v>
      </c>
      <c r="G652" t="str">
        <f>"9"</f>
        <v>9</v>
      </c>
      <c r="H652" t="str">
        <f>"2"</f>
        <v>2</v>
      </c>
      <c r="I652" s="2">
        <v>1157</v>
      </c>
    </row>
    <row r="653" spans="1:9" x14ac:dyDescent="0.25">
      <c r="A653">
        <v>652</v>
      </c>
      <c r="B653" s="1">
        <v>44561</v>
      </c>
      <c r="C653">
        <v>14</v>
      </c>
      <c r="D653" t="str">
        <f t="shared" si="97"/>
        <v>2723</v>
      </c>
      <c r="E653" t="str">
        <f t="shared" si="98"/>
        <v>Начисленные расходы по вкладу, являющемуся обеспечением обязательств клиентов</v>
      </c>
      <c r="F653" t="str">
        <f>"1"</f>
        <v>1</v>
      </c>
      <c r="G653" t="str">
        <f>"9"</f>
        <v>9</v>
      </c>
      <c r="H653" t="str">
        <f>"1"</f>
        <v>1</v>
      </c>
      <c r="I653" s="2">
        <v>47261060</v>
      </c>
    </row>
    <row r="654" spans="1:9" x14ac:dyDescent="0.25">
      <c r="A654">
        <v>653</v>
      </c>
      <c r="B654" s="1">
        <v>44561</v>
      </c>
      <c r="C654">
        <v>14</v>
      </c>
      <c r="D654" t="str">
        <f t="shared" si="97"/>
        <v>2723</v>
      </c>
      <c r="E654" t="str">
        <f t="shared" si="98"/>
        <v>Начисленные расходы по вкладу, являющемуся обеспечением обязательств клиентов</v>
      </c>
      <c r="F654" t="str">
        <f>"1"</f>
        <v>1</v>
      </c>
      <c r="G654" t="str">
        <f>"7"</f>
        <v>7</v>
      </c>
      <c r="H654" t="str">
        <f>"1"</f>
        <v>1</v>
      </c>
      <c r="I654" s="2">
        <v>45333206</v>
      </c>
    </row>
    <row r="655" spans="1:9" x14ac:dyDescent="0.25">
      <c r="A655">
        <v>654</v>
      </c>
      <c r="B655" s="1">
        <v>44561</v>
      </c>
      <c r="C655">
        <v>14</v>
      </c>
      <c r="D655" t="str">
        <f t="shared" si="97"/>
        <v>2723</v>
      </c>
      <c r="E655" t="str">
        <f t="shared" si="98"/>
        <v>Начисленные расходы по вкладу, являющемуся обеспечением обязательств клиентов</v>
      </c>
      <c r="F655" t="str">
        <f>"2"</f>
        <v>2</v>
      </c>
      <c r="G655" t="str">
        <f>"9"</f>
        <v>9</v>
      </c>
      <c r="H655" t="str">
        <f>"1"</f>
        <v>1</v>
      </c>
      <c r="I655" s="2">
        <v>251</v>
      </c>
    </row>
    <row r="656" spans="1:9" x14ac:dyDescent="0.25">
      <c r="A656">
        <v>655</v>
      </c>
      <c r="B656" s="1">
        <v>44561</v>
      </c>
      <c r="C656">
        <v>14</v>
      </c>
      <c r="D656" t="str">
        <f t="shared" si="97"/>
        <v>2723</v>
      </c>
      <c r="E656" t="str">
        <f t="shared" si="98"/>
        <v>Начисленные расходы по вкладу, являющемуся обеспечением обязательств клиентов</v>
      </c>
      <c r="F656" t="str">
        <f>"2"</f>
        <v>2</v>
      </c>
      <c r="G656" t="str">
        <f>"7"</f>
        <v>7</v>
      </c>
      <c r="H656" t="str">
        <f>"2"</f>
        <v>2</v>
      </c>
      <c r="I656" s="2">
        <v>1266612</v>
      </c>
    </row>
    <row r="657" spans="1:9" x14ac:dyDescent="0.25">
      <c r="A657">
        <v>656</v>
      </c>
      <c r="B657" s="1">
        <v>44561</v>
      </c>
      <c r="C657">
        <v>14</v>
      </c>
      <c r="D657" t="str">
        <f t="shared" si="97"/>
        <v>2723</v>
      </c>
      <c r="E657" t="str">
        <f t="shared" si="98"/>
        <v>Начисленные расходы по вкладу, являющемуся обеспечением обязательств клиентов</v>
      </c>
      <c r="F657" t="str">
        <f>"1"</f>
        <v>1</v>
      </c>
      <c r="G657" t="str">
        <f>"9"</f>
        <v>9</v>
      </c>
      <c r="H657" t="str">
        <f>"2"</f>
        <v>2</v>
      </c>
      <c r="I657" s="2">
        <v>26003877</v>
      </c>
    </row>
    <row r="658" spans="1:9" x14ac:dyDescent="0.25">
      <c r="A658">
        <v>657</v>
      </c>
      <c r="B658" s="1">
        <v>44561</v>
      </c>
      <c r="C658">
        <v>14</v>
      </c>
      <c r="D658" t="str">
        <f t="shared" si="97"/>
        <v>2723</v>
      </c>
      <c r="E658" t="str">
        <f t="shared" si="98"/>
        <v>Начисленные расходы по вкладу, являющемуся обеспечением обязательств клиентов</v>
      </c>
      <c r="F658" t="str">
        <f>"1"</f>
        <v>1</v>
      </c>
      <c r="G658" t="str">
        <f>"5"</f>
        <v>5</v>
      </c>
      <c r="H658" t="str">
        <f>"2"</f>
        <v>2</v>
      </c>
      <c r="I658" s="2">
        <v>8994</v>
      </c>
    </row>
    <row r="659" spans="1:9" x14ac:dyDescent="0.25">
      <c r="A659">
        <v>658</v>
      </c>
      <c r="B659" s="1">
        <v>44561</v>
      </c>
      <c r="C659">
        <v>14</v>
      </c>
      <c r="D659" t="str">
        <f>"2724"</f>
        <v>2724</v>
      </c>
      <c r="E659" t="str">
        <f>"Начисленные расходы по сберегательным вкладам клиентов"</f>
        <v>Начисленные расходы по сберегательным вкладам клиентов</v>
      </c>
      <c r="F659" t="str">
        <f>"2"</f>
        <v>2</v>
      </c>
      <c r="G659" t="str">
        <f>"9"</f>
        <v>9</v>
      </c>
      <c r="H659" t="str">
        <f>"2"</f>
        <v>2</v>
      </c>
      <c r="I659" s="2">
        <v>48841</v>
      </c>
    </row>
    <row r="660" spans="1:9" x14ac:dyDescent="0.25">
      <c r="A660">
        <v>659</v>
      </c>
      <c r="B660" s="1">
        <v>44561</v>
      </c>
      <c r="C660">
        <v>14</v>
      </c>
      <c r="D660" t="str">
        <f>"2724"</f>
        <v>2724</v>
      </c>
      <c r="E660" t="str">
        <f>"Начисленные расходы по сберегательным вкладам клиентов"</f>
        <v>Начисленные расходы по сберегательным вкладам клиентов</v>
      </c>
      <c r="F660" t="str">
        <f>"1"</f>
        <v>1</v>
      </c>
      <c r="G660" t="str">
        <f>"9"</f>
        <v>9</v>
      </c>
      <c r="H660" t="str">
        <f>"1"</f>
        <v>1</v>
      </c>
      <c r="I660" s="2">
        <v>2332601000</v>
      </c>
    </row>
    <row r="661" spans="1:9" x14ac:dyDescent="0.25">
      <c r="A661">
        <v>660</v>
      </c>
      <c r="B661" s="1">
        <v>44561</v>
      </c>
      <c r="C661">
        <v>14</v>
      </c>
      <c r="D661" t="str">
        <f>"2724"</f>
        <v>2724</v>
      </c>
      <c r="E661" t="str">
        <f>"Начисленные расходы по сберегательным вкладам клиентов"</f>
        <v>Начисленные расходы по сберегательным вкладам клиентов</v>
      </c>
      <c r="F661" t="str">
        <f>"2"</f>
        <v>2</v>
      </c>
      <c r="G661" t="str">
        <f>"9"</f>
        <v>9</v>
      </c>
      <c r="H661" t="str">
        <f>"1"</f>
        <v>1</v>
      </c>
      <c r="I661" s="2">
        <v>8635628</v>
      </c>
    </row>
    <row r="662" spans="1:9" x14ac:dyDescent="0.25">
      <c r="A662">
        <v>661</v>
      </c>
      <c r="B662" s="1">
        <v>44561</v>
      </c>
      <c r="C662">
        <v>14</v>
      </c>
      <c r="D662" t="str">
        <f>"2724"</f>
        <v>2724</v>
      </c>
      <c r="E662" t="str">
        <f>"Начисленные расходы по сберегательным вкладам клиентов"</f>
        <v>Начисленные расходы по сберегательным вкладам клиентов</v>
      </c>
      <c r="F662" t="str">
        <f>"1"</f>
        <v>1</v>
      </c>
      <c r="G662" t="str">
        <f>"9"</f>
        <v>9</v>
      </c>
      <c r="H662" t="str">
        <f>"2"</f>
        <v>2</v>
      </c>
      <c r="I662" s="2">
        <v>20096238</v>
      </c>
    </row>
    <row r="663" spans="1:9" x14ac:dyDescent="0.25">
      <c r="A663">
        <v>662</v>
      </c>
      <c r="B663" s="1">
        <v>44561</v>
      </c>
      <c r="C663">
        <v>14</v>
      </c>
      <c r="D663" t="str">
        <f>"2725"</f>
        <v>2725</v>
      </c>
      <c r="E663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663" t="str">
        <f>"1"</f>
        <v>1</v>
      </c>
      <c r="G663" t="str">
        <f>"5"</f>
        <v>5</v>
      </c>
      <c r="H663" t="str">
        <f>"1"</f>
        <v>1</v>
      </c>
      <c r="I663" s="2">
        <v>310522825</v>
      </c>
    </row>
    <row r="664" spans="1:9" x14ac:dyDescent="0.25">
      <c r="A664">
        <v>663</v>
      </c>
      <c r="B664" s="1">
        <v>44561</v>
      </c>
      <c r="C664">
        <v>14</v>
      </c>
      <c r="D664" t="str">
        <f>"2727"</f>
        <v>2727</v>
      </c>
      <c r="E664" t="str">
        <f>"Начисленные расходы по операциям с производными финансовыми инструментами"</f>
        <v>Начисленные расходы по операциям с производными финансовыми инструментами</v>
      </c>
      <c r="F664" t="str">
        <f>"2"</f>
        <v>2</v>
      </c>
      <c r="G664" t="str">
        <f>"4"</f>
        <v>4</v>
      </c>
      <c r="H664" t="str">
        <f>"3"</f>
        <v>3</v>
      </c>
      <c r="I664" s="2">
        <v>710142598</v>
      </c>
    </row>
    <row r="665" spans="1:9" x14ac:dyDescent="0.25">
      <c r="A665">
        <v>664</v>
      </c>
      <c r="B665" s="1">
        <v>44561</v>
      </c>
      <c r="C665">
        <v>14</v>
      </c>
      <c r="D665" t="str">
        <f>"2730"</f>
        <v>2730</v>
      </c>
      <c r="E665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665" t="str">
        <f t="shared" ref="F665:F672" si="99">"1"</f>
        <v>1</v>
      </c>
      <c r="G665" t="str">
        <f>"5"</f>
        <v>5</v>
      </c>
      <c r="H665" t="str">
        <f>"1"</f>
        <v>1</v>
      </c>
      <c r="I665" s="2">
        <v>12534150246</v>
      </c>
    </row>
    <row r="666" spans="1:9" x14ac:dyDescent="0.25">
      <c r="A666">
        <v>665</v>
      </c>
      <c r="B666" s="1">
        <v>44561</v>
      </c>
      <c r="C666">
        <v>14</v>
      </c>
      <c r="D666" t="str">
        <f>"2730"</f>
        <v>2730</v>
      </c>
      <c r="E666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666" t="str">
        <f t="shared" si="99"/>
        <v>1</v>
      </c>
      <c r="G666" t="str">
        <f>"5"</f>
        <v>5</v>
      </c>
      <c r="H666" t="str">
        <f>"2"</f>
        <v>2</v>
      </c>
      <c r="I666" s="2">
        <v>532301450</v>
      </c>
    </row>
    <row r="667" spans="1:9" x14ac:dyDescent="0.25">
      <c r="A667">
        <v>666</v>
      </c>
      <c r="B667" s="1">
        <v>44561</v>
      </c>
      <c r="C667">
        <v>14</v>
      </c>
      <c r="D667" t="str">
        <f>"2756"</f>
        <v>2756</v>
      </c>
      <c r="E667" t="str">
        <f>"Начисленные расходы по субординированным облигациям"</f>
        <v>Начисленные расходы по субординированным облигациям</v>
      </c>
      <c r="F667" t="str">
        <f t="shared" si="99"/>
        <v>1</v>
      </c>
      <c r="G667" t="str">
        <f>"5"</f>
        <v>5</v>
      </c>
      <c r="H667" t="str">
        <f t="shared" ref="H667:H678" si="100">"1"</f>
        <v>1</v>
      </c>
      <c r="I667" s="2">
        <v>1841655710</v>
      </c>
    </row>
    <row r="668" spans="1:9" x14ac:dyDescent="0.25">
      <c r="A668">
        <v>667</v>
      </c>
      <c r="B668" s="1">
        <v>44561</v>
      </c>
      <c r="C668">
        <v>14</v>
      </c>
      <c r="D668" t="str">
        <f t="shared" ref="D668:D675" si="101">"2770"</f>
        <v>2770</v>
      </c>
      <c r="E668" t="str">
        <f t="shared" ref="E668:E675" si="102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668" t="str">
        <f t="shared" si="99"/>
        <v>1</v>
      </c>
      <c r="G668" t="str">
        <f>"7"</f>
        <v>7</v>
      </c>
      <c r="H668" t="str">
        <f t="shared" si="100"/>
        <v>1</v>
      </c>
      <c r="I668" s="2">
        <v>2797934839</v>
      </c>
    </row>
    <row r="669" spans="1:9" x14ac:dyDescent="0.25">
      <c r="A669">
        <v>668</v>
      </c>
      <c r="B669" s="1">
        <v>44561</v>
      </c>
      <c r="C669">
        <v>14</v>
      </c>
      <c r="D669" t="str">
        <f t="shared" si="101"/>
        <v>2770</v>
      </c>
      <c r="E669" t="str">
        <f t="shared" si="102"/>
        <v>Начисленные расходы по административно-хозяйственной деятельности</v>
      </c>
      <c r="F669" t="str">
        <f t="shared" si="99"/>
        <v>1</v>
      </c>
      <c r="G669" t="str">
        <f>"1"</f>
        <v>1</v>
      </c>
      <c r="H669" t="str">
        <f t="shared" si="100"/>
        <v>1</v>
      </c>
      <c r="I669" s="2">
        <v>20454</v>
      </c>
    </row>
    <row r="670" spans="1:9" x14ac:dyDescent="0.25">
      <c r="A670">
        <v>669</v>
      </c>
      <c r="B670" s="1">
        <v>44561</v>
      </c>
      <c r="C670">
        <v>14</v>
      </c>
      <c r="D670" t="str">
        <f t="shared" si="101"/>
        <v>2770</v>
      </c>
      <c r="E670" t="str">
        <f t="shared" si="102"/>
        <v>Начисленные расходы по административно-хозяйственной деятельности</v>
      </c>
      <c r="F670" t="str">
        <f t="shared" si="99"/>
        <v>1</v>
      </c>
      <c r="G670" t="str">
        <f>"6"</f>
        <v>6</v>
      </c>
      <c r="H670" t="str">
        <f t="shared" si="100"/>
        <v>1</v>
      </c>
      <c r="I670" s="2">
        <v>69846776</v>
      </c>
    </row>
    <row r="671" spans="1:9" x14ac:dyDescent="0.25">
      <c r="A671">
        <v>670</v>
      </c>
      <c r="B671" s="1">
        <v>44561</v>
      </c>
      <c r="C671">
        <v>14</v>
      </c>
      <c r="D671" t="str">
        <f t="shared" si="101"/>
        <v>2770</v>
      </c>
      <c r="E671" t="str">
        <f t="shared" si="102"/>
        <v>Начисленные расходы по административно-хозяйственной деятельности</v>
      </c>
      <c r="F671" t="str">
        <f t="shared" si="99"/>
        <v>1</v>
      </c>
      <c r="G671" t="str">
        <f>"4"</f>
        <v>4</v>
      </c>
      <c r="H671" t="str">
        <f t="shared" si="100"/>
        <v>1</v>
      </c>
      <c r="I671" s="2">
        <v>245775727</v>
      </c>
    </row>
    <row r="672" spans="1:9" x14ac:dyDescent="0.25">
      <c r="A672">
        <v>671</v>
      </c>
      <c r="B672" s="1">
        <v>44561</v>
      </c>
      <c r="C672">
        <v>14</v>
      </c>
      <c r="D672" t="str">
        <f t="shared" si="101"/>
        <v>2770</v>
      </c>
      <c r="E672" t="str">
        <f t="shared" si="102"/>
        <v>Начисленные расходы по административно-хозяйственной деятельности</v>
      </c>
      <c r="F672" t="str">
        <f t="shared" si="99"/>
        <v>1</v>
      </c>
      <c r="G672" t="str">
        <f>"9"</f>
        <v>9</v>
      </c>
      <c r="H672" t="str">
        <f t="shared" si="100"/>
        <v>1</v>
      </c>
      <c r="I672" s="2">
        <v>52336537</v>
      </c>
    </row>
    <row r="673" spans="1:9" x14ac:dyDescent="0.25">
      <c r="A673">
        <v>672</v>
      </c>
      <c r="B673" s="1">
        <v>44561</v>
      </c>
      <c r="C673">
        <v>14</v>
      </c>
      <c r="D673" t="str">
        <f t="shared" si="101"/>
        <v>2770</v>
      </c>
      <c r="E673" t="str">
        <f t="shared" si="102"/>
        <v>Начисленные расходы по административно-хозяйственной деятельности</v>
      </c>
      <c r="F673" t="str">
        <f>"2"</f>
        <v>2</v>
      </c>
      <c r="G673" t="str">
        <f>"7"</f>
        <v>7</v>
      </c>
      <c r="H673" t="str">
        <f t="shared" si="100"/>
        <v>1</v>
      </c>
      <c r="I673" s="2">
        <v>307111919</v>
      </c>
    </row>
    <row r="674" spans="1:9" x14ac:dyDescent="0.25">
      <c r="A674">
        <v>673</v>
      </c>
      <c r="B674" s="1">
        <v>44561</v>
      </c>
      <c r="C674">
        <v>14</v>
      </c>
      <c r="D674" t="str">
        <f t="shared" si="101"/>
        <v>2770</v>
      </c>
      <c r="E674" t="str">
        <f t="shared" si="102"/>
        <v>Начисленные расходы по административно-хозяйственной деятельности</v>
      </c>
      <c r="F674" t="str">
        <f>"1"</f>
        <v>1</v>
      </c>
      <c r="G674" t="str">
        <f>"5"</f>
        <v>5</v>
      </c>
      <c r="H674" t="str">
        <f t="shared" si="100"/>
        <v>1</v>
      </c>
      <c r="I674" s="2">
        <v>152468295</v>
      </c>
    </row>
    <row r="675" spans="1:9" x14ac:dyDescent="0.25">
      <c r="A675">
        <v>674</v>
      </c>
      <c r="B675" s="1">
        <v>44561</v>
      </c>
      <c r="C675">
        <v>14</v>
      </c>
      <c r="D675" t="str">
        <f t="shared" si="101"/>
        <v>2770</v>
      </c>
      <c r="E675" t="str">
        <f t="shared" si="102"/>
        <v>Начисленные расходы по административно-хозяйственной деятельности</v>
      </c>
      <c r="F675" t="str">
        <f>"1"</f>
        <v>1</v>
      </c>
      <c r="G675" t="str">
        <f>"8"</f>
        <v>8</v>
      </c>
      <c r="H675" t="str">
        <f t="shared" si="100"/>
        <v>1</v>
      </c>
      <c r="I675" s="2">
        <v>1880360</v>
      </c>
    </row>
    <row r="676" spans="1:9" x14ac:dyDescent="0.25">
      <c r="A676">
        <v>675</v>
      </c>
      <c r="B676" s="1">
        <v>44561</v>
      </c>
      <c r="C676">
        <v>14</v>
      </c>
      <c r="D676" t="str">
        <f>"2792"</f>
        <v>2792</v>
      </c>
      <c r="E676" t="str">
        <f>"Предоплата вознаграждения по предоставленным займам"</f>
        <v>Предоплата вознаграждения по предоставленным займам</v>
      </c>
      <c r="F676" t="str">
        <f>"1"</f>
        <v>1</v>
      </c>
      <c r="G676" t="str">
        <f>"7"</f>
        <v>7</v>
      </c>
      <c r="H676" t="str">
        <f t="shared" si="100"/>
        <v>1</v>
      </c>
      <c r="I676" s="2">
        <v>57930995</v>
      </c>
    </row>
    <row r="677" spans="1:9" x14ac:dyDescent="0.25">
      <c r="A677">
        <v>676</v>
      </c>
      <c r="B677" s="1">
        <v>44561</v>
      </c>
      <c r="C677">
        <v>14</v>
      </c>
      <c r="D677" t="str">
        <f>"2792"</f>
        <v>2792</v>
      </c>
      <c r="E677" t="str">
        <f>"Предоплата вознаграждения по предоставленным займам"</f>
        <v>Предоплата вознаграждения по предоставленным займам</v>
      </c>
      <c r="F677" t="str">
        <f>"2"</f>
        <v>2</v>
      </c>
      <c r="G677" t="str">
        <f>"9"</f>
        <v>9</v>
      </c>
      <c r="H677" t="str">
        <f t="shared" si="100"/>
        <v>1</v>
      </c>
      <c r="I677" s="2">
        <v>285651</v>
      </c>
    </row>
    <row r="678" spans="1:9" x14ac:dyDescent="0.25">
      <c r="A678">
        <v>677</v>
      </c>
      <c r="B678" s="1">
        <v>44561</v>
      </c>
      <c r="C678">
        <v>14</v>
      </c>
      <c r="D678" t="str">
        <f>"2792"</f>
        <v>2792</v>
      </c>
      <c r="E678" t="str">
        <f>"Предоплата вознаграждения по предоставленным займам"</f>
        <v>Предоплата вознаграждения по предоставленным займам</v>
      </c>
      <c r="F678" t="str">
        <f>"1"</f>
        <v>1</v>
      </c>
      <c r="G678" t="str">
        <f>"9"</f>
        <v>9</v>
      </c>
      <c r="H678" t="str">
        <f t="shared" si="100"/>
        <v>1</v>
      </c>
      <c r="I678" s="2">
        <v>4032744940</v>
      </c>
    </row>
    <row r="679" spans="1:9" x14ac:dyDescent="0.25">
      <c r="A679">
        <v>678</v>
      </c>
      <c r="B679" s="1">
        <v>44561</v>
      </c>
      <c r="C679">
        <v>14</v>
      </c>
      <c r="D679" t="str">
        <f>"2792"</f>
        <v>2792</v>
      </c>
      <c r="E679" t="str">
        <f>"Предоплата вознаграждения по предоставленным займам"</f>
        <v>Предоплата вознаграждения по предоставленным займам</v>
      </c>
      <c r="F679" t="str">
        <f>"2"</f>
        <v>2</v>
      </c>
      <c r="G679" t="str">
        <f>"7"</f>
        <v>7</v>
      </c>
      <c r="H679" t="str">
        <f>"2"</f>
        <v>2</v>
      </c>
      <c r="I679" s="2">
        <v>9</v>
      </c>
    </row>
    <row r="680" spans="1:9" x14ac:dyDescent="0.25">
      <c r="A680">
        <v>679</v>
      </c>
      <c r="B680" s="1">
        <v>44561</v>
      </c>
      <c r="C680">
        <v>14</v>
      </c>
      <c r="D680" t="str">
        <f t="shared" ref="D680:D688" si="103">"2794"</f>
        <v>2794</v>
      </c>
      <c r="E680" t="str">
        <f t="shared" ref="E680:E688" si="104">"Доходы будущих периодов"</f>
        <v>Доходы будущих периодов</v>
      </c>
      <c r="F680" t="str">
        <f t="shared" ref="F680:F686" si="105">"1"</f>
        <v>1</v>
      </c>
      <c r="G680" t="str">
        <f>"9"</f>
        <v>9</v>
      </c>
      <c r="H680" t="str">
        <f>"1"</f>
        <v>1</v>
      </c>
      <c r="I680" s="2">
        <v>7506417</v>
      </c>
    </row>
    <row r="681" spans="1:9" x14ac:dyDescent="0.25">
      <c r="A681">
        <v>680</v>
      </c>
      <c r="B681" s="1">
        <v>44561</v>
      </c>
      <c r="C681">
        <v>14</v>
      </c>
      <c r="D681" t="str">
        <f t="shared" si="103"/>
        <v>2794</v>
      </c>
      <c r="E681" t="str">
        <f t="shared" si="104"/>
        <v>Доходы будущих периодов</v>
      </c>
      <c r="F681" t="str">
        <f t="shared" si="105"/>
        <v>1</v>
      </c>
      <c r="G681" t="str">
        <f>"5"</f>
        <v>5</v>
      </c>
      <c r="H681" t="str">
        <f>"1"</f>
        <v>1</v>
      </c>
      <c r="I681" s="2">
        <v>188738577</v>
      </c>
    </row>
    <row r="682" spans="1:9" x14ac:dyDescent="0.25">
      <c r="A682">
        <v>681</v>
      </c>
      <c r="B682" s="1">
        <v>44561</v>
      </c>
      <c r="C682">
        <v>14</v>
      </c>
      <c r="D682" t="str">
        <f t="shared" si="103"/>
        <v>2794</v>
      </c>
      <c r="E682" t="str">
        <f t="shared" si="104"/>
        <v>Доходы будущих периодов</v>
      </c>
      <c r="F682" t="str">
        <f t="shared" si="105"/>
        <v>1</v>
      </c>
      <c r="G682" t="str">
        <f>"6"</f>
        <v>6</v>
      </c>
      <c r="H682" t="str">
        <f>"1"</f>
        <v>1</v>
      </c>
      <c r="I682" s="2">
        <v>120679371</v>
      </c>
    </row>
    <row r="683" spans="1:9" x14ac:dyDescent="0.25">
      <c r="A683">
        <v>682</v>
      </c>
      <c r="B683" s="1">
        <v>44561</v>
      </c>
      <c r="C683">
        <v>14</v>
      </c>
      <c r="D683" t="str">
        <f t="shared" si="103"/>
        <v>2794</v>
      </c>
      <c r="E683" t="str">
        <f t="shared" si="104"/>
        <v>Доходы будущих периодов</v>
      </c>
      <c r="F683" t="str">
        <f t="shared" si="105"/>
        <v>1</v>
      </c>
      <c r="G683" t="str">
        <f>"8"</f>
        <v>8</v>
      </c>
      <c r="H683" t="str">
        <f>"1"</f>
        <v>1</v>
      </c>
      <c r="I683" s="2">
        <v>82633</v>
      </c>
    </row>
    <row r="684" spans="1:9" x14ac:dyDescent="0.25">
      <c r="A684">
        <v>683</v>
      </c>
      <c r="B684" s="1">
        <v>44561</v>
      </c>
      <c r="C684">
        <v>14</v>
      </c>
      <c r="D684" t="str">
        <f t="shared" si="103"/>
        <v>2794</v>
      </c>
      <c r="E684" t="str">
        <f t="shared" si="104"/>
        <v>Доходы будущих периодов</v>
      </c>
      <c r="F684" t="str">
        <f t="shared" si="105"/>
        <v>1</v>
      </c>
      <c r="G684" t="str">
        <f>"6"</f>
        <v>6</v>
      </c>
      <c r="H684" t="str">
        <f>"2"</f>
        <v>2</v>
      </c>
      <c r="I684" s="2">
        <v>51816000</v>
      </c>
    </row>
    <row r="685" spans="1:9" x14ac:dyDescent="0.25">
      <c r="A685">
        <v>684</v>
      </c>
      <c r="B685" s="1">
        <v>44561</v>
      </c>
      <c r="C685">
        <v>14</v>
      </c>
      <c r="D685" t="str">
        <f t="shared" si="103"/>
        <v>2794</v>
      </c>
      <c r="E685" t="str">
        <f t="shared" si="104"/>
        <v>Доходы будущих периодов</v>
      </c>
      <c r="F685" t="str">
        <f t="shared" si="105"/>
        <v>1</v>
      </c>
      <c r="G685" t="str">
        <f>"7"</f>
        <v>7</v>
      </c>
      <c r="H685" t="str">
        <f>"1"</f>
        <v>1</v>
      </c>
      <c r="I685" s="2">
        <v>2813061818</v>
      </c>
    </row>
    <row r="686" spans="1:9" x14ac:dyDescent="0.25">
      <c r="A686">
        <v>685</v>
      </c>
      <c r="B686" s="1">
        <v>44561</v>
      </c>
      <c r="C686">
        <v>14</v>
      </c>
      <c r="D686" t="str">
        <f t="shared" si="103"/>
        <v>2794</v>
      </c>
      <c r="E686" t="str">
        <f t="shared" si="104"/>
        <v>Доходы будущих периодов</v>
      </c>
      <c r="F686" t="str">
        <f t="shared" si="105"/>
        <v>1</v>
      </c>
      <c r="G686" t="str">
        <f>"7"</f>
        <v>7</v>
      </c>
      <c r="H686" t="str">
        <f>"2"</f>
        <v>2</v>
      </c>
      <c r="I686" s="2">
        <v>1108902263</v>
      </c>
    </row>
    <row r="687" spans="1:9" x14ac:dyDescent="0.25">
      <c r="A687">
        <v>686</v>
      </c>
      <c r="B687" s="1">
        <v>44561</v>
      </c>
      <c r="C687">
        <v>14</v>
      </c>
      <c r="D687" t="str">
        <f t="shared" si="103"/>
        <v>2794</v>
      </c>
      <c r="E687" t="str">
        <f t="shared" si="104"/>
        <v>Доходы будущих периодов</v>
      </c>
      <c r="F687" t="str">
        <f>"2"</f>
        <v>2</v>
      </c>
      <c r="G687" t="str">
        <f>"7"</f>
        <v>7</v>
      </c>
      <c r="H687" t="str">
        <f>"2"</f>
        <v>2</v>
      </c>
      <c r="I687" s="2">
        <v>286151489</v>
      </c>
    </row>
    <row r="688" spans="1:9" x14ac:dyDescent="0.25">
      <c r="A688">
        <v>687</v>
      </c>
      <c r="B688" s="1">
        <v>44561</v>
      </c>
      <c r="C688">
        <v>14</v>
      </c>
      <c r="D688" t="str">
        <f t="shared" si="103"/>
        <v>2794</v>
      </c>
      <c r="E688" t="str">
        <f t="shared" si="104"/>
        <v>Доходы будущих периодов</v>
      </c>
      <c r="F688" t="str">
        <f>"1"</f>
        <v>1</v>
      </c>
      <c r="G688" t="str">
        <f>"5"</f>
        <v>5</v>
      </c>
      <c r="H688" t="str">
        <f>"2"</f>
        <v>2</v>
      </c>
      <c r="I688" s="2">
        <v>9715500</v>
      </c>
    </row>
    <row r="689" spans="1:9" x14ac:dyDescent="0.25">
      <c r="A689">
        <v>688</v>
      </c>
      <c r="B689" s="1">
        <v>44561</v>
      </c>
      <c r="C689">
        <v>14</v>
      </c>
      <c r="D689" t="str">
        <f t="shared" ref="D689:D695" si="106">"2799"</f>
        <v>2799</v>
      </c>
      <c r="E689" t="str">
        <f t="shared" ref="E689:E695" si="107">"Прочие предоплаты"</f>
        <v>Прочие предоплаты</v>
      </c>
      <c r="F689" t="str">
        <f>"1"</f>
        <v>1</v>
      </c>
      <c r="G689" t="str">
        <f>"4"</f>
        <v>4</v>
      </c>
      <c r="H689" t="str">
        <f>"1"</f>
        <v>1</v>
      </c>
      <c r="I689" s="2">
        <v>2436875</v>
      </c>
    </row>
    <row r="690" spans="1:9" x14ac:dyDescent="0.25">
      <c r="A690">
        <v>689</v>
      </c>
      <c r="B690" s="1">
        <v>44561</v>
      </c>
      <c r="C690">
        <v>14</v>
      </c>
      <c r="D690" t="str">
        <f t="shared" si="106"/>
        <v>2799</v>
      </c>
      <c r="E690" t="str">
        <f t="shared" si="107"/>
        <v>Прочие предоплаты</v>
      </c>
      <c r="F690" t="str">
        <f>"1"</f>
        <v>1</v>
      </c>
      <c r="G690" t="str">
        <f>"9"</f>
        <v>9</v>
      </c>
      <c r="H690" t="str">
        <f>"1"</f>
        <v>1</v>
      </c>
      <c r="I690" s="2">
        <v>1032249654</v>
      </c>
    </row>
    <row r="691" spans="1:9" x14ac:dyDescent="0.25">
      <c r="A691">
        <v>690</v>
      </c>
      <c r="B691" s="1">
        <v>44561</v>
      </c>
      <c r="C691">
        <v>14</v>
      </c>
      <c r="D691" t="str">
        <f t="shared" si="106"/>
        <v>2799</v>
      </c>
      <c r="E691" t="str">
        <f t="shared" si="107"/>
        <v>Прочие предоплаты</v>
      </c>
      <c r="F691" t="str">
        <f>"1"</f>
        <v>1</v>
      </c>
      <c r="G691" t="str">
        <f>"7"</f>
        <v>7</v>
      </c>
      <c r="H691" t="str">
        <f>"1"</f>
        <v>1</v>
      </c>
      <c r="I691" s="2">
        <v>297720</v>
      </c>
    </row>
    <row r="692" spans="1:9" x14ac:dyDescent="0.25">
      <c r="A692">
        <v>691</v>
      </c>
      <c r="B692" s="1">
        <v>44561</v>
      </c>
      <c r="C692">
        <v>14</v>
      </c>
      <c r="D692" t="str">
        <f t="shared" si="106"/>
        <v>2799</v>
      </c>
      <c r="E692" t="str">
        <f t="shared" si="107"/>
        <v>Прочие предоплаты</v>
      </c>
      <c r="F692" t="str">
        <f>"2"</f>
        <v>2</v>
      </c>
      <c r="G692" t="str">
        <f>"4"</f>
        <v>4</v>
      </c>
      <c r="H692" t="str">
        <f>"2"</f>
        <v>2</v>
      </c>
      <c r="I692" s="2">
        <v>3508285</v>
      </c>
    </row>
    <row r="693" spans="1:9" x14ac:dyDescent="0.25">
      <c r="A693">
        <v>692</v>
      </c>
      <c r="B693" s="1">
        <v>44561</v>
      </c>
      <c r="C693">
        <v>14</v>
      </c>
      <c r="D693" t="str">
        <f t="shared" si="106"/>
        <v>2799</v>
      </c>
      <c r="E693" t="str">
        <f t="shared" si="107"/>
        <v>Прочие предоплаты</v>
      </c>
      <c r="F693" t="str">
        <f>"2"</f>
        <v>2</v>
      </c>
      <c r="G693" t="str">
        <f>"4"</f>
        <v>4</v>
      </c>
      <c r="H693" t="str">
        <f>"1"</f>
        <v>1</v>
      </c>
      <c r="I693" s="2">
        <v>10171906</v>
      </c>
    </row>
    <row r="694" spans="1:9" x14ac:dyDescent="0.25">
      <c r="A694">
        <v>693</v>
      </c>
      <c r="B694" s="1">
        <v>44561</v>
      </c>
      <c r="C694">
        <v>14</v>
      </c>
      <c r="D694" t="str">
        <f t="shared" si="106"/>
        <v>2799</v>
      </c>
      <c r="E694" t="str">
        <f t="shared" si="107"/>
        <v>Прочие предоплаты</v>
      </c>
      <c r="F694" t="str">
        <f>"2"</f>
        <v>2</v>
      </c>
      <c r="G694" t="str">
        <f>"9"</f>
        <v>9</v>
      </c>
      <c r="H694" t="str">
        <f>"1"</f>
        <v>1</v>
      </c>
      <c r="I694" s="2">
        <v>3247842</v>
      </c>
    </row>
    <row r="695" spans="1:9" x14ac:dyDescent="0.25">
      <c r="A695">
        <v>694</v>
      </c>
      <c r="B695" s="1">
        <v>44561</v>
      </c>
      <c r="C695">
        <v>14</v>
      </c>
      <c r="D695" t="str">
        <f t="shared" si="106"/>
        <v>2799</v>
      </c>
      <c r="E695" t="str">
        <f t="shared" si="107"/>
        <v>Прочие предоплаты</v>
      </c>
      <c r="F695" t="str">
        <f>"1"</f>
        <v>1</v>
      </c>
      <c r="G695" t="str">
        <f>"5"</f>
        <v>5</v>
      </c>
      <c r="H695" t="str">
        <f>"1"</f>
        <v>1</v>
      </c>
      <c r="I695" s="2">
        <v>690333</v>
      </c>
    </row>
    <row r="696" spans="1:9" x14ac:dyDescent="0.25">
      <c r="A696">
        <v>695</v>
      </c>
      <c r="B696" s="1">
        <v>44561</v>
      </c>
      <c r="C696">
        <v>14</v>
      </c>
      <c r="D696" t="str">
        <f>"2812"</f>
        <v>2812</v>
      </c>
      <c r="E696" t="str">
        <f>"Начисленные комиссионные расходы по агентским услугам"</f>
        <v>Начисленные комиссионные расходы по агентским услугам</v>
      </c>
      <c r="F696" t="str">
        <f>"1"</f>
        <v>1</v>
      </c>
      <c r="G696" t="str">
        <f>""</f>
        <v/>
      </c>
      <c r="H696" t="str">
        <f>"1"</f>
        <v>1</v>
      </c>
      <c r="I696" s="2">
        <v>39410027</v>
      </c>
    </row>
    <row r="697" spans="1:9" x14ac:dyDescent="0.25">
      <c r="A697">
        <v>696</v>
      </c>
      <c r="B697" s="1">
        <v>44561</v>
      </c>
      <c r="C697">
        <v>14</v>
      </c>
      <c r="D697" t="str">
        <f>"2818"</f>
        <v>2818</v>
      </c>
      <c r="E697" t="str">
        <f>"Начисленные прочие комиссионные расходы"</f>
        <v>Начисленные прочие комиссионные расходы</v>
      </c>
      <c r="F697" t="str">
        <f>"1"</f>
        <v>1</v>
      </c>
      <c r="G697" t="str">
        <f>""</f>
        <v/>
      </c>
      <c r="H697" t="str">
        <f>"3"</f>
        <v>3</v>
      </c>
      <c r="I697" s="2">
        <v>764</v>
      </c>
    </row>
    <row r="698" spans="1:9" x14ac:dyDescent="0.25">
      <c r="A698">
        <v>697</v>
      </c>
      <c r="B698" s="1">
        <v>44561</v>
      </c>
      <c r="C698">
        <v>14</v>
      </c>
      <c r="D698" t="str">
        <f>"2818"</f>
        <v>2818</v>
      </c>
      <c r="E698" t="str">
        <f>"Начисленные прочие комиссионные расходы"</f>
        <v>Начисленные прочие комиссионные расходы</v>
      </c>
      <c r="F698" t="str">
        <f>"2"</f>
        <v>2</v>
      </c>
      <c r="G698" t="str">
        <f>""</f>
        <v/>
      </c>
      <c r="H698" t="str">
        <f>"2"</f>
        <v>2</v>
      </c>
      <c r="I698" s="2">
        <v>22441</v>
      </c>
    </row>
    <row r="699" spans="1:9" x14ac:dyDescent="0.25">
      <c r="A699">
        <v>698</v>
      </c>
      <c r="B699" s="1">
        <v>44561</v>
      </c>
      <c r="C699">
        <v>14</v>
      </c>
      <c r="D699" t="str">
        <f>"2818"</f>
        <v>2818</v>
      </c>
      <c r="E699" t="str">
        <f>"Начисленные прочие комиссионные расходы"</f>
        <v>Начисленные прочие комиссионные расходы</v>
      </c>
      <c r="F699" t="str">
        <f>"1"</f>
        <v>1</v>
      </c>
      <c r="G699" t="str">
        <f>""</f>
        <v/>
      </c>
      <c r="H699" t="str">
        <f>"2"</f>
        <v>2</v>
      </c>
      <c r="I699" s="2">
        <v>5031865</v>
      </c>
    </row>
    <row r="700" spans="1:9" x14ac:dyDescent="0.25">
      <c r="A700">
        <v>699</v>
      </c>
      <c r="B700" s="1">
        <v>44561</v>
      </c>
      <c r="C700">
        <v>14</v>
      </c>
      <c r="D700" t="str">
        <f>"2818"</f>
        <v>2818</v>
      </c>
      <c r="E700" t="str">
        <f>"Начисленные прочие комиссионные расходы"</f>
        <v>Начисленные прочие комиссионные расходы</v>
      </c>
      <c r="F700" t="str">
        <f>"1"</f>
        <v>1</v>
      </c>
      <c r="G700" t="str">
        <f>""</f>
        <v/>
      </c>
      <c r="H700" t="str">
        <f>"1"</f>
        <v>1</v>
      </c>
      <c r="I700" s="2">
        <v>129574</v>
      </c>
    </row>
    <row r="701" spans="1:9" x14ac:dyDescent="0.25">
      <c r="A701">
        <v>700</v>
      </c>
      <c r="B701" s="1">
        <v>44561</v>
      </c>
      <c r="C701">
        <v>14</v>
      </c>
      <c r="D701" t="str">
        <f>"2819"</f>
        <v>2819</v>
      </c>
      <c r="E701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701" t="str">
        <f>"2"</f>
        <v>2</v>
      </c>
      <c r="G701" t="str">
        <f>""</f>
        <v/>
      </c>
      <c r="H701" t="str">
        <f>"1"</f>
        <v>1</v>
      </c>
      <c r="I701" s="2">
        <v>4358900</v>
      </c>
    </row>
    <row r="702" spans="1:9" x14ac:dyDescent="0.25">
      <c r="A702">
        <v>701</v>
      </c>
      <c r="B702" s="1">
        <v>44561</v>
      </c>
      <c r="C702">
        <v>14</v>
      </c>
      <c r="D702" t="str">
        <f>"2819"</f>
        <v>2819</v>
      </c>
      <c r="E702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702" t="str">
        <f>"2"</f>
        <v>2</v>
      </c>
      <c r="G702" t="str">
        <f>""</f>
        <v/>
      </c>
      <c r="H702" t="str">
        <f>"2"</f>
        <v>2</v>
      </c>
      <c r="I702" s="2">
        <v>22840972</v>
      </c>
    </row>
    <row r="703" spans="1:9" x14ac:dyDescent="0.25">
      <c r="A703">
        <v>702</v>
      </c>
      <c r="B703" s="1">
        <v>44561</v>
      </c>
      <c r="C703">
        <v>14</v>
      </c>
      <c r="D703" t="str">
        <f>"2819"</f>
        <v>2819</v>
      </c>
      <c r="E703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703" t="str">
        <f>"1"</f>
        <v>1</v>
      </c>
      <c r="G703" t="str">
        <f>""</f>
        <v/>
      </c>
      <c r="H703" t="str">
        <f>"1"</f>
        <v>1</v>
      </c>
      <c r="I703" s="2">
        <v>17681527</v>
      </c>
    </row>
    <row r="704" spans="1:9" x14ac:dyDescent="0.25">
      <c r="A704">
        <v>703</v>
      </c>
      <c r="B704" s="1">
        <v>44561</v>
      </c>
      <c r="C704">
        <v>14</v>
      </c>
      <c r="D704" t="str">
        <f>"2820"</f>
        <v>2820</v>
      </c>
      <c r="E704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F704" t="str">
        <f>"2"</f>
        <v>2</v>
      </c>
      <c r="G704" t="str">
        <f>""</f>
        <v/>
      </c>
      <c r="H704" t="str">
        <f>"1"</f>
        <v>1</v>
      </c>
      <c r="I704" s="2">
        <v>3215075</v>
      </c>
    </row>
    <row r="705" spans="1:9" x14ac:dyDescent="0.25">
      <c r="A705">
        <v>704</v>
      </c>
      <c r="B705" s="1">
        <v>44561</v>
      </c>
      <c r="C705">
        <v>14</v>
      </c>
      <c r="D705" t="str">
        <f>"2820"</f>
        <v>2820</v>
      </c>
      <c r="E705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F705" t="str">
        <f>"1"</f>
        <v>1</v>
      </c>
      <c r="G705" t="str">
        <f>""</f>
        <v/>
      </c>
      <c r="H705" t="str">
        <f>"1"</f>
        <v>1</v>
      </c>
      <c r="I705" s="2">
        <v>127685580</v>
      </c>
    </row>
    <row r="706" spans="1:9" x14ac:dyDescent="0.25">
      <c r="A706">
        <v>705</v>
      </c>
      <c r="B706" s="1">
        <v>44561</v>
      </c>
      <c r="C706">
        <v>14</v>
      </c>
      <c r="D706" t="str">
        <f>"2851"</f>
        <v>2851</v>
      </c>
      <c r="E706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706" t="str">
        <f>"1"</f>
        <v>1</v>
      </c>
      <c r="G706" t="str">
        <f>"1"</f>
        <v>1</v>
      </c>
      <c r="H706" t="str">
        <f>"1"</f>
        <v>1</v>
      </c>
      <c r="I706" s="2">
        <v>24555054000</v>
      </c>
    </row>
    <row r="707" spans="1:9" x14ac:dyDescent="0.25">
      <c r="A707">
        <v>706</v>
      </c>
      <c r="B707" s="1">
        <v>44561</v>
      </c>
      <c r="C707">
        <v>14</v>
      </c>
      <c r="D707" t="str">
        <f>"2854"</f>
        <v>2854</v>
      </c>
      <c r="E707" t="str">
        <f>"Расчеты с работниками"</f>
        <v>Расчеты с работниками</v>
      </c>
      <c r="F707" t="str">
        <f>""</f>
        <v/>
      </c>
      <c r="G707" t="str">
        <f>""</f>
        <v/>
      </c>
      <c r="H707" t="str">
        <f>""</f>
        <v/>
      </c>
      <c r="I707" s="2">
        <v>16576077134</v>
      </c>
    </row>
    <row r="708" spans="1:9" x14ac:dyDescent="0.25">
      <c r="A708">
        <v>707</v>
      </c>
      <c r="B708" s="1">
        <v>44561</v>
      </c>
      <c r="C708">
        <v>14</v>
      </c>
      <c r="D708" t="str">
        <f t="shared" ref="D708:D715" si="108">"2855"</f>
        <v>2855</v>
      </c>
      <c r="E708" t="str">
        <f t="shared" ref="E708:E715" si="109">"Кредиторы по документарным расчетам"</f>
        <v>Кредиторы по документарным расчетам</v>
      </c>
      <c r="F708" t="str">
        <f t="shared" ref="F708:F716" si="110">"1"</f>
        <v>1</v>
      </c>
      <c r="G708" t="str">
        <f>"9"</f>
        <v>9</v>
      </c>
      <c r="H708" t="str">
        <f>"1"</f>
        <v>1</v>
      </c>
      <c r="I708" s="2">
        <v>256166</v>
      </c>
    </row>
    <row r="709" spans="1:9" x14ac:dyDescent="0.25">
      <c r="A709">
        <v>708</v>
      </c>
      <c r="B709" s="1">
        <v>44561</v>
      </c>
      <c r="C709">
        <v>14</v>
      </c>
      <c r="D709" t="str">
        <f t="shared" si="108"/>
        <v>2855</v>
      </c>
      <c r="E709" t="str">
        <f t="shared" si="109"/>
        <v>Кредиторы по документарным расчетам</v>
      </c>
      <c r="F709" t="str">
        <f t="shared" si="110"/>
        <v>1</v>
      </c>
      <c r="G709" t="str">
        <f>"9"</f>
        <v>9</v>
      </c>
      <c r="H709" t="str">
        <f>"2"</f>
        <v>2</v>
      </c>
      <c r="I709" s="2">
        <v>41952553</v>
      </c>
    </row>
    <row r="710" spans="1:9" x14ac:dyDescent="0.25">
      <c r="A710">
        <v>709</v>
      </c>
      <c r="B710" s="1">
        <v>44561</v>
      </c>
      <c r="C710">
        <v>14</v>
      </c>
      <c r="D710" t="str">
        <f t="shared" si="108"/>
        <v>2855</v>
      </c>
      <c r="E710" t="str">
        <f t="shared" si="109"/>
        <v>Кредиторы по документарным расчетам</v>
      </c>
      <c r="F710" t="str">
        <f t="shared" si="110"/>
        <v>1</v>
      </c>
      <c r="G710" t="str">
        <f>"5"</f>
        <v>5</v>
      </c>
      <c r="H710" t="str">
        <f>"1"</f>
        <v>1</v>
      </c>
      <c r="I710" s="2">
        <v>4342330</v>
      </c>
    </row>
    <row r="711" spans="1:9" x14ac:dyDescent="0.25">
      <c r="A711">
        <v>710</v>
      </c>
      <c r="B711" s="1">
        <v>44561</v>
      </c>
      <c r="C711">
        <v>14</v>
      </c>
      <c r="D711" t="str">
        <f t="shared" si="108"/>
        <v>2855</v>
      </c>
      <c r="E711" t="str">
        <f t="shared" si="109"/>
        <v>Кредиторы по документарным расчетам</v>
      </c>
      <c r="F711" t="str">
        <f t="shared" si="110"/>
        <v>1</v>
      </c>
      <c r="G711" t="str">
        <f>"7"</f>
        <v>7</v>
      </c>
      <c r="H711" t="str">
        <f>"2"</f>
        <v>2</v>
      </c>
      <c r="I711" s="2">
        <v>8567896284</v>
      </c>
    </row>
    <row r="712" spans="1:9" x14ac:dyDescent="0.25">
      <c r="A712">
        <v>711</v>
      </c>
      <c r="B712" s="1">
        <v>44561</v>
      </c>
      <c r="C712">
        <v>14</v>
      </c>
      <c r="D712" t="str">
        <f t="shared" si="108"/>
        <v>2855</v>
      </c>
      <c r="E712" t="str">
        <f t="shared" si="109"/>
        <v>Кредиторы по документарным расчетам</v>
      </c>
      <c r="F712" t="str">
        <f t="shared" si="110"/>
        <v>1</v>
      </c>
      <c r="G712" t="str">
        <f>"7"</f>
        <v>7</v>
      </c>
      <c r="H712" t="str">
        <f>"1"</f>
        <v>1</v>
      </c>
      <c r="I712" s="2">
        <v>157728815</v>
      </c>
    </row>
    <row r="713" spans="1:9" x14ac:dyDescent="0.25">
      <c r="A713">
        <v>712</v>
      </c>
      <c r="B713" s="1">
        <v>44561</v>
      </c>
      <c r="C713">
        <v>14</v>
      </c>
      <c r="D713" t="str">
        <f t="shared" si="108"/>
        <v>2855</v>
      </c>
      <c r="E713" t="str">
        <f t="shared" si="109"/>
        <v>Кредиторы по документарным расчетам</v>
      </c>
      <c r="F713" t="str">
        <f t="shared" si="110"/>
        <v>1</v>
      </c>
      <c r="G713" t="str">
        <f>"5"</f>
        <v>5</v>
      </c>
      <c r="H713" t="str">
        <f>"2"</f>
        <v>2</v>
      </c>
      <c r="I713" s="2">
        <v>25030817430</v>
      </c>
    </row>
    <row r="714" spans="1:9" x14ac:dyDescent="0.25">
      <c r="A714">
        <v>713</v>
      </c>
      <c r="B714" s="1">
        <v>44561</v>
      </c>
      <c r="C714">
        <v>14</v>
      </c>
      <c r="D714" t="str">
        <f t="shared" si="108"/>
        <v>2855</v>
      </c>
      <c r="E714" t="str">
        <f t="shared" si="109"/>
        <v>Кредиторы по документарным расчетам</v>
      </c>
      <c r="F714" t="str">
        <f t="shared" si="110"/>
        <v>1</v>
      </c>
      <c r="G714" t="str">
        <f>"6"</f>
        <v>6</v>
      </c>
      <c r="H714" t="str">
        <f>"3"</f>
        <v>3</v>
      </c>
      <c r="I714" s="2">
        <v>152902080</v>
      </c>
    </row>
    <row r="715" spans="1:9" x14ac:dyDescent="0.25">
      <c r="A715">
        <v>714</v>
      </c>
      <c r="B715" s="1">
        <v>44561</v>
      </c>
      <c r="C715">
        <v>14</v>
      </c>
      <c r="D715" t="str">
        <f t="shared" si="108"/>
        <v>2855</v>
      </c>
      <c r="E715" t="str">
        <f t="shared" si="109"/>
        <v>Кредиторы по документарным расчетам</v>
      </c>
      <c r="F715" t="str">
        <f t="shared" si="110"/>
        <v>1</v>
      </c>
      <c r="G715" t="str">
        <f>"6"</f>
        <v>6</v>
      </c>
      <c r="H715" t="str">
        <f>"1"</f>
        <v>1</v>
      </c>
      <c r="I715" s="2">
        <v>16628</v>
      </c>
    </row>
    <row r="716" spans="1:9" x14ac:dyDescent="0.25">
      <c r="A716">
        <v>715</v>
      </c>
      <c r="B716" s="1">
        <v>44561</v>
      </c>
      <c r="C716">
        <v>14</v>
      </c>
      <c r="D716" t="str">
        <f>"2856"</f>
        <v>2856</v>
      </c>
      <c r="E716" t="str">
        <f>"Кредиторы по капитальным вложениям"</f>
        <v>Кредиторы по капитальным вложениям</v>
      </c>
      <c r="F716" t="str">
        <f t="shared" si="110"/>
        <v>1</v>
      </c>
      <c r="G716" t="str">
        <f>"7"</f>
        <v>7</v>
      </c>
      <c r="H716" t="str">
        <f>"1"</f>
        <v>1</v>
      </c>
      <c r="I716" s="2">
        <v>201926040</v>
      </c>
    </row>
    <row r="717" spans="1:9" x14ac:dyDescent="0.25">
      <c r="A717">
        <v>716</v>
      </c>
      <c r="B717" s="1">
        <v>44561</v>
      </c>
      <c r="C717">
        <v>14</v>
      </c>
      <c r="D717" t="str">
        <f>"2857"</f>
        <v>2857</v>
      </c>
      <c r="E717" t="str">
        <f>"Отложенные налоговые обязательства"</f>
        <v>Отложенные налоговые обязательства</v>
      </c>
      <c r="F717" t="str">
        <f>""</f>
        <v/>
      </c>
      <c r="G717" t="str">
        <f>""</f>
        <v/>
      </c>
      <c r="H717" t="str">
        <f>""</f>
        <v/>
      </c>
      <c r="I717" s="2">
        <v>54074342275</v>
      </c>
    </row>
    <row r="718" spans="1:9" x14ac:dyDescent="0.25">
      <c r="A718">
        <v>717</v>
      </c>
      <c r="B718" s="1">
        <v>44561</v>
      </c>
      <c r="C718">
        <v>14</v>
      </c>
      <c r="D718" t="str">
        <f t="shared" ref="D718:D730" si="111">"2860"</f>
        <v>2860</v>
      </c>
      <c r="E718" t="str">
        <f t="shared" ref="E718:E730" si="112">"Прочие кредиторы по банковской деятельности"</f>
        <v>Прочие кредиторы по банковской деятельности</v>
      </c>
      <c r="F718" t="str">
        <f>"2"</f>
        <v>2</v>
      </c>
      <c r="G718" t="str">
        <f>"5"</f>
        <v>5</v>
      </c>
      <c r="H718" t="str">
        <f>"1"</f>
        <v>1</v>
      </c>
      <c r="I718" s="2">
        <v>11184248</v>
      </c>
    </row>
    <row r="719" spans="1:9" x14ac:dyDescent="0.25">
      <c r="A719">
        <v>718</v>
      </c>
      <c r="B719" s="1">
        <v>44561</v>
      </c>
      <c r="C719">
        <v>14</v>
      </c>
      <c r="D719" t="str">
        <f t="shared" si="111"/>
        <v>2860</v>
      </c>
      <c r="E719" t="str">
        <f t="shared" si="112"/>
        <v>Прочие кредиторы по банковской деятельности</v>
      </c>
      <c r="F719" t="str">
        <f>"1"</f>
        <v>1</v>
      </c>
      <c r="G719" t="str">
        <f>"4"</f>
        <v>4</v>
      </c>
      <c r="H719" t="str">
        <f>"3"</f>
        <v>3</v>
      </c>
      <c r="I719" s="2">
        <v>3894</v>
      </c>
    </row>
    <row r="720" spans="1:9" x14ac:dyDescent="0.25">
      <c r="A720">
        <v>719</v>
      </c>
      <c r="B720" s="1">
        <v>44561</v>
      </c>
      <c r="C720">
        <v>14</v>
      </c>
      <c r="D720" t="str">
        <f t="shared" si="111"/>
        <v>2860</v>
      </c>
      <c r="E720" t="str">
        <f t="shared" si="112"/>
        <v>Прочие кредиторы по банковской деятельности</v>
      </c>
      <c r="F720" t="str">
        <f>"2"</f>
        <v>2</v>
      </c>
      <c r="G720" t="str">
        <f>"4"</f>
        <v>4</v>
      </c>
      <c r="H720" t="str">
        <f>"3"</f>
        <v>3</v>
      </c>
      <c r="I720" s="2">
        <v>27688</v>
      </c>
    </row>
    <row r="721" spans="1:9" x14ac:dyDescent="0.25">
      <c r="A721">
        <v>720</v>
      </c>
      <c r="B721" s="1">
        <v>44561</v>
      </c>
      <c r="C721">
        <v>14</v>
      </c>
      <c r="D721" t="str">
        <f t="shared" si="111"/>
        <v>2860</v>
      </c>
      <c r="E721" t="str">
        <f t="shared" si="112"/>
        <v>Прочие кредиторы по банковской деятельности</v>
      </c>
      <c r="F721" t="str">
        <f>"1"</f>
        <v>1</v>
      </c>
      <c r="G721" t="str">
        <f>"7"</f>
        <v>7</v>
      </c>
      <c r="H721" t="str">
        <f>"1"</f>
        <v>1</v>
      </c>
      <c r="I721" s="2">
        <v>3282478665</v>
      </c>
    </row>
    <row r="722" spans="1:9" x14ac:dyDescent="0.25">
      <c r="A722">
        <v>721</v>
      </c>
      <c r="B722" s="1">
        <v>44561</v>
      </c>
      <c r="C722">
        <v>14</v>
      </c>
      <c r="D722" t="str">
        <f t="shared" si="111"/>
        <v>2860</v>
      </c>
      <c r="E722" t="str">
        <f t="shared" si="112"/>
        <v>Прочие кредиторы по банковской деятельности</v>
      </c>
      <c r="F722" t="str">
        <f>"1"</f>
        <v>1</v>
      </c>
      <c r="G722" t="str">
        <f>"4"</f>
        <v>4</v>
      </c>
      <c r="H722" t="str">
        <f>"2"</f>
        <v>2</v>
      </c>
      <c r="I722" s="2">
        <v>7009991</v>
      </c>
    </row>
    <row r="723" spans="1:9" x14ac:dyDescent="0.25">
      <c r="A723">
        <v>722</v>
      </c>
      <c r="B723" s="1">
        <v>44561</v>
      </c>
      <c r="C723">
        <v>14</v>
      </c>
      <c r="D723" t="str">
        <f t="shared" si="111"/>
        <v>2860</v>
      </c>
      <c r="E723" t="str">
        <f t="shared" si="112"/>
        <v>Прочие кредиторы по банковской деятельности</v>
      </c>
      <c r="F723" t="str">
        <f>"2"</f>
        <v>2</v>
      </c>
      <c r="G723" t="str">
        <f>"3"</f>
        <v>3</v>
      </c>
      <c r="H723" t="str">
        <f>"1"</f>
        <v>1</v>
      </c>
      <c r="I723" s="2">
        <v>6361</v>
      </c>
    </row>
    <row r="724" spans="1:9" x14ac:dyDescent="0.25">
      <c r="A724">
        <v>723</v>
      </c>
      <c r="B724" s="1">
        <v>44561</v>
      </c>
      <c r="C724">
        <v>14</v>
      </c>
      <c r="D724" t="str">
        <f t="shared" si="111"/>
        <v>2860</v>
      </c>
      <c r="E724" t="str">
        <f t="shared" si="112"/>
        <v>Прочие кредиторы по банковской деятельности</v>
      </c>
      <c r="F724" t="str">
        <f>"1"</f>
        <v>1</v>
      </c>
      <c r="G724" t="str">
        <f>"1"</f>
        <v>1</v>
      </c>
      <c r="H724" t="str">
        <f>"1"</f>
        <v>1</v>
      </c>
      <c r="I724" s="2">
        <v>4445635</v>
      </c>
    </row>
    <row r="725" spans="1:9" x14ac:dyDescent="0.25">
      <c r="A725">
        <v>724</v>
      </c>
      <c r="B725" s="1">
        <v>44561</v>
      </c>
      <c r="C725">
        <v>14</v>
      </c>
      <c r="D725" t="str">
        <f t="shared" si="111"/>
        <v>2860</v>
      </c>
      <c r="E725" t="str">
        <f t="shared" si="112"/>
        <v>Прочие кредиторы по банковской деятельности</v>
      </c>
      <c r="F725" t="str">
        <f>"2"</f>
        <v>2</v>
      </c>
      <c r="G725" t="str">
        <f>"4"</f>
        <v>4</v>
      </c>
      <c r="H725" t="str">
        <f>"2"</f>
        <v>2</v>
      </c>
      <c r="I725" s="2">
        <v>1727</v>
      </c>
    </row>
    <row r="726" spans="1:9" x14ac:dyDescent="0.25">
      <c r="A726">
        <v>725</v>
      </c>
      <c r="B726" s="1">
        <v>44561</v>
      </c>
      <c r="C726">
        <v>14</v>
      </c>
      <c r="D726" t="str">
        <f t="shared" si="111"/>
        <v>2860</v>
      </c>
      <c r="E726" t="str">
        <f t="shared" si="112"/>
        <v>Прочие кредиторы по банковской деятельности</v>
      </c>
      <c r="F726" t="str">
        <f>"2"</f>
        <v>2</v>
      </c>
      <c r="G726" t="str">
        <f>"4"</f>
        <v>4</v>
      </c>
      <c r="H726" t="str">
        <f>"1"</f>
        <v>1</v>
      </c>
      <c r="I726" s="2">
        <v>230829</v>
      </c>
    </row>
    <row r="727" spans="1:9" x14ac:dyDescent="0.25">
      <c r="A727">
        <v>726</v>
      </c>
      <c r="B727" s="1">
        <v>44561</v>
      </c>
      <c r="C727">
        <v>14</v>
      </c>
      <c r="D727" t="str">
        <f t="shared" si="111"/>
        <v>2860</v>
      </c>
      <c r="E727" t="str">
        <f t="shared" si="112"/>
        <v>Прочие кредиторы по банковской деятельности</v>
      </c>
      <c r="F727" t="str">
        <f>"1"</f>
        <v>1</v>
      </c>
      <c r="G727" t="str">
        <f>"9"</f>
        <v>9</v>
      </c>
      <c r="H727" t="str">
        <f>"1"</f>
        <v>1</v>
      </c>
      <c r="I727" s="2">
        <v>436109016</v>
      </c>
    </row>
    <row r="728" spans="1:9" x14ac:dyDescent="0.25">
      <c r="A728">
        <v>727</v>
      </c>
      <c r="B728" s="1">
        <v>44561</v>
      </c>
      <c r="C728">
        <v>14</v>
      </c>
      <c r="D728" t="str">
        <f t="shared" si="111"/>
        <v>2860</v>
      </c>
      <c r="E728" t="str">
        <f t="shared" si="112"/>
        <v>Прочие кредиторы по банковской деятельности</v>
      </c>
      <c r="F728" t="str">
        <f>"2"</f>
        <v>2</v>
      </c>
      <c r="G728" t="str">
        <f>"7"</f>
        <v>7</v>
      </c>
      <c r="H728" t="str">
        <f>"2"</f>
        <v>2</v>
      </c>
      <c r="I728" s="2">
        <v>463201985</v>
      </c>
    </row>
    <row r="729" spans="1:9" x14ac:dyDescent="0.25">
      <c r="A729">
        <v>728</v>
      </c>
      <c r="B729" s="1">
        <v>44561</v>
      </c>
      <c r="C729">
        <v>14</v>
      </c>
      <c r="D729" t="str">
        <f t="shared" si="111"/>
        <v>2860</v>
      </c>
      <c r="E729" t="str">
        <f t="shared" si="112"/>
        <v>Прочие кредиторы по банковской деятельности</v>
      </c>
      <c r="F729" t="str">
        <f>"1"</f>
        <v>1</v>
      </c>
      <c r="G729" t="str">
        <f>"5"</f>
        <v>5</v>
      </c>
      <c r="H729" t="str">
        <f>"1"</f>
        <v>1</v>
      </c>
      <c r="I729" s="2">
        <v>100464125</v>
      </c>
    </row>
    <row r="730" spans="1:9" x14ac:dyDescent="0.25">
      <c r="A730">
        <v>729</v>
      </c>
      <c r="B730" s="1">
        <v>44561</v>
      </c>
      <c r="C730">
        <v>14</v>
      </c>
      <c r="D730" t="str">
        <f t="shared" si="111"/>
        <v>2860</v>
      </c>
      <c r="E730" t="str">
        <f t="shared" si="112"/>
        <v>Прочие кредиторы по банковской деятельности</v>
      </c>
      <c r="F730" t="str">
        <f>"1"</f>
        <v>1</v>
      </c>
      <c r="G730" t="str">
        <f>"4"</f>
        <v>4</v>
      </c>
      <c r="H730" t="str">
        <f>"1"</f>
        <v>1</v>
      </c>
      <c r="I730" s="2">
        <v>124153501</v>
      </c>
    </row>
    <row r="731" spans="1:9" x14ac:dyDescent="0.25">
      <c r="A731">
        <v>730</v>
      </c>
      <c r="B731" s="1">
        <v>44561</v>
      </c>
      <c r="C731">
        <v>14</v>
      </c>
      <c r="D731" t="str">
        <f>"2861"</f>
        <v>2861</v>
      </c>
      <c r="E731" t="str">
        <f>"Резерв на отпускные выплаты"</f>
        <v>Резерв на отпускные выплаты</v>
      </c>
      <c r="F731" t="str">
        <f>""</f>
        <v/>
      </c>
      <c r="G731" t="str">
        <f>""</f>
        <v/>
      </c>
      <c r="H731" t="str">
        <f>""</f>
        <v/>
      </c>
      <c r="I731" s="2">
        <v>2962756877</v>
      </c>
    </row>
    <row r="732" spans="1:9" x14ac:dyDescent="0.25">
      <c r="A732">
        <v>731</v>
      </c>
      <c r="B732" s="1">
        <v>44561</v>
      </c>
      <c r="C732">
        <v>14</v>
      </c>
      <c r="D732" t="str">
        <f>"2863"</f>
        <v>2863</v>
      </c>
      <c r="E732" t="str">
        <f>"Обязательства по привилегированным акциям"</f>
        <v>Обязательства по привилегированным акциям</v>
      </c>
      <c r="F732" t="str">
        <f>"1"</f>
        <v>1</v>
      </c>
      <c r="G732" t="str">
        <f>"9"</f>
        <v>9</v>
      </c>
      <c r="H732" t="str">
        <f t="shared" ref="H732:H740" si="113">"1"</f>
        <v>1</v>
      </c>
      <c r="I732" s="2">
        <v>1</v>
      </c>
    </row>
    <row r="733" spans="1:9" x14ac:dyDescent="0.25">
      <c r="A733">
        <v>732</v>
      </c>
      <c r="B733" s="1">
        <v>44561</v>
      </c>
      <c r="C733">
        <v>14</v>
      </c>
      <c r="D733" t="str">
        <f>"2865"</f>
        <v>2865</v>
      </c>
      <c r="E733" t="str">
        <f>"Обязательства по выпущенным электронным деньгам"</f>
        <v>Обязательства по выпущенным электронным деньгам</v>
      </c>
      <c r="F733" t="str">
        <f>"1"</f>
        <v>1</v>
      </c>
      <c r="G733" t="str">
        <f>"4"</f>
        <v>4</v>
      </c>
      <c r="H733" t="str">
        <f t="shared" si="113"/>
        <v>1</v>
      </c>
      <c r="I733" s="2">
        <v>6846567241</v>
      </c>
    </row>
    <row r="734" spans="1:9" x14ac:dyDescent="0.25">
      <c r="A734">
        <v>733</v>
      </c>
      <c r="B734" s="1">
        <v>44561</v>
      </c>
      <c r="C734">
        <v>14</v>
      </c>
      <c r="D734" t="str">
        <f>"2865"</f>
        <v>2865</v>
      </c>
      <c r="E734" t="str">
        <f>"Обязательства по выпущенным электронным деньгам"</f>
        <v>Обязательства по выпущенным электронным деньгам</v>
      </c>
      <c r="F734" t="str">
        <f>"2"</f>
        <v>2</v>
      </c>
      <c r="G734" t="str">
        <f>"9"</f>
        <v>9</v>
      </c>
      <c r="H734" t="str">
        <f t="shared" si="113"/>
        <v>1</v>
      </c>
      <c r="I734" s="2">
        <v>722486</v>
      </c>
    </row>
    <row r="735" spans="1:9" x14ac:dyDescent="0.25">
      <c r="A735">
        <v>734</v>
      </c>
      <c r="B735" s="1">
        <v>44561</v>
      </c>
      <c r="C735">
        <v>14</v>
      </c>
      <c r="D735" t="str">
        <f>"2865"</f>
        <v>2865</v>
      </c>
      <c r="E735" t="str">
        <f>"Обязательства по выпущенным электронным деньгам"</f>
        <v>Обязательства по выпущенным электронным деньгам</v>
      </c>
      <c r="F735" t="str">
        <f>"1"</f>
        <v>1</v>
      </c>
      <c r="G735" t="str">
        <f>"9"</f>
        <v>9</v>
      </c>
      <c r="H735" t="str">
        <f t="shared" si="113"/>
        <v>1</v>
      </c>
      <c r="I735" s="2">
        <v>1537208416</v>
      </c>
    </row>
    <row r="736" spans="1:9" x14ac:dyDescent="0.25">
      <c r="A736">
        <v>735</v>
      </c>
      <c r="B736" s="1">
        <v>44561</v>
      </c>
      <c r="C736">
        <v>14</v>
      </c>
      <c r="D736" t="str">
        <f>"2867"</f>
        <v>2867</v>
      </c>
      <c r="E736" t="str">
        <f>"Прочие кредиторы по неосновной деятельности"</f>
        <v>Прочие кредиторы по неосновной деятельности</v>
      </c>
      <c r="F736" t="str">
        <f>"1"</f>
        <v>1</v>
      </c>
      <c r="G736" t="str">
        <f>"7"</f>
        <v>7</v>
      </c>
      <c r="H736" t="str">
        <f t="shared" si="113"/>
        <v>1</v>
      </c>
      <c r="I736" s="2">
        <v>31303207</v>
      </c>
    </row>
    <row r="737" spans="1:9" x14ac:dyDescent="0.25">
      <c r="A737">
        <v>736</v>
      </c>
      <c r="B737" s="1">
        <v>44561</v>
      </c>
      <c r="C737">
        <v>14</v>
      </c>
      <c r="D737" t="str">
        <f>"2867"</f>
        <v>2867</v>
      </c>
      <c r="E737" t="str">
        <f>"Прочие кредиторы по неосновной деятельности"</f>
        <v>Прочие кредиторы по неосновной деятельности</v>
      </c>
      <c r="F737" t="str">
        <f>"2"</f>
        <v>2</v>
      </c>
      <c r="G737" t="str">
        <f>"7"</f>
        <v>7</v>
      </c>
      <c r="H737" t="str">
        <f t="shared" si="113"/>
        <v>1</v>
      </c>
      <c r="I737" s="2">
        <v>5181286107</v>
      </c>
    </row>
    <row r="738" spans="1:9" x14ac:dyDescent="0.25">
      <c r="A738">
        <v>737</v>
      </c>
      <c r="B738" s="1">
        <v>44561</v>
      </c>
      <c r="C738">
        <v>14</v>
      </c>
      <c r="D738" t="str">
        <f>"2867"</f>
        <v>2867</v>
      </c>
      <c r="E738" t="str">
        <f>"Прочие кредиторы по неосновной деятельности"</f>
        <v>Прочие кредиторы по неосновной деятельности</v>
      </c>
      <c r="F738" t="str">
        <f>"1"</f>
        <v>1</v>
      </c>
      <c r="G738" t="str">
        <f>"9"</f>
        <v>9</v>
      </c>
      <c r="H738" t="str">
        <f t="shared" si="113"/>
        <v>1</v>
      </c>
      <c r="I738" s="2">
        <v>4500000</v>
      </c>
    </row>
    <row r="739" spans="1:9" x14ac:dyDescent="0.25">
      <c r="A739">
        <v>738</v>
      </c>
      <c r="B739" s="1">
        <v>44561</v>
      </c>
      <c r="C739">
        <v>14</v>
      </c>
      <c r="D739" t="str">
        <f>"2867"</f>
        <v>2867</v>
      </c>
      <c r="E739" t="str">
        <f>"Прочие кредиторы по неосновной деятельности"</f>
        <v>Прочие кредиторы по неосновной деятельности</v>
      </c>
      <c r="F739" t="str">
        <f>"1"</f>
        <v>1</v>
      </c>
      <c r="G739" t="str">
        <f>"6"</f>
        <v>6</v>
      </c>
      <c r="H739" t="str">
        <f t="shared" si="113"/>
        <v>1</v>
      </c>
      <c r="I739" s="2">
        <v>11825</v>
      </c>
    </row>
    <row r="740" spans="1:9" x14ac:dyDescent="0.25">
      <c r="A740">
        <v>739</v>
      </c>
      <c r="B740" s="1">
        <v>44561</v>
      </c>
      <c r="C740">
        <v>14</v>
      </c>
      <c r="D740" t="str">
        <f t="shared" ref="D740:D754" si="114">"2869"</f>
        <v>2869</v>
      </c>
      <c r="E740" t="str">
        <f t="shared" ref="E740:E754" si="115">"Выданные гарантии"</f>
        <v>Выданные гарантии</v>
      </c>
      <c r="F740" t="str">
        <f>"1"</f>
        <v>1</v>
      </c>
      <c r="G740" t="str">
        <f>"8"</f>
        <v>8</v>
      </c>
      <c r="H740" t="str">
        <f t="shared" si="113"/>
        <v>1</v>
      </c>
      <c r="I740" s="2">
        <v>47981</v>
      </c>
    </row>
    <row r="741" spans="1:9" x14ac:dyDescent="0.25">
      <c r="A741">
        <v>740</v>
      </c>
      <c r="B741" s="1">
        <v>44561</v>
      </c>
      <c r="C741">
        <v>14</v>
      </c>
      <c r="D741" t="str">
        <f t="shared" si="114"/>
        <v>2869</v>
      </c>
      <c r="E741" t="str">
        <f t="shared" si="115"/>
        <v>Выданные гарантии</v>
      </c>
      <c r="F741" t="str">
        <f>"1"</f>
        <v>1</v>
      </c>
      <c r="G741" t="str">
        <f>"9"</f>
        <v>9</v>
      </c>
      <c r="H741" t="str">
        <f>"3"</f>
        <v>3</v>
      </c>
      <c r="I741" s="2">
        <v>1375</v>
      </c>
    </row>
    <row r="742" spans="1:9" x14ac:dyDescent="0.25">
      <c r="A742">
        <v>741</v>
      </c>
      <c r="B742" s="1">
        <v>44561</v>
      </c>
      <c r="C742">
        <v>14</v>
      </c>
      <c r="D742" t="str">
        <f t="shared" si="114"/>
        <v>2869</v>
      </c>
      <c r="E742" t="str">
        <f t="shared" si="115"/>
        <v>Выданные гарантии</v>
      </c>
      <c r="F742" t="str">
        <f>"1"</f>
        <v>1</v>
      </c>
      <c r="G742" t="str">
        <f>"4"</f>
        <v>4</v>
      </c>
      <c r="H742" t="str">
        <f>"1"</f>
        <v>1</v>
      </c>
      <c r="I742" s="2">
        <v>93436</v>
      </c>
    </row>
    <row r="743" spans="1:9" x14ac:dyDescent="0.25">
      <c r="A743">
        <v>742</v>
      </c>
      <c r="B743" s="1">
        <v>44561</v>
      </c>
      <c r="C743">
        <v>14</v>
      </c>
      <c r="D743" t="str">
        <f t="shared" si="114"/>
        <v>2869</v>
      </c>
      <c r="E743" t="str">
        <f t="shared" si="115"/>
        <v>Выданные гарантии</v>
      </c>
      <c r="F743" t="str">
        <f>"2"</f>
        <v>2</v>
      </c>
      <c r="G743" t="str">
        <f>"7"</f>
        <v>7</v>
      </c>
      <c r="H743" t="str">
        <f>"1"</f>
        <v>1</v>
      </c>
      <c r="I743" s="2">
        <v>519448</v>
      </c>
    </row>
    <row r="744" spans="1:9" x14ac:dyDescent="0.25">
      <c r="A744">
        <v>743</v>
      </c>
      <c r="B744" s="1">
        <v>44561</v>
      </c>
      <c r="C744">
        <v>14</v>
      </c>
      <c r="D744" t="str">
        <f t="shared" si="114"/>
        <v>2869</v>
      </c>
      <c r="E744" t="str">
        <f t="shared" si="115"/>
        <v>Выданные гарантии</v>
      </c>
      <c r="F744" t="str">
        <f>"1"</f>
        <v>1</v>
      </c>
      <c r="G744" t="str">
        <f>"7"</f>
        <v>7</v>
      </c>
      <c r="H744" t="str">
        <f>"2"</f>
        <v>2</v>
      </c>
      <c r="I744" s="2">
        <v>47637767</v>
      </c>
    </row>
    <row r="745" spans="1:9" x14ac:dyDescent="0.25">
      <c r="A745">
        <v>744</v>
      </c>
      <c r="B745" s="1">
        <v>44561</v>
      </c>
      <c r="C745">
        <v>14</v>
      </c>
      <c r="D745" t="str">
        <f t="shared" si="114"/>
        <v>2869</v>
      </c>
      <c r="E745" t="str">
        <f t="shared" si="115"/>
        <v>Выданные гарантии</v>
      </c>
      <c r="F745" t="str">
        <f>"2"</f>
        <v>2</v>
      </c>
      <c r="G745" t="str">
        <f>"7"</f>
        <v>7</v>
      </c>
      <c r="H745" t="str">
        <f>"3"</f>
        <v>3</v>
      </c>
      <c r="I745" s="2">
        <v>1202251</v>
      </c>
    </row>
    <row r="746" spans="1:9" x14ac:dyDescent="0.25">
      <c r="A746">
        <v>745</v>
      </c>
      <c r="B746" s="1">
        <v>44561</v>
      </c>
      <c r="C746">
        <v>14</v>
      </c>
      <c r="D746" t="str">
        <f t="shared" si="114"/>
        <v>2869</v>
      </c>
      <c r="E746" t="str">
        <f t="shared" si="115"/>
        <v>Выданные гарантии</v>
      </c>
      <c r="F746" t="str">
        <f>"1"</f>
        <v>1</v>
      </c>
      <c r="G746" t="str">
        <f>"7"</f>
        <v>7</v>
      </c>
      <c r="H746" t="str">
        <f>"1"</f>
        <v>1</v>
      </c>
      <c r="I746" s="2">
        <v>7405442290</v>
      </c>
    </row>
    <row r="747" spans="1:9" x14ac:dyDescent="0.25">
      <c r="A747">
        <v>746</v>
      </c>
      <c r="B747" s="1">
        <v>44561</v>
      </c>
      <c r="C747">
        <v>14</v>
      </c>
      <c r="D747" t="str">
        <f t="shared" si="114"/>
        <v>2869</v>
      </c>
      <c r="E747" t="str">
        <f t="shared" si="115"/>
        <v>Выданные гарантии</v>
      </c>
      <c r="F747" t="str">
        <f>"1"</f>
        <v>1</v>
      </c>
      <c r="G747" t="str">
        <f>"5"</f>
        <v>5</v>
      </c>
      <c r="H747" t="str">
        <f>"1"</f>
        <v>1</v>
      </c>
      <c r="I747" s="2">
        <v>548813</v>
      </c>
    </row>
    <row r="748" spans="1:9" x14ac:dyDescent="0.25">
      <c r="A748">
        <v>747</v>
      </c>
      <c r="B748" s="1">
        <v>44561</v>
      </c>
      <c r="C748">
        <v>14</v>
      </c>
      <c r="D748" t="str">
        <f t="shared" si="114"/>
        <v>2869</v>
      </c>
      <c r="E748" t="str">
        <f t="shared" si="115"/>
        <v>Выданные гарантии</v>
      </c>
      <c r="F748" t="str">
        <f>"2"</f>
        <v>2</v>
      </c>
      <c r="G748" t="str">
        <f>"4"</f>
        <v>4</v>
      </c>
      <c r="H748" t="str">
        <f>"1"</f>
        <v>1</v>
      </c>
      <c r="I748" s="2">
        <v>1249480</v>
      </c>
    </row>
    <row r="749" spans="1:9" x14ac:dyDescent="0.25">
      <c r="A749">
        <v>748</v>
      </c>
      <c r="B749" s="1">
        <v>44561</v>
      </c>
      <c r="C749">
        <v>14</v>
      </c>
      <c r="D749" t="str">
        <f t="shared" si="114"/>
        <v>2869</v>
      </c>
      <c r="E749" t="str">
        <f t="shared" si="115"/>
        <v>Выданные гарантии</v>
      </c>
      <c r="F749" t="str">
        <f>"1"</f>
        <v>1</v>
      </c>
      <c r="G749" t="str">
        <f>"7"</f>
        <v>7</v>
      </c>
      <c r="H749" t="str">
        <f>"3"</f>
        <v>3</v>
      </c>
      <c r="I749" s="2">
        <v>132255772</v>
      </c>
    </row>
    <row r="750" spans="1:9" x14ac:dyDescent="0.25">
      <c r="A750">
        <v>749</v>
      </c>
      <c r="B750" s="1">
        <v>44561</v>
      </c>
      <c r="C750">
        <v>14</v>
      </c>
      <c r="D750" t="str">
        <f t="shared" si="114"/>
        <v>2869</v>
      </c>
      <c r="E750" t="str">
        <f t="shared" si="115"/>
        <v>Выданные гарантии</v>
      </c>
      <c r="F750" t="str">
        <f>"2"</f>
        <v>2</v>
      </c>
      <c r="G750" t="str">
        <f>"7"</f>
        <v>7</v>
      </c>
      <c r="H750" t="str">
        <f>"2"</f>
        <v>2</v>
      </c>
      <c r="I750" s="2">
        <v>4409978</v>
      </c>
    </row>
    <row r="751" spans="1:9" x14ac:dyDescent="0.25">
      <c r="A751">
        <v>750</v>
      </c>
      <c r="B751" s="1">
        <v>44561</v>
      </c>
      <c r="C751">
        <v>14</v>
      </c>
      <c r="D751" t="str">
        <f t="shared" si="114"/>
        <v>2869</v>
      </c>
      <c r="E751" t="str">
        <f t="shared" si="115"/>
        <v>Выданные гарантии</v>
      </c>
      <c r="F751" t="str">
        <f>"1"</f>
        <v>1</v>
      </c>
      <c r="G751" t="str">
        <f>"6"</f>
        <v>6</v>
      </c>
      <c r="H751" t="str">
        <f>"2"</f>
        <v>2</v>
      </c>
      <c r="I751" s="2">
        <v>16758037</v>
      </c>
    </row>
    <row r="752" spans="1:9" x14ac:dyDescent="0.25">
      <c r="A752">
        <v>751</v>
      </c>
      <c r="B752" s="1">
        <v>44561</v>
      </c>
      <c r="C752">
        <v>14</v>
      </c>
      <c r="D752" t="str">
        <f t="shared" si="114"/>
        <v>2869</v>
      </c>
      <c r="E752" t="str">
        <f t="shared" si="115"/>
        <v>Выданные гарантии</v>
      </c>
      <c r="F752" t="str">
        <f>"2"</f>
        <v>2</v>
      </c>
      <c r="G752" t="str">
        <f>"4"</f>
        <v>4</v>
      </c>
      <c r="H752" t="str">
        <f>"2"</f>
        <v>2</v>
      </c>
      <c r="I752" s="2">
        <v>40034</v>
      </c>
    </row>
    <row r="753" spans="1:9" x14ac:dyDescent="0.25">
      <c r="A753">
        <v>752</v>
      </c>
      <c r="B753" s="1">
        <v>44561</v>
      </c>
      <c r="C753">
        <v>14</v>
      </c>
      <c r="D753" t="str">
        <f t="shared" si="114"/>
        <v>2869</v>
      </c>
      <c r="E753" t="str">
        <f t="shared" si="115"/>
        <v>Выданные гарантии</v>
      </c>
      <c r="F753" t="str">
        <f>"1"</f>
        <v>1</v>
      </c>
      <c r="G753" t="str">
        <f>"9"</f>
        <v>9</v>
      </c>
      <c r="H753" t="str">
        <f>"1"</f>
        <v>1</v>
      </c>
      <c r="I753" s="2">
        <v>882233</v>
      </c>
    </row>
    <row r="754" spans="1:9" x14ac:dyDescent="0.25">
      <c r="A754">
        <v>753</v>
      </c>
      <c r="B754" s="1">
        <v>44561</v>
      </c>
      <c r="C754">
        <v>14</v>
      </c>
      <c r="D754" t="str">
        <f t="shared" si="114"/>
        <v>2869</v>
      </c>
      <c r="E754" t="str">
        <f t="shared" si="115"/>
        <v>Выданные гарантии</v>
      </c>
      <c r="F754" t="str">
        <f>"1"</f>
        <v>1</v>
      </c>
      <c r="G754" t="str">
        <f>"6"</f>
        <v>6</v>
      </c>
      <c r="H754" t="str">
        <f>"1"</f>
        <v>1</v>
      </c>
      <c r="I754" s="2">
        <v>933833</v>
      </c>
    </row>
    <row r="755" spans="1:9" x14ac:dyDescent="0.25">
      <c r="A755">
        <v>754</v>
      </c>
      <c r="B755" s="1">
        <v>44561</v>
      </c>
      <c r="C755">
        <v>14</v>
      </c>
      <c r="D755" t="str">
        <f t="shared" ref="D755:D765" si="116">"2870"</f>
        <v>2870</v>
      </c>
      <c r="E755" t="str">
        <f t="shared" ref="E755:E765" si="117">"Прочие транзитные счета"</f>
        <v>Прочие транзитные счета</v>
      </c>
      <c r="F755" t="str">
        <f>"1"</f>
        <v>1</v>
      </c>
      <c r="G755" t="str">
        <f>"7"</f>
        <v>7</v>
      </c>
      <c r="H755" t="str">
        <f>"3"</f>
        <v>3</v>
      </c>
      <c r="I755" s="2">
        <v>81472</v>
      </c>
    </row>
    <row r="756" spans="1:9" x14ac:dyDescent="0.25">
      <c r="A756">
        <v>755</v>
      </c>
      <c r="B756" s="1">
        <v>44561</v>
      </c>
      <c r="C756">
        <v>14</v>
      </c>
      <c r="D756" t="str">
        <f t="shared" si="116"/>
        <v>2870</v>
      </c>
      <c r="E756" t="str">
        <f t="shared" si="117"/>
        <v>Прочие транзитные счета</v>
      </c>
      <c r="F756" t="str">
        <f>"2"</f>
        <v>2</v>
      </c>
      <c r="G756" t="str">
        <f>"4"</f>
        <v>4</v>
      </c>
      <c r="H756" t="str">
        <f>"2"</f>
        <v>2</v>
      </c>
      <c r="I756" s="2">
        <v>461262723</v>
      </c>
    </row>
    <row r="757" spans="1:9" x14ac:dyDescent="0.25">
      <c r="A757">
        <v>756</v>
      </c>
      <c r="B757" s="1">
        <v>44561</v>
      </c>
      <c r="C757">
        <v>14</v>
      </c>
      <c r="D757" t="str">
        <f t="shared" si="116"/>
        <v>2870</v>
      </c>
      <c r="E757" t="str">
        <f t="shared" si="117"/>
        <v>Прочие транзитные счета</v>
      </c>
      <c r="F757" t="str">
        <f>"2"</f>
        <v>2</v>
      </c>
      <c r="G757" t="str">
        <f>"4"</f>
        <v>4</v>
      </c>
      <c r="H757" t="str">
        <f>"3"</f>
        <v>3</v>
      </c>
      <c r="I757" s="2">
        <v>876415954</v>
      </c>
    </row>
    <row r="758" spans="1:9" x14ac:dyDescent="0.25">
      <c r="A758">
        <v>757</v>
      </c>
      <c r="B758" s="1">
        <v>44561</v>
      </c>
      <c r="C758">
        <v>14</v>
      </c>
      <c r="D758" t="str">
        <f t="shared" si="116"/>
        <v>2870</v>
      </c>
      <c r="E758" t="str">
        <f t="shared" si="117"/>
        <v>Прочие транзитные счета</v>
      </c>
      <c r="F758" t="str">
        <f>"2"</f>
        <v>2</v>
      </c>
      <c r="G758" t="str">
        <f>"7"</f>
        <v>7</v>
      </c>
      <c r="H758" t="str">
        <f>"2"</f>
        <v>2</v>
      </c>
      <c r="I758" s="2">
        <v>615721</v>
      </c>
    </row>
    <row r="759" spans="1:9" x14ac:dyDescent="0.25">
      <c r="A759">
        <v>758</v>
      </c>
      <c r="B759" s="1">
        <v>44561</v>
      </c>
      <c r="C759">
        <v>14</v>
      </c>
      <c r="D759" t="str">
        <f t="shared" si="116"/>
        <v>2870</v>
      </c>
      <c r="E759" t="str">
        <f t="shared" si="117"/>
        <v>Прочие транзитные счета</v>
      </c>
      <c r="F759" t="str">
        <f t="shared" ref="F759:F765" si="118">"1"</f>
        <v>1</v>
      </c>
      <c r="G759" t="str">
        <f>"9"</f>
        <v>9</v>
      </c>
      <c r="H759" t="str">
        <f>"1"</f>
        <v>1</v>
      </c>
      <c r="I759" s="2">
        <v>918780803</v>
      </c>
    </row>
    <row r="760" spans="1:9" x14ac:dyDescent="0.25">
      <c r="A760">
        <v>759</v>
      </c>
      <c r="B760" s="1">
        <v>44561</v>
      </c>
      <c r="C760">
        <v>14</v>
      </c>
      <c r="D760" t="str">
        <f t="shared" si="116"/>
        <v>2870</v>
      </c>
      <c r="E760" t="str">
        <f t="shared" si="117"/>
        <v>Прочие транзитные счета</v>
      </c>
      <c r="F760" t="str">
        <f t="shared" si="118"/>
        <v>1</v>
      </c>
      <c r="G760" t="str">
        <f>"7"</f>
        <v>7</v>
      </c>
      <c r="H760" t="str">
        <f>"2"</f>
        <v>2</v>
      </c>
      <c r="I760" s="2">
        <v>45675469</v>
      </c>
    </row>
    <row r="761" spans="1:9" x14ac:dyDescent="0.25">
      <c r="A761">
        <v>760</v>
      </c>
      <c r="B761" s="1">
        <v>44561</v>
      </c>
      <c r="C761">
        <v>14</v>
      </c>
      <c r="D761" t="str">
        <f t="shared" si="116"/>
        <v>2870</v>
      </c>
      <c r="E761" t="str">
        <f t="shared" si="117"/>
        <v>Прочие транзитные счета</v>
      </c>
      <c r="F761" t="str">
        <f t="shared" si="118"/>
        <v>1</v>
      </c>
      <c r="G761" t="str">
        <f>"7"</f>
        <v>7</v>
      </c>
      <c r="H761" t="str">
        <f>"1"</f>
        <v>1</v>
      </c>
      <c r="I761" s="2">
        <v>14099704108</v>
      </c>
    </row>
    <row r="762" spans="1:9" x14ac:dyDescent="0.25">
      <c r="A762">
        <v>761</v>
      </c>
      <c r="B762" s="1">
        <v>44561</v>
      </c>
      <c r="C762">
        <v>14</v>
      </c>
      <c r="D762" t="str">
        <f t="shared" si="116"/>
        <v>2870</v>
      </c>
      <c r="E762" t="str">
        <f t="shared" si="117"/>
        <v>Прочие транзитные счета</v>
      </c>
      <c r="F762" t="str">
        <f t="shared" si="118"/>
        <v>1</v>
      </c>
      <c r="G762" t="str">
        <f>"4"</f>
        <v>4</v>
      </c>
      <c r="H762" t="str">
        <f>"2"</f>
        <v>2</v>
      </c>
      <c r="I762" s="2">
        <v>271852545</v>
      </c>
    </row>
    <row r="763" spans="1:9" x14ac:dyDescent="0.25">
      <c r="A763">
        <v>762</v>
      </c>
      <c r="B763" s="1">
        <v>44561</v>
      </c>
      <c r="C763">
        <v>14</v>
      </c>
      <c r="D763" t="str">
        <f t="shared" si="116"/>
        <v>2870</v>
      </c>
      <c r="E763" t="str">
        <f t="shared" si="117"/>
        <v>Прочие транзитные счета</v>
      </c>
      <c r="F763" t="str">
        <f t="shared" si="118"/>
        <v>1</v>
      </c>
      <c r="G763" t="str">
        <f>"9"</f>
        <v>9</v>
      </c>
      <c r="H763" t="str">
        <f>"2"</f>
        <v>2</v>
      </c>
      <c r="I763" s="2">
        <v>10385433</v>
      </c>
    </row>
    <row r="764" spans="1:9" x14ac:dyDescent="0.25">
      <c r="A764">
        <v>763</v>
      </c>
      <c r="B764" s="1">
        <v>44561</v>
      </c>
      <c r="C764">
        <v>14</v>
      </c>
      <c r="D764" t="str">
        <f t="shared" si="116"/>
        <v>2870</v>
      </c>
      <c r="E764" t="str">
        <f t="shared" si="117"/>
        <v>Прочие транзитные счета</v>
      </c>
      <c r="F764" t="str">
        <f t="shared" si="118"/>
        <v>1</v>
      </c>
      <c r="G764" t="str">
        <f>"4"</f>
        <v>4</v>
      </c>
      <c r="H764" t="str">
        <f>"1"</f>
        <v>1</v>
      </c>
      <c r="I764" s="2">
        <v>5715339092</v>
      </c>
    </row>
    <row r="765" spans="1:9" x14ac:dyDescent="0.25">
      <c r="A765">
        <v>764</v>
      </c>
      <c r="B765" s="1">
        <v>44561</v>
      </c>
      <c r="C765">
        <v>14</v>
      </c>
      <c r="D765" t="str">
        <f t="shared" si="116"/>
        <v>2870</v>
      </c>
      <c r="E765" t="str">
        <f t="shared" si="117"/>
        <v>Прочие транзитные счета</v>
      </c>
      <c r="F765" t="str">
        <f t="shared" si="118"/>
        <v>1</v>
      </c>
      <c r="G765" t="str">
        <f>"4"</f>
        <v>4</v>
      </c>
      <c r="H765" t="str">
        <f>"3"</f>
        <v>3</v>
      </c>
      <c r="I765" s="2">
        <v>85298832</v>
      </c>
    </row>
    <row r="766" spans="1:9" x14ac:dyDescent="0.25">
      <c r="A766">
        <v>765</v>
      </c>
      <c r="B766" s="1">
        <v>44561</v>
      </c>
      <c r="C766">
        <v>14</v>
      </c>
      <c r="D766" t="str">
        <f>"2874"</f>
        <v>2874</v>
      </c>
      <c r="E766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766" t="str">
        <f>"2"</f>
        <v>2</v>
      </c>
      <c r="G766" t="str">
        <f>""</f>
        <v/>
      </c>
      <c r="H766" t="str">
        <f>"2"</f>
        <v>2</v>
      </c>
      <c r="I766" s="2">
        <v>297848762</v>
      </c>
    </row>
    <row r="767" spans="1:9" x14ac:dyDescent="0.25">
      <c r="A767">
        <v>766</v>
      </c>
      <c r="B767" s="1">
        <v>44561</v>
      </c>
      <c r="C767">
        <v>14</v>
      </c>
      <c r="D767" t="str">
        <f>"2874"</f>
        <v>2874</v>
      </c>
      <c r="E767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767" t="str">
        <f>"1"</f>
        <v>1</v>
      </c>
      <c r="G767" t="str">
        <f>""</f>
        <v/>
      </c>
      <c r="H767" t="str">
        <f>"1"</f>
        <v>1</v>
      </c>
      <c r="I767" s="2">
        <v>10000</v>
      </c>
    </row>
    <row r="768" spans="1:9" x14ac:dyDescent="0.25">
      <c r="A768">
        <v>767</v>
      </c>
      <c r="B768" s="1">
        <v>44561</v>
      </c>
      <c r="C768">
        <v>14</v>
      </c>
      <c r="D768" t="str">
        <f>"2874"</f>
        <v>2874</v>
      </c>
      <c r="E768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768" t="str">
        <f>"2"</f>
        <v>2</v>
      </c>
      <c r="G768" t="str">
        <f>""</f>
        <v/>
      </c>
      <c r="H768" t="str">
        <f>"1"</f>
        <v>1</v>
      </c>
      <c r="I768" s="2">
        <v>171346</v>
      </c>
    </row>
    <row r="769" spans="1:9" x14ac:dyDescent="0.25">
      <c r="A769">
        <v>768</v>
      </c>
      <c r="B769" s="1">
        <v>44561</v>
      </c>
      <c r="C769">
        <v>14</v>
      </c>
      <c r="D769" t="str">
        <f t="shared" ref="D769:D778" si="119">"2875"</f>
        <v>2875</v>
      </c>
      <c r="E769" t="str">
        <f t="shared" ref="E769:E778" si="120"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769" t="str">
        <f>"2"</f>
        <v>2</v>
      </c>
      <c r="G769" t="str">
        <f>"7"</f>
        <v>7</v>
      </c>
      <c r="H769" t="str">
        <f>"2"</f>
        <v>2</v>
      </c>
      <c r="I769" s="2">
        <v>129540</v>
      </c>
    </row>
    <row r="770" spans="1:9" x14ac:dyDescent="0.25">
      <c r="A770">
        <v>769</v>
      </c>
      <c r="B770" s="1">
        <v>44561</v>
      </c>
      <c r="C770">
        <v>14</v>
      </c>
      <c r="D770" t="str">
        <f t="shared" si="119"/>
        <v>2875</v>
      </c>
      <c r="E770" t="str">
        <f t="shared" si="120"/>
        <v>Резервы (провизии) на покрытие убытков по условным обязательствам</v>
      </c>
      <c r="F770" t="str">
        <f>"2"</f>
        <v>2</v>
      </c>
      <c r="G770" t="str">
        <f>"7"</f>
        <v>7</v>
      </c>
      <c r="H770" t="str">
        <f>"1"</f>
        <v>1</v>
      </c>
      <c r="I770" s="2">
        <v>6060</v>
      </c>
    </row>
    <row r="771" spans="1:9" x14ac:dyDescent="0.25">
      <c r="A771">
        <v>770</v>
      </c>
      <c r="B771" s="1">
        <v>44561</v>
      </c>
      <c r="C771">
        <v>14</v>
      </c>
      <c r="D771" t="str">
        <f t="shared" si="119"/>
        <v>2875</v>
      </c>
      <c r="E771" t="str">
        <f t="shared" si="120"/>
        <v>Резервы (провизии) на покрытие убытков по условным обязательствам</v>
      </c>
      <c r="F771" t="str">
        <f>"1"</f>
        <v>1</v>
      </c>
      <c r="G771" t="str">
        <f>"9"</f>
        <v>9</v>
      </c>
      <c r="H771" t="str">
        <f>"1"</f>
        <v>1</v>
      </c>
      <c r="I771" s="2">
        <v>292568165</v>
      </c>
    </row>
    <row r="772" spans="1:9" x14ac:dyDescent="0.25">
      <c r="A772">
        <v>771</v>
      </c>
      <c r="B772" s="1">
        <v>44561</v>
      </c>
      <c r="C772">
        <v>14</v>
      </c>
      <c r="D772" t="str">
        <f t="shared" si="119"/>
        <v>2875</v>
      </c>
      <c r="E772" t="str">
        <f t="shared" si="120"/>
        <v>Резервы (провизии) на покрытие убытков по условным обязательствам</v>
      </c>
      <c r="F772" t="str">
        <f>"1"</f>
        <v>1</v>
      </c>
      <c r="G772" t="str">
        <f>"7"</f>
        <v>7</v>
      </c>
      <c r="H772" t="str">
        <f>"1"</f>
        <v>1</v>
      </c>
      <c r="I772" s="2">
        <v>7555786</v>
      </c>
    </row>
    <row r="773" spans="1:9" x14ac:dyDescent="0.25">
      <c r="A773">
        <v>772</v>
      </c>
      <c r="B773" s="1">
        <v>44561</v>
      </c>
      <c r="C773">
        <v>14</v>
      </c>
      <c r="D773" t="str">
        <f t="shared" si="119"/>
        <v>2875</v>
      </c>
      <c r="E773" t="str">
        <f t="shared" si="120"/>
        <v>Резервы (провизии) на покрытие убытков по условным обязательствам</v>
      </c>
      <c r="F773" t="str">
        <f>"2"</f>
        <v>2</v>
      </c>
      <c r="G773" t="str">
        <f>"9"</f>
        <v>9</v>
      </c>
      <c r="H773" t="str">
        <f>"2"</f>
        <v>2</v>
      </c>
      <c r="I773" s="2">
        <v>389544</v>
      </c>
    </row>
    <row r="774" spans="1:9" x14ac:dyDescent="0.25">
      <c r="A774">
        <v>773</v>
      </c>
      <c r="B774" s="1">
        <v>44561</v>
      </c>
      <c r="C774">
        <v>14</v>
      </c>
      <c r="D774" t="str">
        <f t="shared" si="119"/>
        <v>2875</v>
      </c>
      <c r="E774" t="str">
        <f t="shared" si="120"/>
        <v>Резервы (провизии) на покрытие убытков по условным обязательствам</v>
      </c>
      <c r="F774" t="str">
        <f>"2"</f>
        <v>2</v>
      </c>
      <c r="G774" t="str">
        <f>"9"</f>
        <v>9</v>
      </c>
      <c r="H774" t="str">
        <f>"1"</f>
        <v>1</v>
      </c>
      <c r="I774" s="2">
        <v>705537</v>
      </c>
    </row>
    <row r="775" spans="1:9" x14ac:dyDescent="0.25">
      <c r="A775">
        <v>774</v>
      </c>
      <c r="B775" s="1">
        <v>44561</v>
      </c>
      <c r="C775">
        <v>14</v>
      </c>
      <c r="D775" t="str">
        <f t="shared" si="119"/>
        <v>2875</v>
      </c>
      <c r="E775" t="str">
        <f t="shared" si="120"/>
        <v>Резервы (провизии) на покрытие убытков по условным обязательствам</v>
      </c>
      <c r="F775" t="str">
        <f>"1"</f>
        <v>1</v>
      </c>
      <c r="G775" t="str">
        <f>"3"</f>
        <v>3</v>
      </c>
      <c r="H775" t="str">
        <f>"1"</f>
        <v>1</v>
      </c>
      <c r="I775" s="2">
        <v>138750</v>
      </c>
    </row>
    <row r="776" spans="1:9" x14ac:dyDescent="0.25">
      <c r="A776">
        <v>775</v>
      </c>
      <c r="B776" s="1">
        <v>44561</v>
      </c>
      <c r="C776">
        <v>14</v>
      </c>
      <c r="D776" t="str">
        <f t="shared" si="119"/>
        <v>2875</v>
      </c>
      <c r="E776" t="str">
        <f t="shared" si="120"/>
        <v>Резервы (провизии) на покрытие убытков по условным обязательствам</v>
      </c>
      <c r="F776" t="str">
        <f>"1"</f>
        <v>1</v>
      </c>
      <c r="G776" t="str">
        <f>"7"</f>
        <v>7</v>
      </c>
      <c r="H776" t="str">
        <f>"2"</f>
        <v>2</v>
      </c>
      <c r="I776" s="2">
        <v>1876287</v>
      </c>
    </row>
    <row r="777" spans="1:9" x14ac:dyDescent="0.25">
      <c r="A777">
        <v>776</v>
      </c>
      <c r="B777" s="1">
        <v>44561</v>
      </c>
      <c r="C777">
        <v>14</v>
      </c>
      <c r="D777" t="str">
        <f t="shared" si="119"/>
        <v>2875</v>
      </c>
      <c r="E777" t="str">
        <f t="shared" si="120"/>
        <v>Резервы (провизии) на покрытие убытков по условным обязательствам</v>
      </c>
      <c r="F777" t="str">
        <f>"1"</f>
        <v>1</v>
      </c>
      <c r="G777" t="str">
        <f>"7"</f>
        <v>7</v>
      </c>
      <c r="H777" t="str">
        <f>"3"</f>
        <v>3</v>
      </c>
      <c r="I777" s="2">
        <v>4819268920</v>
      </c>
    </row>
    <row r="778" spans="1:9" x14ac:dyDescent="0.25">
      <c r="A778">
        <v>777</v>
      </c>
      <c r="B778" s="1">
        <v>44561</v>
      </c>
      <c r="C778">
        <v>14</v>
      </c>
      <c r="D778" t="str">
        <f t="shared" si="119"/>
        <v>2875</v>
      </c>
      <c r="E778" t="str">
        <f t="shared" si="120"/>
        <v>Резервы (провизии) на покрытие убытков по условным обязательствам</v>
      </c>
      <c r="F778" t="str">
        <f>"1"</f>
        <v>1</v>
      </c>
      <c r="G778" t="str">
        <f>"9"</f>
        <v>9</v>
      </c>
      <c r="H778" t="str">
        <f>"2"</f>
        <v>2</v>
      </c>
      <c r="I778" s="2">
        <v>35255983</v>
      </c>
    </row>
    <row r="779" spans="1:9" x14ac:dyDescent="0.25">
      <c r="A779">
        <v>778</v>
      </c>
      <c r="B779" s="1">
        <v>44561</v>
      </c>
      <c r="C779">
        <v>14</v>
      </c>
      <c r="D779" t="str">
        <f>"2880"</f>
        <v>2880</v>
      </c>
      <c r="E779" t="str">
        <f>"Обязательства по секьюритизируемым активам"</f>
        <v>Обязательства по секьюритизируемым активам</v>
      </c>
      <c r="F779" t="str">
        <f>"1"</f>
        <v>1</v>
      </c>
      <c r="G779" t="str">
        <f>""</f>
        <v/>
      </c>
      <c r="H779" t="str">
        <f t="shared" ref="H779:H785" si="121">"1"</f>
        <v>1</v>
      </c>
      <c r="I779" s="2">
        <v>71988867522</v>
      </c>
    </row>
    <row r="780" spans="1:9" x14ac:dyDescent="0.25">
      <c r="A780">
        <v>779</v>
      </c>
      <c r="B780" s="1">
        <v>44561</v>
      </c>
      <c r="C780">
        <v>14</v>
      </c>
      <c r="D780" t="str">
        <f>"2892"</f>
        <v>2892</v>
      </c>
      <c r="E780" t="str">
        <f>"Обязательства по операциям форвард"</f>
        <v>Обязательства по операциям форвард</v>
      </c>
      <c r="F780" t="str">
        <f>"2"</f>
        <v>2</v>
      </c>
      <c r="G780" t="str">
        <f>"4"</f>
        <v>4</v>
      </c>
      <c r="H780" t="str">
        <f t="shared" si="121"/>
        <v>1</v>
      </c>
      <c r="I780" s="2">
        <v>38000000</v>
      </c>
    </row>
    <row r="781" spans="1:9" x14ac:dyDescent="0.25">
      <c r="A781">
        <v>780</v>
      </c>
      <c r="B781" s="1">
        <v>44561</v>
      </c>
      <c r="C781">
        <v>14</v>
      </c>
      <c r="D781" t="str">
        <f>"2894"</f>
        <v>2894</v>
      </c>
      <c r="E781" t="str">
        <f>"Обязательства по операциям спот"</f>
        <v>Обязательства по операциям спот</v>
      </c>
      <c r="F781" t="str">
        <f>"2"</f>
        <v>2</v>
      </c>
      <c r="G781" t="str">
        <f>"3"</f>
        <v>3</v>
      </c>
      <c r="H781" t="str">
        <f t="shared" si="121"/>
        <v>1</v>
      </c>
      <c r="I781" s="2">
        <v>13400000</v>
      </c>
    </row>
    <row r="782" spans="1:9" x14ac:dyDescent="0.25">
      <c r="A782">
        <v>781</v>
      </c>
      <c r="B782" s="1">
        <v>44561</v>
      </c>
      <c r="C782">
        <v>14</v>
      </c>
      <c r="D782" t="str">
        <f>"2894"</f>
        <v>2894</v>
      </c>
      <c r="E782" t="str">
        <f>"Обязательства по операциям спот"</f>
        <v>Обязательства по операциям спот</v>
      </c>
      <c r="F782" t="str">
        <f>"2"</f>
        <v>2</v>
      </c>
      <c r="G782" t="str">
        <f>"4"</f>
        <v>4</v>
      </c>
      <c r="H782" t="str">
        <f t="shared" si="121"/>
        <v>1</v>
      </c>
      <c r="I782" s="2">
        <v>45013032</v>
      </c>
    </row>
    <row r="783" spans="1:9" x14ac:dyDescent="0.25">
      <c r="A783">
        <v>782</v>
      </c>
      <c r="B783" s="1">
        <v>44561</v>
      </c>
      <c r="C783">
        <v>14</v>
      </c>
      <c r="D783" t="str">
        <f>"2894"</f>
        <v>2894</v>
      </c>
      <c r="E783" t="str">
        <f>"Обязательства по операциям спот"</f>
        <v>Обязательства по операциям спот</v>
      </c>
      <c r="F783" t="str">
        <f>"1"</f>
        <v>1</v>
      </c>
      <c r="G783" t="str">
        <f>"5"</f>
        <v>5</v>
      </c>
      <c r="H783" t="str">
        <f t="shared" si="121"/>
        <v>1</v>
      </c>
      <c r="I783" s="2">
        <v>4015042</v>
      </c>
    </row>
    <row r="784" spans="1:9" x14ac:dyDescent="0.25">
      <c r="A784">
        <v>783</v>
      </c>
      <c r="B784" s="1">
        <v>44561</v>
      </c>
      <c r="C784">
        <v>14</v>
      </c>
      <c r="D784" t="str">
        <f>"2894"</f>
        <v>2894</v>
      </c>
      <c r="E784" t="str">
        <f>"Обязательства по операциям спот"</f>
        <v>Обязательства по операциям спот</v>
      </c>
      <c r="F784" t="str">
        <f>"1"</f>
        <v>1</v>
      </c>
      <c r="G784" t="str">
        <f>"4"</f>
        <v>4</v>
      </c>
      <c r="H784" t="str">
        <f t="shared" si="121"/>
        <v>1</v>
      </c>
      <c r="I784" s="2">
        <v>200000</v>
      </c>
    </row>
    <row r="785" spans="1:9" x14ac:dyDescent="0.25">
      <c r="A785">
        <v>784</v>
      </c>
      <c r="B785" s="1">
        <v>44561</v>
      </c>
      <c r="C785">
        <v>14</v>
      </c>
      <c r="D785" t="str">
        <f>"2895"</f>
        <v>2895</v>
      </c>
      <c r="E785" t="str">
        <f>"Обязательства по операциям своп"</f>
        <v>Обязательства по операциям своп</v>
      </c>
      <c r="F785" t="str">
        <f>"2"</f>
        <v>2</v>
      </c>
      <c r="G785" t="str">
        <f>"4"</f>
        <v>4</v>
      </c>
      <c r="H785" t="str">
        <f t="shared" si="121"/>
        <v>1</v>
      </c>
      <c r="I785" s="2">
        <v>950032298</v>
      </c>
    </row>
    <row r="786" spans="1:9" x14ac:dyDescent="0.25">
      <c r="A786">
        <v>785</v>
      </c>
      <c r="B786" s="1">
        <v>44561</v>
      </c>
      <c r="C786">
        <v>14</v>
      </c>
      <c r="D786" t="str">
        <f>"3001"</f>
        <v>3001</v>
      </c>
      <c r="E786" t="str">
        <f>"Уставный капитал – простые акции"</f>
        <v>Уставный капитал – простые акции</v>
      </c>
      <c r="F786" t="str">
        <f>""</f>
        <v/>
      </c>
      <c r="G786" t="str">
        <f>""</f>
        <v/>
      </c>
      <c r="H786" t="str">
        <f>""</f>
        <v/>
      </c>
      <c r="I786" s="2">
        <v>212689578336</v>
      </c>
    </row>
    <row r="787" spans="1:9" x14ac:dyDescent="0.25">
      <c r="A787">
        <v>786</v>
      </c>
      <c r="B787" s="1">
        <v>44561</v>
      </c>
      <c r="C787">
        <v>14</v>
      </c>
      <c r="D787" t="str">
        <f>"3003"</f>
        <v>3003</v>
      </c>
      <c r="E787" t="str">
        <f>"Выкупленные простые акции"</f>
        <v>Выкупленные простые акции</v>
      </c>
      <c r="F787" t="str">
        <f>""</f>
        <v/>
      </c>
      <c r="G787" t="str">
        <f>""</f>
        <v/>
      </c>
      <c r="H787" t="str">
        <f>""</f>
        <v/>
      </c>
      <c r="I787" s="2">
        <v>-260598046647</v>
      </c>
    </row>
    <row r="788" spans="1:9" x14ac:dyDescent="0.25">
      <c r="A788">
        <v>787</v>
      </c>
      <c r="B788" s="1">
        <v>44561</v>
      </c>
      <c r="C788">
        <v>14</v>
      </c>
      <c r="D788" t="str">
        <f>"3101"</f>
        <v>3101</v>
      </c>
      <c r="E788" t="str">
        <f>"Дополнительный оплаченный капитал"</f>
        <v>Дополнительный оплаченный капитал</v>
      </c>
      <c r="F788" t="str">
        <f>""</f>
        <v/>
      </c>
      <c r="G788" t="str">
        <f>""</f>
        <v/>
      </c>
      <c r="H788" t="str">
        <f>""</f>
        <v/>
      </c>
      <c r="I788" s="2">
        <v>1849863324</v>
      </c>
    </row>
    <row r="789" spans="1:9" x14ac:dyDescent="0.25">
      <c r="A789">
        <v>788</v>
      </c>
      <c r="B789" s="1">
        <v>44561</v>
      </c>
      <c r="C789">
        <v>14</v>
      </c>
      <c r="D789" t="str">
        <f>"3510"</f>
        <v>3510</v>
      </c>
      <c r="E789" t="str">
        <f>"Резервный капитал"</f>
        <v>Резервный капитал</v>
      </c>
      <c r="F789" t="str">
        <f>""</f>
        <v/>
      </c>
      <c r="G789" t="str">
        <f>""</f>
        <v/>
      </c>
      <c r="H789" t="str">
        <f>""</f>
        <v/>
      </c>
      <c r="I789" s="2">
        <v>53761496727</v>
      </c>
    </row>
    <row r="790" spans="1:9" x14ac:dyDescent="0.25">
      <c r="A790">
        <v>789</v>
      </c>
      <c r="B790" s="1">
        <v>44561</v>
      </c>
      <c r="C790">
        <v>14</v>
      </c>
      <c r="D790" t="str">
        <f>"3540"</f>
        <v>3540</v>
      </c>
      <c r="E790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790" t="str">
        <f>""</f>
        <v/>
      </c>
      <c r="G790" t="str">
        <f>""</f>
        <v/>
      </c>
      <c r="H790" t="str">
        <f>""</f>
        <v/>
      </c>
      <c r="I790" s="2">
        <v>21225648376</v>
      </c>
    </row>
    <row r="791" spans="1:9" x14ac:dyDescent="0.25">
      <c r="A791">
        <v>790</v>
      </c>
      <c r="B791" s="1">
        <v>44561</v>
      </c>
      <c r="C791">
        <v>14</v>
      </c>
      <c r="D791" t="str">
        <f t="shared" ref="D791:D796" si="122">"3561"</f>
        <v>3561</v>
      </c>
      <c r="E791" t="str">
        <f t="shared" ref="E791:E796" si="123"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791" t="str">
        <f>"2"</f>
        <v>2</v>
      </c>
      <c r="G791" t="str">
        <f>""</f>
        <v/>
      </c>
      <c r="H791" t="str">
        <f>"1"</f>
        <v>1</v>
      </c>
      <c r="I791" s="2">
        <v>-148400075</v>
      </c>
    </row>
    <row r="792" spans="1:9" x14ac:dyDescent="0.25">
      <c r="A792">
        <v>791</v>
      </c>
      <c r="B792" s="1">
        <v>44561</v>
      </c>
      <c r="C792">
        <v>14</v>
      </c>
      <c r="D792" t="str">
        <f t="shared" si="122"/>
        <v>3561</v>
      </c>
      <c r="E792" t="str">
        <f t="shared" si="123"/>
        <v>Резервы переоценки стоимости ценных бумаг, учитываемых по справедливой стоимости через прочий совокупный доход</v>
      </c>
      <c r="F792" t="str">
        <f>"2"</f>
        <v>2</v>
      </c>
      <c r="G792" t="str">
        <f>""</f>
        <v/>
      </c>
      <c r="H792" t="str">
        <f>"3"</f>
        <v>3</v>
      </c>
      <c r="I792" s="2">
        <v>-362297</v>
      </c>
    </row>
    <row r="793" spans="1:9" x14ac:dyDescent="0.25">
      <c r="A793">
        <v>792</v>
      </c>
      <c r="B793" s="1">
        <v>44561</v>
      </c>
      <c r="C793">
        <v>14</v>
      </c>
      <c r="D793" t="str">
        <f t="shared" si="122"/>
        <v>3561</v>
      </c>
      <c r="E793" t="str">
        <f t="shared" si="123"/>
        <v>Резервы переоценки стоимости ценных бумаг, учитываемых по справедливой стоимости через прочий совокупный доход</v>
      </c>
      <c r="F793" t="str">
        <f>"1"</f>
        <v>1</v>
      </c>
      <c r="G793" t="str">
        <f>""</f>
        <v/>
      </c>
      <c r="H793" t="str">
        <f>"3"</f>
        <v>3</v>
      </c>
      <c r="I793" s="2">
        <v>-653438304</v>
      </c>
    </row>
    <row r="794" spans="1:9" x14ac:dyDescent="0.25">
      <c r="A794">
        <v>793</v>
      </c>
      <c r="B794" s="1">
        <v>44561</v>
      </c>
      <c r="C794">
        <v>14</v>
      </c>
      <c r="D794" t="str">
        <f t="shared" si="122"/>
        <v>3561</v>
      </c>
      <c r="E794" t="str">
        <f t="shared" si="123"/>
        <v>Резервы переоценки стоимости ценных бумаг, учитываемых по справедливой стоимости через прочий совокупный доход</v>
      </c>
      <c r="F794" t="str">
        <f>"1"</f>
        <v>1</v>
      </c>
      <c r="G794" t="str">
        <f>""</f>
        <v/>
      </c>
      <c r="H794" t="str">
        <f>"2"</f>
        <v>2</v>
      </c>
      <c r="I794" s="2">
        <v>24155899000</v>
      </c>
    </row>
    <row r="795" spans="1:9" x14ac:dyDescent="0.25">
      <c r="A795">
        <v>794</v>
      </c>
      <c r="B795" s="1">
        <v>44561</v>
      </c>
      <c r="C795">
        <v>14</v>
      </c>
      <c r="D795" t="str">
        <f t="shared" si="122"/>
        <v>3561</v>
      </c>
      <c r="E795" t="str">
        <f t="shared" si="123"/>
        <v>Резервы переоценки стоимости ценных бумаг, учитываемых по справедливой стоимости через прочий совокупный доход</v>
      </c>
      <c r="F795" t="str">
        <f>"1"</f>
        <v>1</v>
      </c>
      <c r="G795" t="str">
        <f>""</f>
        <v/>
      </c>
      <c r="H795" t="str">
        <f>"1"</f>
        <v>1</v>
      </c>
      <c r="I795" s="2">
        <v>68405538980</v>
      </c>
    </row>
    <row r="796" spans="1:9" x14ac:dyDescent="0.25">
      <c r="A796">
        <v>795</v>
      </c>
      <c r="B796" s="1">
        <v>44561</v>
      </c>
      <c r="C796">
        <v>14</v>
      </c>
      <c r="D796" t="str">
        <f t="shared" si="122"/>
        <v>3561</v>
      </c>
      <c r="E796" t="str">
        <f t="shared" si="123"/>
        <v>Резервы переоценки стоимости ценных бумаг, учитываемых по справедливой стоимости через прочий совокупный доход</v>
      </c>
      <c r="F796" t="str">
        <f>"2"</f>
        <v>2</v>
      </c>
      <c r="G796" t="str">
        <f>""</f>
        <v/>
      </c>
      <c r="H796" t="str">
        <f>"2"</f>
        <v>2</v>
      </c>
      <c r="I796" s="2">
        <v>1427615000</v>
      </c>
    </row>
    <row r="797" spans="1:9" x14ac:dyDescent="0.25">
      <c r="A797">
        <v>796</v>
      </c>
      <c r="B797" s="1">
        <v>44561</v>
      </c>
      <c r="C797">
        <v>14</v>
      </c>
      <c r="D797" t="str">
        <f t="shared" ref="D797:D802" si="124">"3562"</f>
        <v>3562</v>
      </c>
      <c r="E797" t="str">
        <f t="shared" ref="E797:E802" si="125"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797" t="str">
        <f>"1"</f>
        <v>1</v>
      </c>
      <c r="G797" t="str">
        <f>""</f>
        <v/>
      </c>
      <c r="H797" t="str">
        <f>"2"</f>
        <v>2</v>
      </c>
      <c r="I797" s="2">
        <v>500437000</v>
      </c>
    </row>
    <row r="798" spans="1:9" x14ac:dyDescent="0.25">
      <c r="A798">
        <v>797</v>
      </c>
      <c r="B798" s="1">
        <v>44561</v>
      </c>
      <c r="C798">
        <v>14</v>
      </c>
      <c r="D798" t="str">
        <f t="shared" si="124"/>
        <v>3562</v>
      </c>
      <c r="E798" t="str">
        <f t="shared" si="125"/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798" t="str">
        <f>"2"</f>
        <v>2</v>
      </c>
      <c r="G798" t="str">
        <f>""</f>
        <v/>
      </c>
      <c r="H798" t="str">
        <f>"3"</f>
        <v>3</v>
      </c>
      <c r="I798" s="2">
        <v>1665000</v>
      </c>
    </row>
    <row r="799" spans="1:9" x14ac:dyDescent="0.25">
      <c r="A799">
        <v>798</v>
      </c>
      <c r="B799" s="1">
        <v>44561</v>
      </c>
      <c r="C799">
        <v>14</v>
      </c>
      <c r="D799" t="str">
        <f t="shared" si="124"/>
        <v>3562</v>
      </c>
      <c r="E799" t="str">
        <f t="shared" si="125"/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799" t="str">
        <f>"1"</f>
        <v>1</v>
      </c>
      <c r="G799" t="str">
        <f>""</f>
        <v/>
      </c>
      <c r="H799" t="str">
        <f>"3"</f>
        <v>3</v>
      </c>
      <c r="I799" s="2">
        <v>65786000</v>
      </c>
    </row>
    <row r="800" spans="1:9" x14ac:dyDescent="0.25">
      <c r="A800">
        <v>799</v>
      </c>
      <c r="B800" s="1">
        <v>44561</v>
      </c>
      <c r="C800">
        <v>14</v>
      </c>
      <c r="D800" t="str">
        <f t="shared" si="124"/>
        <v>3562</v>
      </c>
      <c r="E800" t="str">
        <f t="shared" si="125"/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00" t="str">
        <f>"1"</f>
        <v>1</v>
      </c>
      <c r="G800" t="str">
        <f>""</f>
        <v/>
      </c>
      <c r="H800" t="str">
        <f>"1"</f>
        <v>1</v>
      </c>
      <c r="I800" s="2">
        <v>326514000</v>
      </c>
    </row>
    <row r="801" spans="1:9" x14ac:dyDescent="0.25">
      <c r="A801">
        <v>800</v>
      </c>
      <c r="B801" s="1">
        <v>44561</v>
      </c>
      <c r="C801">
        <v>14</v>
      </c>
      <c r="D801" t="str">
        <f t="shared" si="124"/>
        <v>3562</v>
      </c>
      <c r="E801" t="str">
        <f t="shared" si="125"/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01" t="str">
        <f>"2"</f>
        <v>2</v>
      </c>
      <c r="G801" t="str">
        <f>""</f>
        <v/>
      </c>
      <c r="H801" t="str">
        <f>"2"</f>
        <v>2</v>
      </c>
      <c r="I801" s="2">
        <v>72310000</v>
      </c>
    </row>
    <row r="802" spans="1:9" x14ac:dyDescent="0.25">
      <c r="A802">
        <v>801</v>
      </c>
      <c r="B802" s="1">
        <v>44561</v>
      </c>
      <c r="C802">
        <v>14</v>
      </c>
      <c r="D802" t="str">
        <f t="shared" si="124"/>
        <v>3562</v>
      </c>
      <c r="E802" t="str">
        <f t="shared" si="125"/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02" t="str">
        <f>"2"</f>
        <v>2</v>
      </c>
      <c r="G802" t="str">
        <f>""</f>
        <v/>
      </c>
      <c r="H802" t="str">
        <f>"1"</f>
        <v>1</v>
      </c>
      <c r="I802" s="2">
        <v>12046000</v>
      </c>
    </row>
    <row r="803" spans="1:9" x14ac:dyDescent="0.25">
      <c r="A803">
        <v>802</v>
      </c>
      <c r="B803" s="1">
        <v>44561</v>
      </c>
      <c r="C803">
        <v>14</v>
      </c>
      <c r="D803" t="str">
        <f>"3580"</f>
        <v>3580</v>
      </c>
      <c r="E803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803" t="str">
        <f>""</f>
        <v/>
      </c>
      <c r="G803" t="str">
        <f>""</f>
        <v/>
      </c>
      <c r="H803" t="str">
        <f>""</f>
        <v/>
      </c>
      <c r="I803" s="2">
        <v>953599583103</v>
      </c>
    </row>
    <row r="804" spans="1:9" x14ac:dyDescent="0.25">
      <c r="A804">
        <v>803</v>
      </c>
      <c r="B804" s="1">
        <v>44561</v>
      </c>
      <c r="C804">
        <v>14</v>
      </c>
      <c r="D804" t="str">
        <f>"3599"</f>
        <v>3599</v>
      </c>
      <c r="E804" t="str">
        <f>"Нераспределенная чистая прибыль (непокрытый убыток)"</f>
        <v>Нераспределенная чистая прибыль (непокрытый убыток)</v>
      </c>
      <c r="F804" t="str">
        <f>""</f>
        <v/>
      </c>
      <c r="G804" t="str">
        <f>""</f>
        <v/>
      </c>
      <c r="H804" t="str">
        <f>""</f>
        <v/>
      </c>
      <c r="I804" s="2">
        <v>471611115000</v>
      </c>
    </row>
    <row r="805" spans="1:9" x14ac:dyDescent="0.25">
      <c r="A805">
        <v>804</v>
      </c>
      <c r="B805" s="1">
        <v>44561</v>
      </c>
      <c r="C805">
        <v>14</v>
      </c>
      <c r="D805" t="str">
        <f>"4052"</f>
        <v>4052</v>
      </c>
      <c r="E805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805" t="str">
        <f>""</f>
        <v/>
      </c>
      <c r="G805" t="str">
        <f>""</f>
        <v/>
      </c>
      <c r="H805" t="str">
        <f>""</f>
        <v/>
      </c>
      <c r="I805" s="2">
        <v>44409390</v>
      </c>
    </row>
    <row r="806" spans="1:9" x14ac:dyDescent="0.25">
      <c r="A806">
        <v>805</v>
      </c>
      <c r="B806" s="1">
        <v>44561</v>
      </c>
      <c r="C806">
        <v>14</v>
      </c>
      <c r="D806" t="str">
        <f>"4091"</f>
        <v>4091</v>
      </c>
      <c r="E806" t="str">
        <f>"Другие доходы, связанные с получением вознаграждения по операциям с другими банками"</f>
        <v>Другие доходы, связанные с получением вознаграждения по операциям с другими банками</v>
      </c>
      <c r="F806" t="str">
        <f>""</f>
        <v/>
      </c>
      <c r="G806" t="str">
        <f>""</f>
        <v/>
      </c>
      <c r="H806" t="str">
        <f>""</f>
        <v/>
      </c>
      <c r="I806" s="2">
        <v>148162461</v>
      </c>
    </row>
    <row r="807" spans="1:9" x14ac:dyDescent="0.25">
      <c r="A807">
        <v>806</v>
      </c>
      <c r="B807" s="1">
        <v>44561</v>
      </c>
      <c r="C807">
        <v>14</v>
      </c>
      <c r="D807" t="str">
        <f>"4101"</f>
        <v>4101</v>
      </c>
      <c r="E807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807" t="str">
        <f>""</f>
        <v/>
      </c>
      <c r="G807" t="str">
        <f>""</f>
        <v/>
      </c>
      <c r="H807" t="str">
        <f>""</f>
        <v/>
      </c>
      <c r="I807" s="2">
        <v>2449854167</v>
      </c>
    </row>
    <row r="808" spans="1:9" x14ac:dyDescent="0.25">
      <c r="A808">
        <v>807</v>
      </c>
      <c r="B808" s="1">
        <v>44561</v>
      </c>
      <c r="C808">
        <v>14</v>
      </c>
      <c r="D808" t="str">
        <f>"4103"</f>
        <v>4103</v>
      </c>
      <c r="E808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808" t="str">
        <f>""</f>
        <v/>
      </c>
      <c r="G808" t="str">
        <f>""</f>
        <v/>
      </c>
      <c r="H808" t="str">
        <f>""</f>
        <v/>
      </c>
      <c r="I808" s="2">
        <v>4299431700</v>
      </c>
    </row>
    <row r="809" spans="1:9" x14ac:dyDescent="0.25">
      <c r="A809">
        <v>808</v>
      </c>
      <c r="B809" s="1">
        <v>44561</v>
      </c>
      <c r="C809">
        <v>14</v>
      </c>
      <c r="D809" t="str">
        <f>"4251"</f>
        <v>4251</v>
      </c>
      <c r="E809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809" t="str">
        <f>""</f>
        <v/>
      </c>
      <c r="G809" t="str">
        <f>""</f>
        <v/>
      </c>
      <c r="H809" t="str">
        <f>""</f>
        <v/>
      </c>
      <c r="I809" s="2">
        <v>131661955</v>
      </c>
    </row>
    <row r="810" spans="1:9" x14ac:dyDescent="0.25">
      <c r="A810">
        <v>809</v>
      </c>
      <c r="B810" s="1">
        <v>44561</v>
      </c>
      <c r="C810">
        <v>14</v>
      </c>
      <c r="D810" t="str">
        <f>"4253"</f>
        <v>4253</v>
      </c>
      <c r="E810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810" t="str">
        <f>""</f>
        <v/>
      </c>
      <c r="G810" t="str">
        <f>""</f>
        <v/>
      </c>
      <c r="H810" t="str">
        <f>""</f>
        <v/>
      </c>
      <c r="I810" s="2">
        <v>111279418</v>
      </c>
    </row>
    <row r="811" spans="1:9" x14ac:dyDescent="0.25">
      <c r="A811">
        <v>810</v>
      </c>
      <c r="B811" s="1">
        <v>44561</v>
      </c>
      <c r="C811">
        <v>14</v>
      </c>
      <c r="D811" t="str">
        <f>"4254"</f>
        <v>4254</v>
      </c>
      <c r="E811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F811" t="str">
        <f>""</f>
        <v/>
      </c>
      <c r="G811" t="str">
        <f>""</f>
        <v/>
      </c>
      <c r="H811" t="str">
        <f>""</f>
        <v/>
      </c>
      <c r="I811" s="2">
        <v>1143991562</v>
      </c>
    </row>
    <row r="812" spans="1:9" x14ac:dyDescent="0.25">
      <c r="A812">
        <v>811</v>
      </c>
      <c r="B812" s="1">
        <v>44561</v>
      </c>
      <c r="C812">
        <v>14</v>
      </c>
      <c r="D812" t="str">
        <f>"4255"</f>
        <v>4255</v>
      </c>
      <c r="E812" t="str">
        <f>"Доходы, связанные с получением вознаграждения по долгосрочным вкладам, размещенным в других банках"</f>
        <v>Доходы, связанные с получением вознаграждения по долгосрочным вкладам, размещенным в других банках</v>
      </c>
      <c r="F812" t="str">
        <f>""</f>
        <v/>
      </c>
      <c r="G812" t="str">
        <f>""</f>
        <v/>
      </c>
      <c r="H812" t="str">
        <f>""</f>
        <v/>
      </c>
      <c r="I812" s="2">
        <v>781095629</v>
      </c>
    </row>
    <row r="813" spans="1:9" x14ac:dyDescent="0.25">
      <c r="A813">
        <v>812</v>
      </c>
      <c r="B813" s="1">
        <v>44561</v>
      </c>
      <c r="C813">
        <v>14</v>
      </c>
      <c r="D813" t="str">
        <f>"4265"</f>
        <v>4265</v>
      </c>
      <c r="E813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813" t="str">
        <f>""</f>
        <v/>
      </c>
      <c r="G813" t="str">
        <f>""</f>
        <v/>
      </c>
      <c r="H813" t="str">
        <f>""</f>
        <v/>
      </c>
      <c r="I813" s="2">
        <v>11365373</v>
      </c>
    </row>
    <row r="814" spans="1:9" x14ac:dyDescent="0.25">
      <c r="A814">
        <v>813</v>
      </c>
      <c r="B814" s="1">
        <v>44561</v>
      </c>
      <c r="C814">
        <v>14</v>
      </c>
      <c r="D814" t="str">
        <f>"4301"</f>
        <v>4301</v>
      </c>
      <c r="E814" t="str">
        <f>"Доходы, связанные с получением вознаграждения по займам овердрафт, предоставленным другим банкам"</f>
        <v>Доходы, связанные с получением вознаграждения по займам овердрафт, предоставленным другим банкам</v>
      </c>
      <c r="F814" t="str">
        <f>""</f>
        <v/>
      </c>
      <c r="G814" t="str">
        <f>""</f>
        <v/>
      </c>
      <c r="H814" t="str">
        <f>""</f>
        <v/>
      </c>
      <c r="I814" s="2">
        <v>23486822</v>
      </c>
    </row>
    <row r="815" spans="1:9" x14ac:dyDescent="0.25">
      <c r="A815">
        <v>814</v>
      </c>
      <c r="B815" s="1">
        <v>44561</v>
      </c>
      <c r="C815">
        <v>14</v>
      </c>
      <c r="D815" t="str">
        <f>"4302"</f>
        <v>4302</v>
      </c>
      <c r="E815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F815" t="str">
        <f>""</f>
        <v/>
      </c>
      <c r="G815" t="str">
        <f>""</f>
        <v/>
      </c>
      <c r="H815" t="str">
        <f>""</f>
        <v/>
      </c>
      <c r="I815" s="2">
        <v>304890966</v>
      </c>
    </row>
    <row r="816" spans="1:9" x14ac:dyDescent="0.25">
      <c r="A816">
        <v>815</v>
      </c>
      <c r="B816" s="1">
        <v>44561</v>
      </c>
      <c r="C816">
        <v>14</v>
      </c>
      <c r="D816" t="str">
        <f>"4304"</f>
        <v>4304</v>
      </c>
      <c r="E816" t="str">
        <f>"Доходы, связанные с получением вознаграждения по долгосрочным займам, предоставленным другим банкам"</f>
        <v>Доходы, связанные с получением вознаграждения по долгосрочным займам, предоставленным другим банкам</v>
      </c>
      <c r="F816" t="str">
        <f>""</f>
        <v/>
      </c>
      <c r="G816" t="str">
        <f>""</f>
        <v/>
      </c>
      <c r="H816" t="str">
        <f>""</f>
        <v/>
      </c>
      <c r="I816" s="2">
        <v>1087465900</v>
      </c>
    </row>
    <row r="817" spans="1:9" x14ac:dyDescent="0.25">
      <c r="A817">
        <v>816</v>
      </c>
      <c r="B817" s="1">
        <v>44561</v>
      </c>
      <c r="C817">
        <v>14</v>
      </c>
      <c r="D817" t="str">
        <f>"4306"</f>
        <v>4306</v>
      </c>
      <c r="E817" t="str">
        <f>"Доходы, связанные с получением вознаграждения по просроченной задолженности других банков по займам"</f>
        <v>Доходы, связанные с получением вознаграждения по просроченной задолженности других банков по займам</v>
      </c>
      <c r="F817" t="str">
        <f>""</f>
        <v/>
      </c>
      <c r="G817" t="str">
        <f>""</f>
        <v/>
      </c>
      <c r="H817" t="str">
        <f>""</f>
        <v/>
      </c>
      <c r="I817" s="2">
        <v>12684</v>
      </c>
    </row>
    <row r="818" spans="1:9" x14ac:dyDescent="0.25">
      <c r="A818">
        <v>817</v>
      </c>
      <c r="B818" s="1">
        <v>44561</v>
      </c>
      <c r="C818">
        <v>14</v>
      </c>
      <c r="D818" t="str">
        <f>"4312"</f>
        <v>4312</v>
      </c>
      <c r="E818" t="str">
        <f>"Доходы по амортизации дисконта по займам, предоставленным другим банкам"</f>
        <v>Доходы по амортизации дисконта по займам, предоставленным другим банкам</v>
      </c>
      <c r="F818" t="str">
        <f>""</f>
        <v/>
      </c>
      <c r="G818" t="str">
        <f>""</f>
        <v/>
      </c>
      <c r="H818" t="str">
        <f>""</f>
        <v/>
      </c>
      <c r="I818" s="2">
        <v>67130187</v>
      </c>
    </row>
    <row r="819" spans="1:9" x14ac:dyDescent="0.25">
      <c r="A819">
        <v>818</v>
      </c>
      <c r="B819" s="1">
        <v>44561</v>
      </c>
      <c r="C819">
        <v>14</v>
      </c>
      <c r="D819" t="str">
        <f>"4401"</f>
        <v>4401</v>
      </c>
      <c r="E819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819" t="str">
        <f>""</f>
        <v/>
      </c>
      <c r="G819" t="str">
        <f>""</f>
        <v/>
      </c>
      <c r="H819" t="str">
        <f>""</f>
        <v/>
      </c>
      <c r="I819" s="2">
        <v>99019571</v>
      </c>
    </row>
    <row r="820" spans="1:9" x14ac:dyDescent="0.25">
      <c r="A820">
        <v>819</v>
      </c>
      <c r="B820" s="1">
        <v>44561</v>
      </c>
      <c r="C820">
        <v>14</v>
      </c>
      <c r="D820" t="str">
        <f>"4403"</f>
        <v>4403</v>
      </c>
      <c r="E820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820" t="str">
        <f>""</f>
        <v/>
      </c>
      <c r="G820" t="str">
        <f>""</f>
        <v/>
      </c>
      <c r="H820" t="str">
        <f>""</f>
        <v/>
      </c>
      <c r="I820" s="2">
        <v>188293998587</v>
      </c>
    </row>
    <row r="821" spans="1:9" x14ac:dyDescent="0.25">
      <c r="A821">
        <v>820</v>
      </c>
      <c r="B821" s="1">
        <v>44561</v>
      </c>
      <c r="C821">
        <v>14</v>
      </c>
      <c r="D821" t="str">
        <f>"4407"</f>
        <v>4407</v>
      </c>
      <c r="E821" t="str">
        <f>"Доходы, связанные с получением вознаграждения по факторингу клиентам"</f>
        <v>Доходы, связанные с получением вознаграждения по факторингу клиентам</v>
      </c>
      <c r="F821" t="str">
        <f>""</f>
        <v/>
      </c>
      <c r="G821" t="str">
        <f>""</f>
        <v/>
      </c>
      <c r="H821" t="str">
        <f>""</f>
        <v/>
      </c>
      <c r="I821" s="2">
        <v>156604339</v>
      </c>
    </row>
    <row r="822" spans="1:9" x14ac:dyDescent="0.25">
      <c r="A822">
        <v>821</v>
      </c>
      <c r="B822" s="1">
        <v>44561</v>
      </c>
      <c r="C822">
        <v>14</v>
      </c>
      <c r="D822" t="str">
        <f>"4411"</f>
        <v>4411</v>
      </c>
      <c r="E822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822" t="str">
        <f>""</f>
        <v/>
      </c>
      <c r="G822" t="str">
        <f>""</f>
        <v/>
      </c>
      <c r="H822" t="str">
        <f>""</f>
        <v/>
      </c>
      <c r="I822" s="2">
        <v>86954047899</v>
      </c>
    </row>
    <row r="823" spans="1:9" x14ac:dyDescent="0.25">
      <c r="A823">
        <v>822</v>
      </c>
      <c r="B823" s="1">
        <v>44561</v>
      </c>
      <c r="C823">
        <v>14</v>
      </c>
      <c r="D823" t="str">
        <f>"4417"</f>
        <v>4417</v>
      </c>
      <c r="E823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823" t="str">
        <f>""</f>
        <v/>
      </c>
      <c r="G823" t="str">
        <f>""</f>
        <v/>
      </c>
      <c r="H823" t="str">
        <f>""</f>
        <v/>
      </c>
      <c r="I823" s="2">
        <v>312790076088</v>
      </c>
    </row>
    <row r="824" spans="1:9" x14ac:dyDescent="0.25">
      <c r="A824">
        <v>823</v>
      </c>
      <c r="B824" s="1">
        <v>44561</v>
      </c>
      <c r="C824">
        <v>14</v>
      </c>
      <c r="D824" t="str">
        <f>"4424"</f>
        <v>4424</v>
      </c>
      <c r="E824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824" t="str">
        <f>""</f>
        <v/>
      </c>
      <c r="G824" t="str">
        <f>""</f>
        <v/>
      </c>
      <c r="H824" t="str">
        <f>""</f>
        <v/>
      </c>
      <c r="I824" s="2">
        <v>3917755319</v>
      </c>
    </row>
    <row r="825" spans="1:9" x14ac:dyDescent="0.25">
      <c r="A825">
        <v>824</v>
      </c>
      <c r="B825" s="1">
        <v>44561</v>
      </c>
      <c r="C825">
        <v>14</v>
      </c>
      <c r="D825" t="str">
        <f>"4429"</f>
        <v>4429</v>
      </c>
      <c r="E825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825" t="str">
        <f>""</f>
        <v/>
      </c>
      <c r="G825" t="str">
        <f>""</f>
        <v/>
      </c>
      <c r="H825" t="str">
        <f>""</f>
        <v/>
      </c>
      <c r="I825" s="2">
        <v>290075884</v>
      </c>
    </row>
    <row r="826" spans="1:9" x14ac:dyDescent="0.25">
      <c r="A826">
        <v>825</v>
      </c>
      <c r="B826" s="1">
        <v>44561</v>
      </c>
      <c r="C826">
        <v>14</v>
      </c>
      <c r="D826" t="str">
        <f>"4434"</f>
        <v>4434</v>
      </c>
      <c r="E826" t="str">
        <f>"Доходы по амортизации дисконта по займам, предоставленным клиентам"</f>
        <v>Доходы по амортизации дисконта по займам, предоставленным клиентам</v>
      </c>
      <c r="F826" t="str">
        <f>""</f>
        <v/>
      </c>
      <c r="G826" t="str">
        <f>""</f>
        <v/>
      </c>
      <c r="H826" t="str">
        <f>""</f>
        <v/>
      </c>
      <c r="I826" s="2">
        <v>34632707400</v>
      </c>
    </row>
    <row r="827" spans="1:9" x14ac:dyDescent="0.25">
      <c r="A827">
        <v>826</v>
      </c>
      <c r="B827" s="1">
        <v>44561</v>
      </c>
      <c r="C827">
        <v>14</v>
      </c>
      <c r="D827" t="str">
        <f>"4440"</f>
        <v>4440</v>
      </c>
      <c r="E827" t="str">
        <f>"Доходы по амортизации премии по вкладам, привлеченным от клиентов"</f>
        <v>Доходы по амортизации премии по вкладам, привлеченным от клиентов</v>
      </c>
      <c r="F827" t="str">
        <f>""</f>
        <v/>
      </c>
      <c r="G827" t="str">
        <f>""</f>
        <v/>
      </c>
      <c r="H827" t="str">
        <f>""</f>
        <v/>
      </c>
      <c r="I827" s="2">
        <v>92879234</v>
      </c>
    </row>
    <row r="828" spans="1:9" x14ac:dyDescent="0.25">
      <c r="A828">
        <v>827</v>
      </c>
      <c r="B828" s="1">
        <v>44561</v>
      </c>
      <c r="C828">
        <v>14</v>
      </c>
      <c r="D828" t="str">
        <f>"4452"</f>
        <v>4452</v>
      </c>
      <c r="E828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828" t="str">
        <f>""</f>
        <v/>
      </c>
      <c r="G828" t="str">
        <f>""</f>
        <v/>
      </c>
      <c r="H828" t="str">
        <f>""</f>
        <v/>
      </c>
      <c r="I828" s="2">
        <v>75470084388</v>
      </c>
    </row>
    <row r="829" spans="1:9" x14ac:dyDescent="0.25">
      <c r="A829">
        <v>828</v>
      </c>
      <c r="B829" s="1">
        <v>44561</v>
      </c>
      <c r="C829">
        <v>14</v>
      </c>
      <c r="D829" t="str">
        <f>"4453"</f>
        <v>4453</v>
      </c>
      <c r="E829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829" t="str">
        <f>""</f>
        <v/>
      </c>
      <c r="G829" t="str">
        <f>""</f>
        <v/>
      </c>
      <c r="H829" t="str">
        <f>""</f>
        <v/>
      </c>
      <c r="I829" s="2">
        <v>24863044425</v>
      </c>
    </row>
    <row r="830" spans="1:9" x14ac:dyDescent="0.25">
      <c r="A830">
        <v>829</v>
      </c>
      <c r="B830" s="1">
        <v>44561</v>
      </c>
      <c r="C830">
        <v>14</v>
      </c>
      <c r="D830" t="str">
        <f>"4465"</f>
        <v>4465</v>
      </c>
      <c r="E830" t="str">
        <f>"Доходы, связанные с получением вознаграждения по операциям «обратное РЕПО» с ценными бумагами"</f>
        <v>Доходы, связанные с получением вознаграждения по операциям «обратное РЕПО» с ценными бумагами</v>
      </c>
      <c r="F830" t="str">
        <f>""</f>
        <v/>
      </c>
      <c r="G830" t="str">
        <f>""</f>
        <v/>
      </c>
      <c r="H830" t="str">
        <f>""</f>
        <v/>
      </c>
      <c r="I830" s="2">
        <v>4147387646</v>
      </c>
    </row>
    <row r="831" spans="1:9" x14ac:dyDescent="0.25">
      <c r="A831">
        <v>830</v>
      </c>
      <c r="B831" s="1">
        <v>44561</v>
      </c>
      <c r="C831">
        <v>14</v>
      </c>
      <c r="D831" t="str">
        <f>"4471"</f>
        <v>4471</v>
      </c>
      <c r="E831" t="str">
        <f>"Дивиденды, полученные по акциям дочерних организаций"</f>
        <v>Дивиденды, полученные по акциям дочерних организаций</v>
      </c>
      <c r="F831" t="str">
        <f>""</f>
        <v/>
      </c>
      <c r="G831" t="str">
        <f>""</f>
        <v/>
      </c>
      <c r="H831" t="str">
        <f>""</f>
        <v/>
      </c>
      <c r="I831" s="2">
        <v>18022564555</v>
      </c>
    </row>
    <row r="832" spans="1:9" x14ac:dyDescent="0.25">
      <c r="A832">
        <v>831</v>
      </c>
      <c r="B832" s="1">
        <v>44561</v>
      </c>
      <c r="C832">
        <v>14</v>
      </c>
      <c r="D832" t="str">
        <f>"4475"</f>
        <v>4475</v>
      </c>
      <c r="E832" t="str">
        <f>"Доходы, связанные с получением вознаграждения по инвестициям в субординированный долг"</f>
        <v>Доходы, связанные с получением вознаграждения по инвестициям в субординированный долг</v>
      </c>
      <c r="F832" t="str">
        <f>""</f>
        <v/>
      </c>
      <c r="G832" t="str">
        <f>""</f>
        <v/>
      </c>
      <c r="H832" t="str">
        <f>""</f>
        <v/>
      </c>
      <c r="I832" s="2">
        <v>1986394418</v>
      </c>
    </row>
    <row r="833" spans="1:9" x14ac:dyDescent="0.25">
      <c r="A833">
        <v>832</v>
      </c>
      <c r="B833" s="1">
        <v>44561</v>
      </c>
      <c r="C833">
        <v>14</v>
      </c>
      <c r="D833" t="str">
        <f>"4476"</f>
        <v>4476</v>
      </c>
      <c r="E833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F833" t="str">
        <f>""</f>
        <v/>
      </c>
      <c r="G833" t="str">
        <f>""</f>
        <v/>
      </c>
      <c r="H833" t="str">
        <f>""</f>
        <v/>
      </c>
      <c r="I833" s="2">
        <v>828960808</v>
      </c>
    </row>
    <row r="834" spans="1:9" x14ac:dyDescent="0.25">
      <c r="A834">
        <v>833</v>
      </c>
      <c r="B834" s="1">
        <v>44561</v>
      </c>
      <c r="C834">
        <v>14</v>
      </c>
      <c r="D834" t="str">
        <f>"4481"</f>
        <v>4481</v>
      </c>
      <c r="E834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834" t="str">
        <f>""</f>
        <v/>
      </c>
      <c r="G834" t="str">
        <f>""</f>
        <v/>
      </c>
      <c r="H834" t="str">
        <f>""</f>
        <v/>
      </c>
      <c r="I834" s="2">
        <v>98417697340</v>
      </c>
    </row>
    <row r="835" spans="1:9" x14ac:dyDescent="0.25">
      <c r="A835">
        <v>834</v>
      </c>
      <c r="B835" s="1">
        <v>44561</v>
      </c>
      <c r="C835">
        <v>14</v>
      </c>
      <c r="D835" t="str">
        <f>"4482"</f>
        <v>4482</v>
      </c>
      <c r="E835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835" t="str">
        <f>""</f>
        <v/>
      </c>
      <c r="G835" t="str">
        <f>""</f>
        <v/>
      </c>
      <c r="H835" t="str">
        <f>""</f>
        <v/>
      </c>
      <c r="I835" s="2">
        <v>51721016</v>
      </c>
    </row>
    <row r="836" spans="1:9" x14ac:dyDescent="0.25">
      <c r="A836">
        <v>835</v>
      </c>
      <c r="B836" s="1">
        <v>44561</v>
      </c>
      <c r="C836">
        <v>14</v>
      </c>
      <c r="D836" t="str">
        <f>"4492"</f>
        <v>4492</v>
      </c>
      <c r="E836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836" t="str">
        <f>""</f>
        <v/>
      </c>
      <c r="G836" t="str">
        <f>""</f>
        <v/>
      </c>
      <c r="H836" t="str">
        <f>""</f>
        <v/>
      </c>
      <c r="I836" s="2">
        <v>6665533245</v>
      </c>
    </row>
    <row r="837" spans="1:9" x14ac:dyDescent="0.25">
      <c r="A837">
        <v>836</v>
      </c>
      <c r="B837" s="1">
        <v>44561</v>
      </c>
      <c r="C837">
        <v>14</v>
      </c>
      <c r="D837" t="str">
        <f>"4510"</f>
        <v>4510</v>
      </c>
      <c r="E837" t="str">
        <f>"Доходы по купле-продаже ценных бумаг"</f>
        <v>Доходы по купле-продаже ценных бумаг</v>
      </c>
      <c r="F837" t="str">
        <f>""</f>
        <v/>
      </c>
      <c r="G837" t="str">
        <f>""</f>
        <v/>
      </c>
      <c r="H837" t="str">
        <f>""</f>
        <v/>
      </c>
      <c r="I837" s="2">
        <v>18862212</v>
      </c>
    </row>
    <row r="838" spans="1:9" x14ac:dyDescent="0.25">
      <c r="A838">
        <v>837</v>
      </c>
      <c r="B838" s="1">
        <v>44561</v>
      </c>
      <c r="C838">
        <v>14</v>
      </c>
      <c r="D838" t="str">
        <f>"4530"</f>
        <v>4530</v>
      </c>
      <c r="E838" t="str">
        <f>"Доходы по купле-продаже иностранной валюты"</f>
        <v>Доходы по купле-продаже иностранной валюты</v>
      </c>
      <c r="F838" t="str">
        <f>""</f>
        <v/>
      </c>
      <c r="G838" t="str">
        <f>""</f>
        <v/>
      </c>
      <c r="H838" t="str">
        <f>""</f>
        <v/>
      </c>
      <c r="I838" s="2">
        <v>55588100208</v>
      </c>
    </row>
    <row r="839" spans="1:9" x14ac:dyDescent="0.25">
      <c r="A839">
        <v>838</v>
      </c>
      <c r="B839" s="1">
        <v>44561</v>
      </c>
      <c r="C839">
        <v>14</v>
      </c>
      <c r="D839" t="str">
        <f>"4540"</f>
        <v>4540</v>
      </c>
      <c r="E839" t="str">
        <f>"Доходы от продажи аффинированных драгоценных металлов"</f>
        <v>Доходы от продажи аффинированных драгоценных металлов</v>
      </c>
      <c r="F839" t="str">
        <f>""</f>
        <v/>
      </c>
      <c r="G839" t="str">
        <f>""</f>
        <v/>
      </c>
      <c r="H839" t="str">
        <f>""</f>
        <v/>
      </c>
      <c r="I839" s="2">
        <v>5996886596</v>
      </c>
    </row>
    <row r="840" spans="1:9" x14ac:dyDescent="0.25">
      <c r="A840">
        <v>839</v>
      </c>
      <c r="B840" s="1">
        <v>44561</v>
      </c>
      <c r="C840">
        <v>14</v>
      </c>
      <c r="D840" t="str">
        <f>"4570"</f>
        <v>4570</v>
      </c>
      <c r="E840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840" t="str">
        <f>""</f>
        <v/>
      </c>
      <c r="G840" t="str">
        <f>""</f>
        <v/>
      </c>
      <c r="H840" t="str">
        <f>""</f>
        <v/>
      </c>
      <c r="I840" s="2">
        <v>473272259</v>
      </c>
    </row>
    <row r="841" spans="1:9" x14ac:dyDescent="0.25">
      <c r="A841">
        <v>840</v>
      </c>
      <c r="B841" s="1">
        <v>44561</v>
      </c>
      <c r="C841">
        <v>14</v>
      </c>
      <c r="D841" t="str">
        <f>"4593"</f>
        <v>4593</v>
      </c>
      <c r="E841" t="str">
        <f>"Доходы от переоценки операций своп"</f>
        <v>Доходы от переоценки операций своп</v>
      </c>
      <c r="F841" t="str">
        <f>""</f>
        <v/>
      </c>
      <c r="G841" t="str">
        <f>""</f>
        <v/>
      </c>
      <c r="H841" t="str">
        <f>""</f>
        <v/>
      </c>
      <c r="I841" s="2">
        <v>50124594521</v>
      </c>
    </row>
    <row r="842" spans="1:9" x14ac:dyDescent="0.25">
      <c r="A842">
        <v>841</v>
      </c>
      <c r="B842" s="1">
        <v>44561</v>
      </c>
      <c r="C842">
        <v>14</v>
      </c>
      <c r="D842" t="str">
        <f>"4601"</f>
        <v>4601</v>
      </c>
      <c r="E842" t="str">
        <f>"Комиссионные доходы за услуги по переводным операциям"</f>
        <v>Комиссионные доходы за услуги по переводным операциям</v>
      </c>
      <c r="F842" t="str">
        <f>""</f>
        <v/>
      </c>
      <c r="G842" t="str">
        <f>""</f>
        <v/>
      </c>
      <c r="H842" t="str">
        <f>""</f>
        <v/>
      </c>
      <c r="I842" s="2">
        <v>37165580975</v>
      </c>
    </row>
    <row r="843" spans="1:9" x14ac:dyDescent="0.25">
      <c r="A843">
        <v>842</v>
      </c>
      <c r="B843" s="1">
        <v>44561</v>
      </c>
      <c r="C843">
        <v>14</v>
      </c>
      <c r="D843" t="str">
        <f>"4602"</f>
        <v>4602</v>
      </c>
      <c r="E843" t="str">
        <f>"Комиссионные доходы за агентские услуги"</f>
        <v>Комиссионные доходы за агентские услуги</v>
      </c>
      <c r="F843" t="str">
        <f>""</f>
        <v/>
      </c>
      <c r="G843" t="str">
        <f>""</f>
        <v/>
      </c>
      <c r="H843" t="str">
        <f>""</f>
        <v/>
      </c>
      <c r="I843" s="2">
        <v>44725990331</v>
      </c>
    </row>
    <row r="844" spans="1:9" x14ac:dyDescent="0.25">
      <c r="A844">
        <v>843</v>
      </c>
      <c r="B844" s="1">
        <v>44561</v>
      </c>
      <c r="C844">
        <v>14</v>
      </c>
      <c r="D844" t="str">
        <f>"4605"</f>
        <v>4605</v>
      </c>
      <c r="E844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844" t="str">
        <f>""</f>
        <v/>
      </c>
      <c r="G844" t="str">
        <f>""</f>
        <v/>
      </c>
      <c r="H844" t="str">
        <f>""</f>
        <v/>
      </c>
      <c r="I844" s="2">
        <v>7768</v>
      </c>
    </row>
    <row r="845" spans="1:9" x14ac:dyDescent="0.25">
      <c r="A845">
        <v>844</v>
      </c>
      <c r="B845" s="1">
        <v>44561</v>
      </c>
      <c r="C845">
        <v>14</v>
      </c>
      <c r="D845" t="str">
        <f>"4606"</f>
        <v>4606</v>
      </c>
      <c r="E845" t="str">
        <f>"Комиссионные доходы за услуги по операциям с гарантиями"</f>
        <v>Комиссионные доходы за услуги по операциям с гарантиями</v>
      </c>
      <c r="F845" t="str">
        <f>""</f>
        <v/>
      </c>
      <c r="G845" t="str">
        <f>""</f>
        <v/>
      </c>
      <c r="H845" t="str">
        <f>""</f>
        <v/>
      </c>
      <c r="I845" s="2">
        <v>10110302924</v>
      </c>
    </row>
    <row r="846" spans="1:9" x14ac:dyDescent="0.25">
      <c r="A846">
        <v>845</v>
      </c>
      <c r="B846" s="1">
        <v>44561</v>
      </c>
      <c r="C846">
        <v>14</v>
      </c>
      <c r="D846" t="str">
        <f>"4607"</f>
        <v>4607</v>
      </c>
      <c r="E846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846" t="str">
        <f>""</f>
        <v/>
      </c>
      <c r="G846" t="str">
        <f>""</f>
        <v/>
      </c>
      <c r="H846" t="str">
        <f>""</f>
        <v/>
      </c>
      <c r="I846" s="2">
        <v>3292209722</v>
      </c>
    </row>
    <row r="847" spans="1:9" x14ac:dyDescent="0.25">
      <c r="A847">
        <v>846</v>
      </c>
      <c r="B847" s="1">
        <v>44561</v>
      </c>
      <c r="C847">
        <v>14</v>
      </c>
      <c r="D847" t="str">
        <f>"4608"</f>
        <v>4608</v>
      </c>
      <c r="E847" t="str">
        <f>"Прочие комиссионные доходы"</f>
        <v>Прочие комиссионные доходы</v>
      </c>
      <c r="F847" t="str">
        <f>""</f>
        <v/>
      </c>
      <c r="G847" t="str">
        <f>""</f>
        <v/>
      </c>
      <c r="H847" t="str">
        <f>""</f>
        <v/>
      </c>
      <c r="I847" s="2">
        <v>1881902671</v>
      </c>
    </row>
    <row r="848" spans="1:9" x14ac:dyDescent="0.25">
      <c r="A848">
        <v>847</v>
      </c>
      <c r="B848" s="1">
        <v>44561</v>
      </c>
      <c r="C848">
        <v>14</v>
      </c>
      <c r="D848" t="str">
        <f>"4609"</f>
        <v>4609</v>
      </c>
      <c r="E848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848" t="str">
        <f>""</f>
        <v/>
      </c>
      <c r="G848" t="str">
        <f>""</f>
        <v/>
      </c>
      <c r="H848" t="str">
        <f>""</f>
        <v/>
      </c>
      <c r="I848" s="2">
        <v>202273534</v>
      </c>
    </row>
    <row r="849" spans="1:9" x14ac:dyDescent="0.25">
      <c r="A849">
        <v>848</v>
      </c>
      <c r="B849" s="1">
        <v>44561</v>
      </c>
      <c r="C849">
        <v>14</v>
      </c>
      <c r="D849" t="str">
        <f>"4611"</f>
        <v>4611</v>
      </c>
      <c r="E849" t="str">
        <f>"Комиссионные доходы за услуги по кассовым операциям"</f>
        <v>Комиссионные доходы за услуги по кассовым операциям</v>
      </c>
      <c r="F849" t="str">
        <f>""</f>
        <v/>
      </c>
      <c r="G849" t="str">
        <f>""</f>
        <v/>
      </c>
      <c r="H849" t="str">
        <f>""</f>
        <v/>
      </c>
      <c r="I849" s="2">
        <v>9924980567</v>
      </c>
    </row>
    <row r="850" spans="1:9" x14ac:dyDescent="0.25">
      <c r="A850">
        <v>849</v>
      </c>
      <c r="B850" s="1">
        <v>44561</v>
      </c>
      <c r="C850">
        <v>14</v>
      </c>
      <c r="D850" t="str">
        <f>"4612"</f>
        <v>4612</v>
      </c>
      <c r="E850" t="str">
        <f>"Комиссионные доходы по документарным расчетам"</f>
        <v>Комиссионные доходы по документарным расчетам</v>
      </c>
      <c r="F850" t="str">
        <f>""</f>
        <v/>
      </c>
      <c r="G850" t="str">
        <f>""</f>
        <v/>
      </c>
      <c r="H850" t="str">
        <f>""</f>
        <v/>
      </c>
      <c r="I850" s="2">
        <v>584701410</v>
      </c>
    </row>
    <row r="851" spans="1:9" x14ac:dyDescent="0.25">
      <c r="A851">
        <v>850</v>
      </c>
      <c r="B851" s="1">
        <v>44561</v>
      </c>
      <c r="C851">
        <v>14</v>
      </c>
      <c r="D851" t="str">
        <f>"4617"</f>
        <v>4617</v>
      </c>
      <c r="E851" t="str">
        <f>"Комиссионные доходы за услуги по сейфовым операциям"</f>
        <v>Комиссионные доходы за услуги по сейфовым операциям</v>
      </c>
      <c r="F851" t="str">
        <f>""</f>
        <v/>
      </c>
      <c r="G851" t="str">
        <f>""</f>
        <v/>
      </c>
      <c r="H851" t="str">
        <f>""</f>
        <v/>
      </c>
      <c r="I851" s="2">
        <v>376753139</v>
      </c>
    </row>
    <row r="852" spans="1:9" x14ac:dyDescent="0.25">
      <c r="A852">
        <v>851</v>
      </c>
      <c r="B852" s="1">
        <v>44561</v>
      </c>
      <c r="C852">
        <v>14</v>
      </c>
      <c r="D852" t="str">
        <f>"4619"</f>
        <v>4619</v>
      </c>
      <c r="E852" t="str">
        <f>"Комиссионные доходы за обслуживание платежных карточек"</f>
        <v>Комиссионные доходы за обслуживание платежных карточек</v>
      </c>
      <c r="F852" t="str">
        <f>""</f>
        <v/>
      </c>
      <c r="G852" t="str">
        <f>""</f>
        <v/>
      </c>
      <c r="H852" t="str">
        <f>""</f>
        <v/>
      </c>
      <c r="I852" s="2">
        <v>81799089605</v>
      </c>
    </row>
    <row r="853" spans="1:9" x14ac:dyDescent="0.25">
      <c r="A853">
        <v>852</v>
      </c>
      <c r="B853" s="1">
        <v>44561</v>
      </c>
      <c r="C853">
        <v>14</v>
      </c>
      <c r="D853" t="str">
        <f>"4703"</f>
        <v>4703</v>
      </c>
      <c r="E853" t="str">
        <f>"Доход от переоценки иностранной валюты"</f>
        <v>Доход от переоценки иностранной валюты</v>
      </c>
      <c r="F853" t="str">
        <f>""</f>
        <v/>
      </c>
      <c r="G853" t="str">
        <f>""</f>
        <v/>
      </c>
      <c r="H853" t="str">
        <f>""</f>
        <v/>
      </c>
      <c r="I853" s="2">
        <v>9609476434819</v>
      </c>
    </row>
    <row r="854" spans="1:9" x14ac:dyDescent="0.25">
      <c r="A854">
        <v>853</v>
      </c>
      <c r="B854" s="1">
        <v>44561</v>
      </c>
      <c r="C854">
        <v>14</v>
      </c>
      <c r="D854" t="str">
        <f>"4704"</f>
        <v>4704</v>
      </c>
      <c r="E854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F854" t="str">
        <f>""</f>
        <v/>
      </c>
      <c r="G854" t="str">
        <f>""</f>
        <v/>
      </c>
      <c r="H854" t="str">
        <f>""</f>
        <v/>
      </c>
      <c r="I854" s="2">
        <v>65952412685</v>
      </c>
    </row>
    <row r="855" spans="1:9" x14ac:dyDescent="0.25">
      <c r="A855">
        <v>854</v>
      </c>
      <c r="B855" s="1">
        <v>44561</v>
      </c>
      <c r="C855">
        <v>14</v>
      </c>
      <c r="D855" t="str">
        <f>"4709"</f>
        <v>4709</v>
      </c>
      <c r="E855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855" t="str">
        <f>""</f>
        <v/>
      </c>
      <c r="G855" t="str">
        <f>""</f>
        <v/>
      </c>
      <c r="H855" t="str">
        <f>""</f>
        <v/>
      </c>
      <c r="I855" s="2">
        <v>2193650</v>
      </c>
    </row>
    <row r="856" spans="1:9" x14ac:dyDescent="0.25">
      <c r="A856">
        <v>855</v>
      </c>
      <c r="B856" s="1">
        <v>44561</v>
      </c>
      <c r="C856">
        <v>14</v>
      </c>
      <c r="D856" t="str">
        <f>"4714"</f>
        <v>4714</v>
      </c>
      <c r="E856" t="str">
        <f>"Доходы от восстановления убытка от обесценения долгосрочных активов, предназначенных для продажи"</f>
        <v>Доходы от восстановления убытка от обесценения долгосрочных активов, предназначенных для продажи</v>
      </c>
      <c r="F856" t="str">
        <f>""</f>
        <v/>
      </c>
      <c r="G856" t="str">
        <f>""</f>
        <v/>
      </c>
      <c r="H856" t="str">
        <f>""</f>
        <v/>
      </c>
      <c r="I856" s="2">
        <v>4737143</v>
      </c>
    </row>
    <row r="857" spans="1:9" x14ac:dyDescent="0.25">
      <c r="A857">
        <v>856</v>
      </c>
      <c r="B857" s="1">
        <v>44561</v>
      </c>
      <c r="C857">
        <v>14</v>
      </c>
      <c r="D857" t="str">
        <f>"4733"</f>
        <v>4733</v>
      </c>
      <c r="E857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857" t="str">
        <f>""</f>
        <v/>
      </c>
      <c r="G857" t="str">
        <f>""</f>
        <v/>
      </c>
      <c r="H857" t="str">
        <f>""</f>
        <v/>
      </c>
      <c r="I857" s="2">
        <v>98226732</v>
      </c>
    </row>
    <row r="858" spans="1:9" x14ac:dyDescent="0.25">
      <c r="A858">
        <v>857</v>
      </c>
      <c r="B858" s="1">
        <v>44561</v>
      </c>
      <c r="C858">
        <v>14</v>
      </c>
      <c r="D858" t="str">
        <f>"4852"</f>
        <v>4852</v>
      </c>
      <c r="E858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858" t="str">
        <f>""</f>
        <v/>
      </c>
      <c r="G858" t="str">
        <f>""</f>
        <v/>
      </c>
      <c r="H858" t="str">
        <f>""</f>
        <v/>
      </c>
      <c r="I858" s="2">
        <v>61573879</v>
      </c>
    </row>
    <row r="859" spans="1:9" x14ac:dyDescent="0.25">
      <c r="A859">
        <v>858</v>
      </c>
      <c r="B859" s="1">
        <v>44561</v>
      </c>
      <c r="C859">
        <v>14</v>
      </c>
      <c r="D859" t="str">
        <f>"4853"</f>
        <v>4853</v>
      </c>
      <c r="E859" t="str">
        <f>"Доходы от реализации запасов"</f>
        <v>Доходы от реализации запасов</v>
      </c>
      <c r="F859" t="str">
        <f>""</f>
        <v/>
      </c>
      <c r="G859" t="str">
        <f>""</f>
        <v/>
      </c>
      <c r="H859" t="str">
        <f>""</f>
        <v/>
      </c>
      <c r="I859" s="2">
        <v>205000</v>
      </c>
    </row>
    <row r="860" spans="1:9" x14ac:dyDescent="0.25">
      <c r="A860">
        <v>859</v>
      </c>
      <c r="B860" s="1">
        <v>44561</v>
      </c>
      <c r="C860">
        <v>14</v>
      </c>
      <c r="D860" t="str">
        <f>"4854"</f>
        <v>4854</v>
      </c>
      <c r="E860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F860" t="str">
        <f>""</f>
        <v/>
      </c>
      <c r="G860" t="str">
        <f>""</f>
        <v/>
      </c>
      <c r="H860" t="str">
        <f>""</f>
        <v/>
      </c>
      <c r="I860" s="2">
        <v>31814740517</v>
      </c>
    </row>
    <row r="861" spans="1:9" x14ac:dyDescent="0.25">
      <c r="A861">
        <v>860</v>
      </c>
      <c r="B861" s="1">
        <v>44561</v>
      </c>
      <c r="C861">
        <v>14</v>
      </c>
      <c r="D861" t="str">
        <f>"4856"</f>
        <v>4856</v>
      </c>
      <c r="E861" t="str">
        <f>"Доходы от реализации прочих инвестиций"</f>
        <v>Доходы от реализации прочих инвестиций</v>
      </c>
      <c r="F861" t="str">
        <f>""</f>
        <v/>
      </c>
      <c r="G861" t="str">
        <f>""</f>
        <v/>
      </c>
      <c r="H861" t="str">
        <f>""</f>
        <v/>
      </c>
      <c r="I861" s="2">
        <v>31927680</v>
      </c>
    </row>
    <row r="862" spans="1:9" x14ac:dyDescent="0.25">
      <c r="A862">
        <v>861</v>
      </c>
      <c r="B862" s="1">
        <v>44561</v>
      </c>
      <c r="C862">
        <v>14</v>
      </c>
      <c r="D862" t="str">
        <f>"4872"</f>
        <v>4872</v>
      </c>
      <c r="E862" t="str">
        <f>"Доходы, связанные с изменением доли участия в уставном капитале ассоциированных организаций"</f>
        <v>Доходы, связанные с изменением доли участия в уставном капитале ассоциированных организаций</v>
      </c>
      <c r="F862" t="str">
        <f>""</f>
        <v/>
      </c>
      <c r="G862" t="str">
        <f>""</f>
        <v/>
      </c>
      <c r="H862" t="str">
        <f>""</f>
        <v/>
      </c>
      <c r="I862" s="2">
        <v>6640932000</v>
      </c>
    </row>
    <row r="863" spans="1:9" x14ac:dyDescent="0.25">
      <c r="A863">
        <v>862</v>
      </c>
      <c r="B863" s="1">
        <v>44561</v>
      </c>
      <c r="C863">
        <v>14</v>
      </c>
      <c r="D863" t="str">
        <f>"4892"</f>
        <v>4892</v>
      </c>
      <c r="E863" t="str">
        <f>"Доходы по операциям форвард"</f>
        <v>Доходы по операциям форвард</v>
      </c>
      <c r="F863" t="str">
        <f>""</f>
        <v/>
      </c>
      <c r="G863" t="str">
        <f>""</f>
        <v/>
      </c>
      <c r="H863" t="str">
        <f>""</f>
        <v/>
      </c>
      <c r="I863" s="2">
        <v>334178204</v>
      </c>
    </row>
    <row r="864" spans="1:9" x14ac:dyDescent="0.25">
      <c r="A864">
        <v>863</v>
      </c>
      <c r="B864" s="1">
        <v>44561</v>
      </c>
      <c r="C864">
        <v>14</v>
      </c>
      <c r="D864" t="str">
        <f>"4895"</f>
        <v>4895</v>
      </c>
      <c r="E864" t="str">
        <f>"Доходы по операциям своп"</f>
        <v>Доходы по операциям своп</v>
      </c>
      <c r="F864" t="str">
        <f>""</f>
        <v/>
      </c>
      <c r="G864" t="str">
        <f>""</f>
        <v/>
      </c>
      <c r="H864" t="str">
        <f>""</f>
        <v/>
      </c>
      <c r="I864" s="2">
        <v>51353170477</v>
      </c>
    </row>
    <row r="865" spans="1:9" x14ac:dyDescent="0.25">
      <c r="A865">
        <v>864</v>
      </c>
      <c r="B865" s="1">
        <v>44561</v>
      </c>
      <c r="C865">
        <v>14</v>
      </c>
      <c r="D865" t="str">
        <f>"4900"</f>
        <v>4900</v>
      </c>
      <c r="E865" t="str">
        <f>"Неустойка (штраф, пеня)"</f>
        <v>Неустойка (штраф, пеня)</v>
      </c>
      <c r="F865" t="str">
        <f>""</f>
        <v/>
      </c>
      <c r="G865" t="str">
        <f>""</f>
        <v/>
      </c>
      <c r="H865" t="str">
        <f>""</f>
        <v/>
      </c>
      <c r="I865" s="2">
        <v>2931925</v>
      </c>
    </row>
    <row r="866" spans="1:9" x14ac:dyDescent="0.25">
      <c r="A866">
        <v>865</v>
      </c>
      <c r="B866" s="1">
        <v>44561</v>
      </c>
      <c r="C866">
        <v>14</v>
      </c>
      <c r="D866" t="str">
        <f>"4921"</f>
        <v>4921</v>
      </c>
      <c r="E866" t="str">
        <f>"Прочие доходы от банковской деятельности"</f>
        <v>Прочие доходы от банковской деятельности</v>
      </c>
      <c r="F866" t="str">
        <f>""</f>
        <v/>
      </c>
      <c r="G866" t="str">
        <f>""</f>
        <v/>
      </c>
      <c r="H866" t="str">
        <f>""</f>
        <v/>
      </c>
      <c r="I866" s="2">
        <v>5521014663</v>
      </c>
    </row>
    <row r="867" spans="1:9" x14ac:dyDescent="0.25">
      <c r="A867">
        <v>866</v>
      </c>
      <c r="B867" s="1">
        <v>44561</v>
      </c>
      <c r="C867">
        <v>14</v>
      </c>
      <c r="D867" t="str">
        <f>"4922"</f>
        <v>4922</v>
      </c>
      <c r="E867" t="str">
        <f>"Прочие доходы от неосновной деятельности"</f>
        <v>Прочие доходы от неосновной деятельности</v>
      </c>
      <c r="F867" t="str">
        <f>""</f>
        <v/>
      </c>
      <c r="G867" t="str">
        <f>""</f>
        <v/>
      </c>
      <c r="H867" t="str">
        <f>""</f>
        <v/>
      </c>
      <c r="I867" s="2">
        <v>1090595322</v>
      </c>
    </row>
    <row r="868" spans="1:9" x14ac:dyDescent="0.25">
      <c r="A868">
        <v>867</v>
      </c>
      <c r="B868" s="1">
        <v>44561</v>
      </c>
      <c r="C868">
        <v>14</v>
      </c>
      <c r="D868" t="str">
        <f>"4923"</f>
        <v>4923</v>
      </c>
      <c r="E868" t="str">
        <f>"Доходы, связанные с получением дивидендов по акциям"</f>
        <v>Доходы, связанные с получением дивидендов по акциям</v>
      </c>
      <c r="F868" t="str">
        <f>""</f>
        <v/>
      </c>
      <c r="G868" t="str">
        <f>""</f>
        <v/>
      </c>
      <c r="H868" t="str">
        <f>""</f>
        <v/>
      </c>
      <c r="I868" s="2">
        <v>431518</v>
      </c>
    </row>
    <row r="869" spans="1:9" x14ac:dyDescent="0.25">
      <c r="A869">
        <v>868</v>
      </c>
      <c r="B869" s="1">
        <v>44561</v>
      </c>
      <c r="C869">
        <v>14</v>
      </c>
      <c r="D869" t="str">
        <f>"4951"</f>
        <v>4951</v>
      </c>
      <c r="E869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869" t="str">
        <f>""</f>
        <v/>
      </c>
      <c r="G869" t="str">
        <f>""</f>
        <v/>
      </c>
      <c r="H869" t="str">
        <f>""</f>
        <v/>
      </c>
      <c r="I869" s="2">
        <v>650255472</v>
      </c>
    </row>
    <row r="870" spans="1:9" x14ac:dyDescent="0.25">
      <c r="A870">
        <v>869</v>
      </c>
      <c r="B870" s="1">
        <v>44561</v>
      </c>
      <c r="C870">
        <v>14</v>
      </c>
      <c r="D870" t="str">
        <f>"4952"</f>
        <v>4952</v>
      </c>
      <c r="E870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F870" t="str">
        <f>""</f>
        <v/>
      </c>
      <c r="G870" t="str">
        <f>""</f>
        <v/>
      </c>
      <c r="H870" t="str">
        <f>""</f>
        <v/>
      </c>
      <c r="I870" s="2">
        <v>287563945</v>
      </c>
    </row>
    <row r="871" spans="1:9" x14ac:dyDescent="0.25">
      <c r="A871">
        <v>870</v>
      </c>
      <c r="B871" s="1">
        <v>44561</v>
      </c>
      <c r="C871">
        <v>14</v>
      </c>
      <c r="D871" t="str">
        <f>"4953"</f>
        <v>4953</v>
      </c>
      <c r="E871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871" t="str">
        <f>""</f>
        <v/>
      </c>
      <c r="G871" t="str">
        <f>""</f>
        <v/>
      </c>
      <c r="H871" t="str">
        <f>""</f>
        <v/>
      </c>
      <c r="I871" s="2">
        <v>3573414866</v>
      </c>
    </row>
    <row r="872" spans="1:9" x14ac:dyDescent="0.25">
      <c r="A872">
        <v>871</v>
      </c>
      <c r="B872" s="1">
        <v>44561</v>
      </c>
      <c r="C872">
        <v>14</v>
      </c>
      <c r="D872" t="str">
        <f>"4954"</f>
        <v>4954</v>
      </c>
      <c r="E872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872" t="str">
        <f>""</f>
        <v/>
      </c>
      <c r="G872" t="str">
        <f>""</f>
        <v/>
      </c>
      <c r="H872" t="str">
        <f>""</f>
        <v/>
      </c>
      <c r="I872" s="2">
        <v>551191775</v>
      </c>
    </row>
    <row r="873" spans="1:9" x14ac:dyDescent="0.25">
      <c r="A873">
        <v>872</v>
      </c>
      <c r="B873" s="1">
        <v>44561</v>
      </c>
      <c r="C873">
        <v>14</v>
      </c>
      <c r="D873" t="str">
        <f>"4955"</f>
        <v>4955</v>
      </c>
      <c r="E873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873" t="str">
        <f>""</f>
        <v/>
      </c>
      <c r="G873" t="str">
        <f>""</f>
        <v/>
      </c>
      <c r="H873" t="str">
        <f>""</f>
        <v/>
      </c>
      <c r="I873" s="2">
        <v>301068466534</v>
      </c>
    </row>
    <row r="874" spans="1:9" x14ac:dyDescent="0.25">
      <c r="A874">
        <v>873</v>
      </c>
      <c r="B874" s="1">
        <v>44561</v>
      </c>
      <c r="C874">
        <v>14</v>
      </c>
      <c r="D874" t="str">
        <f>"4956"</f>
        <v>4956</v>
      </c>
      <c r="E874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874" t="str">
        <f>""</f>
        <v/>
      </c>
      <c r="G874" t="str">
        <f>""</f>
        <v/>
      </c>
      <c r="H874" t="str">
        <f>""</f>
        <v/>
      </c>
      <c r="I874" s="2">
        <v>3122559</v>
      </c>
    </row>
    <row r="875" spans="1:9" x14ac:dyDescent="0.25">
      <c r="A875">
        <v>874</v>
      </c>
      <c r="B875" s="1">
        <v>44561</v>
      </c>
      <c r="C875">
        <v>14</v>
      </c>
      <c r="D875" t="str">
        <f>"4957"</f>
        <v>4957</v>
      </c>
      <c r="E875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875" t="str">
        <f>""</f>
        <v/>
      </c>
      <c r="G875" t="str">
        <f>""</f>
        <v/>
      </c>
      <c r="H875" t="str">
        <f>""</f>
        <v/>
      </c>
      <c r="I875" s="2">
        <v>665178264</v>
      </c>
    </row>
    <row r="876" spans="1:9" x14ac:dyDescent="0.25">
      <c r="A876">
        <v>875</v>
      </c>
      <c r="B876" s="1">
        <v>44561</v>
      </c>
      <c r="C876">
        <v>14</v>
      </c>
      <c r="D876" t="str">
        <f>"4958"</f>
        <v>4958</v>
      </c>
      <c r="E876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876" t="str">
        <f>""</f>
        <v/>
      </c>
      <c r="G876" t="str">
        <f>""</f>
        <v/>
      </c>
      <c r="H876" t="str">
        <f>""</f>
        <v/>
      </c>
      <c r="I876" s="2">
        <v>23497378359</v>
      </c>
    </row>
    <row r="877" spans="1:9" x14ac:dyDescent="0.25">
      <c r="A877">
        <v>876</v>
      </c>
      <c r="B877" s="1">
        <v>44561</v>
      </c>
      <c r="C877">
        <v>14</v>
      </c>
      <c r="D877" t="str">
        <f>"4959"</f>
        <v>4959</v>
      </c>
      <c r="E877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877" t="str">
        <f>""</f>
        <v/>
      </c>
      <c r="G877" t="str">
        <f>""</f>
        <v/>
      </c>
      <c r="H877" t="str">
        <f>""</f>
        <v/>
      </c>
      <c r="I877" s="2">
        <v>36313574998</v>
      </c>
    </row>
    <row r="878" spans="1:9" x14ac:dyDescent="0.25">
      <c r="A878">
        <v>877</v>
      </c>
      <c r="B878" s="1">
        <v>44561</v>
      </c>
      <c r="C878">
        <v>14</v>
      </c>
      <c r="D878" t="str">
        <f>"4960"</f>
        <v>4960</v>
      </c>
      <c r="E878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878" t="str">
        <f>""</f>
        <v/>
      </c>
      <c r="G878" t="str">
        <f>""</f>
        <v/>
      </c>
      <c r="H878" t="str">
        <f>""</f>
        <v/>
      </c>
      <c r="I878" s="2">
        <v>3116288</v>
      </c>
    </row>
    <row r="879" spans="1:9" x14ac:dyDescent="0.25">
      <c r="A879">
        <v>878</v>
      </c>
      <c r="B879" s="1">
        <v>44561</v>
      </c>
      <c r="C879">
        <v>14</v>
      </c>
      <c r="D879" t="str">
        <f>"4961"</f>
        <v>4961</v>
      </c>
      <c r="E879" t="str">
        <f>"Доходы от восстановления резервов (провизий) по прочей банковской деятельности"</f>
        <v>Доходы от восстановления резервов (провизий) по прочей банковской деятельности</v>
      </c>
      <c r="F879" t="str">
        <f>""</f>
        <v/>
      </c>
      <c r="G879" t="str">
        <f>""</f>
        <v/>
      </c>
      <c r="H879" t="str">
        <f>""</f>
        <v/>
      </c>
      <c r="I879" s="2">
        <v>1739871030</v>
      </c>
    </row>
    <row r="880" spans="1:9" x14ac:dyDescent="0.25">
      <c r="A880">
        <v>879</v>
      </c>
      <c r="B880" s="1">
        <v>44561</v>
      </c>
      <c r="C880">
        <v>14</v>
      </c>
      <c r="D880" t="str">
        <f>"4962"</f>
        <v>4962</v>
      </c>
      <c r="E880" t="str">
        <f>"Доходы от восстановления резервов (провизий) по инвестициям в субординированный долг"</f>
        <v>Доходы от восстановления резервов (провизий) по инвестициям в субординированный долг</v>
      </c>
      <c r="F880" t="str">
        <f>""</f>
        <v/>
      </c>
      <c r="G880" t="str">
        <f>""</f>
        <v/>
      </c>
      <c r="H880" t="str">
        <f>""</f>
        <v/>
      </c>
      <c r="I880" s="2">
        <v>146405932</v>
      </c>
    </row>
    <row r="881" spans="1:9" x14ac:dyDescent="0.25">
      <c r="A881">
        <v>880</v>
      </c>
      <c r="B881" s="1">
        <v>44561</v>
      </c>
      <c r="C881">
        <v>14</v>
      </c>
      <c r="D881" t="str">
        <f>"4963"</f>
        <v>4963</v>
      </c>
      <c r="E881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F881" t="str">
        <f>""</f>
        <v/>
      </c>
      <c r="G881" t="str">
        <f>""</f>
        <v/>
      </c>
      <c r="H881" t="str">
        <f>""</f>
        <v/>
      </c>
      <c r="I881" s="2">
        <v>306045734024</v>
      </c>
    </row>
    <row r="882" spans="1:9" x14ac:dyDescent="0.25">
      <c r="A882">
        <v>881</v>
      </c>
      <c r="B882" s="1">
        <v>44561</v>
      </c>
      <c r="C882">
        <v>14</v>
      </c>
      <c r="D882" t="str">
        <f>"5036"</f>
        <v>5036</v>
      </c>
      <c r="E882" t="str">
        <f>"Расходы, связанные с выплатой вознаграждения по долгосрочным займам, полученным от Правительства и местных исполнительных органов Республики Казахстан"</f>
        <v>Расходы, связанные с выплатой вознаграждения по долгосрочным займам, полученным от Правительства и местных исполнительных органов Республики Казахстан</v>
      </c>
      <c r="F882" t="str">
        <f>""</f>
        <v/>
      </c>
      <c r="G882" t="str">
        <f>""</f>
        <v/>
      </c>
      <c r="H882" t="str">
        <f>""</f>
        <v/>
      </c>
      <c r="I882" s="2">
        <v>3851389</v>
      </c>
    </row>
    <row r="883" spans="1:9" x14ac:dyDescent="0.25">
      <c r="A883">
        <v>882</v>
      </c>
      <c r="B883" s="1">
        <v>44561</v>
      </c>
      <c r="C883">
        <v>14</v>
      </c>
      <c r="D883" t="str">
        <f>"5056"</f>
        <v>5056</v>
      </c>
      <c r="E883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883" t="str">
        <f>""</f>
        <v/>
      </c>
      <c r="G883" t="str">
        <f>""</f>
        <v/>
      </c>
      <c r="H883" t="str">
        <f>""</f>
        <v/>
      </c>
      <c r="I883" s="2">
        <v>780663808</v>
      </c>
    </row>
    <row r="884" spans="1:9" x14ac:dyDescent="0.25">
      <c r="A884">
        <v>883</v>
      </c>
      <c r="B884" s="1">
        <v>44561</v>
      </c>
      <c r="C884">
        <v>14</v>
      </c>
      <c r="D884" t="str">
        <f>"5064"</f>
        <v>5064</v>
      </c>
      <c r="E884" t="str">
        <f>"Расходы, связанные с выплатой вознаграждения по краткосрочным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краткосрочным займам, полученным от организаций, осуществляющих отдельные виды банковских операций</v>
      </c>
      <c r="F884" t="str">
        <f>""</f>
        <v/>
      </c>
      <c r="G884" t="str">
        <f>""</f>
        <v/>
      </c>
      <c r="H884" t="str">
        <f>""</f>
        <v/>
      </c>
      <c r="I884" s="2">
        <v>337799023</v>
      </c>
    </row>
    <row r="885" spans="1:9" x14ac:dyDescent="0.25">
      <c r="A885">
        <v>884</v>
      </c>
      <c r="B885" s="1">
        <v>44561</v>
      </c>
      <c r="C885">
        <v>14</v>
      </c>
      <c r="D885" t="str">
        <f>"5066"</f>
        <v>5066</v>
      </c>
      <c r="E885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885" t="str">
        <f>""</f>
        <v/>
      </c>
      <c r="G885" t="str">
        <f>""</f>
        <v/>
      </c>
      <c r="H885" t="str">
        <f>""</f>
        <v/>
      </c>
      <c r="I885" s="2">
        <v>2029953168</v>
      </c>
    </row>
    <row r="886" spans="1:9" x14ac:dyDescent="0.25">
      <c r="A886">
        <v>885</v>
      </c>
      <c r="B886" s="1">
        <v>44561</v>
      </c>
      <c r="C886">
        <v>14</v>
      </c>
      <c r="D886" t="str">
        <f>"5071"</f>
        <v>5071</v>
      </c>
      <c r="E886" t="str">
        <f>"Расходы, возникающие при корректировке валовой балансовой стоимости предоставленных займов в связи с их модификацией и (или) корректировке займов, предоставленных по нерыночной ставке процента"</f>
        <v>Расходы, возникающие при корректировке валовой балансовой стоимости предоставленных займов в связи с их модификацией и (или) корректировке займов, предоставленных по нерыночной ставке процента</v>
      </c>
      <c r="F886" t="str">
        <f>""</f>
        <v/>
      </c>
      <c r="G886" t="str">
        <f>""</f>
        <v/>
      </c>
      <c r="H886" t="str">
        <f>""</f>
        <v/>
      </c>
      <c r="I886" s="2">
        <v>4079188</v>
      </c>
    </row>
    <row r="887" spans="1:9" x14ac:dyDescent="0.25">
      <c r="A887">
        <v>886</v>
      </c>
      <c r="B887" s="1">
        <v>44561</v>
      </c>
      <c r="C887">
        <v>14</v>
      </c>
      <c r="D887" t="str">
        <f>"5091"</f>
        <v>5091</v>
      </c>
      <c r="E887" t="str">
        <f>"Другие расходы, связанные с выплатой вознаграждения по операциям с другими банками"</f>
        <v>Другие расходы, связанные с выплатой вознаграждения по операциям с другими банками</v>
      </c>
      <c r="F887" t="str">
        <f>""</f>
        <v/>
      </c>
      <c r="G887" t="str">
        <f>""</f>
        <v/>
      </c>
      <c r="H887" t="str">
        <f>""</f>
        <v/>
      </c>
      <c r="I887" s="2">
        <v>5124387799</v>
      </c>
    </row>
    <row r="888" spans="1:9" x14ac:dyDescent="0.25">
      <c r="A888">
        <v>887</v>
      </c>
      <c r="B888" s="1">
        <v>44561</v>
      </c>
      <c r="C888">
        <v>14</v>
      </c>
      <c r="D888" t="str">
        <f>"5124"</f>
        <v>5124</v>
      </c>
      <c r="E888" t="str">
        <f>"Расходы, связанные с выплатой вознаграждения по срочным вкладам иностранных центральных банков"</f>
        <v>Расходы, связанные с выплатой вознаграждения по срочным вкладам иностранных центральных банков</v>
      </c>
      <c r="F888" t="str">
        <f>""</f>
        <v/>
      </c>
      <c r="G888" t="str">
        <f>""</f>
        <v/>
      </c>
      <c r="H888" t="str">
        <f>""</f>
        <v/>
      </c>
      <c r="I888" s="2">
        <v>664849444</v>
      </c>
    </row>
    <row r="889" spans="1:9" x14ac:dyDescent="0.25">
      <c r="A889">
        <v>888</v>
      </c>
      <c r="B889" s="1">
        <v>44561</v>
      </c>
      <c r="C889">
        <v>14</v>
      </c>
      <c r="D889" t="str">
        <f>"5126"</f>
        <v>5126</v>
      </c>
      <c r="E889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889" t="str">
        <f>""</f>
        <v/>
      </c>
      <c r="G889" t="str">
        <f>""</f>
        <v/>
      </c>
      <c r="H889" t="str">
        <f>""</f>
        <v/>
      </c>
      <c r="I889" s="2">
        <v>92552463</v>
      </c>
    </row>
    <row r="890" spans="1:9" x14ac:dyDescent="0.25">
      <c r="A890">
        <v>889</v>
      </c>
      <c r="B890" s="1">
        <v>44561</v>
      </c>
      <c r="C890">
        <v>14</v>
      </c>
      <c r="D890" t="str">
        <f>"5203"</f>
        <v>5203</v>
      </c>
      <c r="E890" t="str">
        <f>"Расходы, связанные с выплатой вознаграждения по текущим счетам клиентов"</f>
        <v>Расходы, связанные с выплатой вознаграждения по текущим счетам клиентов</v>
      </c>
      <c r="F890" t="str">
        <f>""</f>
        <v/>
      </c>
      <c r="G890" t="str">
        <f>""</f>
        <v/>
      </c>
      <c r="H890" t="str">
        <f>""</f>
        <v/>
      </c>
      <c r="I890" s="2">
        <v>16276634824</v>
      </c>
    </row>
    <row r="891" spans="1:9" x14ac:dyDescent="0.25">
      <c r="A891">
        <v>890</v>
      </c>
      <c r="B891" s="1">
        <v>44561</v>
      </c>
      <c r="C891">
        <v>14</v>
      </c>
      <c r="D891" t="str">
        <f>"5215"</f>
        <v>5215</v>
      </c>
      <c r="E891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891" t="str">
        <f>""</f>
        <v/>
      </c>
      <c r="G891" t="str">
        <f>""</f>
        <v/>
      </c>
      <c r="H891" t="str">
        <f>""</f>
        <v/>
      </c>
      <c r="I891" s="2">
        <v>186794575354</v>
      </c>
    </row>
    <row r="892" spans="1:9" x14ac:dyDescent="0.25">
      <c r="A892">
        <v>891</v>
      </c>
      <c r="B892" s="1">
        <v>44561</v>
      </c>
      <c r="C892">
        <v>14</v>
      </c>
      <c r="D892" t="str">
        <f>"5217"</f>
        <v>5217</v>
      </c>
      <c r="E892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892" t="str">
        <f>""</f>
        <v/>
      </c>
      <c r="G892" t="str">
        <f>""</f>
        <v/>
      </c>
      <c r="H892" t="str">
        <f>""</f>
        <v/>
      </c>
      <c r="I892" s="2">
        <v>35589053711</v>
      </c>
    </row>
    <row r="893" spans="1:9" x14ac:dyDescent="0.25">
      <c r="A893">
        <v>892</v>
      </c>
      <c r="B893" s="1">
        <v>44561</v>
      </c>
      <c r="C893">
        <v>14</v>
      </c>
      <c r="D893" t="str">
        <f>"5218"</f>
        <v>5218</v>
      </c>
      <c r="E893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893" t="str">
        <f>""</f>
        <v/>
      </c>
      <c r="G893" t="str">
        <f>""</f>
        <v/>
      </c>
      <c r="H893" t="str">
        <f>""</f>
        <v/>
      </c>
      <c r="I893" s="2">
        <v>37036963782</v>
      </c>
    </row>
    <row r="894" spans="1:9" x14ac:dyDescent="0.25">
      <c r="A894">
        <v>893</v>
      </c>
      <c r="B894" s="1">
        <v>44561</v>
      </c>
      <c r="C894">
        <v>14</v>
      </c>
      <c r="D894" t="str">
        <f>"5219"</f>
        <v>5219</v>
      </c>
      <c r="E894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894" t="str">
        <f>""</f>
        <v/>
      </c>
      <c r="G894" t="str">
        <f>""</f>
        <v/>
      </c>
      <c r="H894" t="str">
        <f>""</f>
        <v/>
      </c>
      <c r="I894" s="2">
        <v>946564900</v>
      </c>
    </row>
    <row r="895" spans="1:9" x14ac:dyDescent="0.25">
      <c r="A895">
        <v>894</v>
      </c>
      <c r="B895" s="1">
        <v>44561</v>
      </c>
      <c r="C895">
        <v>14</v>
      </c>
      <c r="D895" t="str">
        <f>"5220"</f>
        <v>5220</v>
      </c>
      <c r="E895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895" t="str">
        <f>""</f>
        <v/>
      </c>
      <c r="G895" t="str">
        <f>""</f>
        <v/>
      </c>
      <c r="H895" t="str">
        <f>""</f>
        <v/>
      </c>
      <c r="I895" s="2">
        <v>6753267697</v>
      </c>
    </row>
    <row r="896" spans="1:9" x14ac:dyDescent="0.25">
      <c r="A896">
        <v>895</v>
      </c>
      <c r="B896" s="1">
        <v>44561</v>
      </c>
      <c r="C896">
        <v>14</v>
      </c>
      <c r="D896" t="str">
        <f>"5223"</f>
        <v>5223</v>
      </c>
      <c r="E896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896" t="str">
        <f>""</f>
        <v/>
      </c>
      <c r="G896" t="str">
        <f>""</f>
        <v/>
      </c>
      <c r="H896" t="str">
        <f>""</f>
        <v/>
      </c>
      <c r="I896" s="2">
        <v>1510186621</v>
      </c>
    </row>
    <row r="897" spans="1:9" x14ac:dyDescent="0.25">
      <c r="A897">
        <v>896</v>
      </c>
      <c r="B897" s="1">
        <v>44561</v>
      </c>
      <c r="C897">
        <v>14</v>
      </c>
      <c r="D897" t="str">
        <f>"5227"</f>
        <v>5227</v>
      </c>
      <c r="E897" t="str">
        <f>"Процентные расходы по обязательствам по аренде"</f>
        <v>Процентные расходы по обязательствам по аренде</v>
      </c>
      <c r="F897" t="str">
        <f>""</f>
        <v/>
      </c>
      <c r="G897" t="str">
        <f>""</f>
        <v/>
      </c>
      <c r="H897" t="str">
        <f>""</f>
        <v/>
      </c>
      <c r="I897" s="2">
        <v>383632435</v>
      </c>
    </row>
    <row r="898" spans="1:9" x14ac:dyDescent="0.25">
      <c r="A898">
        <v>897</v>
      </c>
      <c r="B898" s="1">
        <v>44561</v>
      </c>
      <c r="C898">
        <v>14</v>
      </c>
      <c r="D898" t="str">
        <f>"5236"</f>
        <v>5236</v>
      </c>
      <c r="E898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F898" t="str">
        <f>""</f>
        <v/>
      </c>
      <c r="G898" t="str">
        <f>""</f>
        <v/>
      </c>
      <c r="H898" t="str">
        <f>""</f>
        <v/>
      </c>
      <c r="I898" s="2">
        <v>11614773089</v>
      </c>
    </row>
    <row r="899" spans="1:9" x14ac:dyDescent="0.25">
      <c r="A899">
        <v>898</v>
      </c>
      <c r="B899" s="1">
        <v>44561</v>
      </c>
      <c r="C899">
        <v>14</v>
      </c>
      <c r="D899" t="str">
        <f>"5250"</f>
        <v>5250</v>
      </c>
      <c r="E899" t="str">
        <f>"Расходы, связанные с выплатой вознаграждения по операциям «РЕПО» с ценными бумагами"</f>
        <v>Расходы, связанные с выплатой вознаграждения по операциям «РЕПО» с ценными бумагами</v>
      </c>
      <c r="F899" t="str">
        <f>""</f>
        <v/>
      </c>
      <c r="G899" t="str">
        <f>""</f>
        <v/>
      </c>
      <c r="H899" t="str">
        <f>""</f>
        <v/>
      </c>
      <c r="I899" s="2">
        <v>2782866688</v>
      </c>
    </row>
    <row r="900" spans="1:9" x14ac:dyDescent="0.25">
      <c r="A900">
        <v>899</v>
      </c>
      <c r="B900" s="1">
        <v>44561</v>
      </c>
      <c r="C900">
        <v>14</v>
      </c>
      <c r="D900" t="str">
        <f>"5301"</f>
        <v>5301</v>
      </c>
      <c r="E900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900" t="str">
        <f>""</f>
        <v/>
      </c>
      <c r="G900" t="str">
        <f>""</f>
        <v/>
      </c>
      <c r="H900" t="str">
        <f>""</f>
        <v/>
      </c>
      <c r="I900" s="2">
        <v>30001386295</v>
      </c>
    </row>
    <row r="901" spans="1:9" x14ac:dyDescent="0.25">
      <c r="A901">
        <v>900</v>
      </c>
      <c r="B901" s="1">
        <v>44561</v>
      </c>
      <c r="C901">
        <v>14</v>
      </c>
      <c r="D901" t="str">
        <f>"5306"</f>
        <v>5306</v>
      </c>
      <c r="E901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901" t="str">
        <f>""</f>
        <v/>
      </c>
      <c r="G901" t="str">
        <f>""</f>
        <v/>
      </c>
      <c r="H901" t="str">
        <f>""</f>
        <v/>
      </c>
      <c r="I901" s="2">
        <v>12975061801</v>
      </c>
    </row>
    <row r="902" spans="1:9" x14ac:dyDescent="0.25">
      <c r="A902">
        <v>901</v>
      </c>
      <c r="B902" s="1">
        <v>44561</v>
      </c>
      <c r="C902">
        <v>14</v>
      </c>
      <c r="D902" t="str">
        <f>"5307"</f>
        <v>5307</v>
      </c>
      <c r="E902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902" t="str">
        <f>""</f>
        <v/>
      </c>
      <c r="G902" t="str">
        <f>""</f>
        <v/>
      </c>
      <c r="H902" t="str">
        <f>""</f>
        <v/>
      </c>
      <c r="I902" s="2">
        <v>15940813910</v>
      </c>
    </row>
    <row r="903" spans="1:9" x14ac:dyDescent="0.25">
      <c r="A903">
        <v>902</v>
      </c>
      <c r="B903" s="1">
        <v>44561</v>
      </c>
      <c r="C903">
        <v>14</v>
      </c>
      <c r="D903" t="str">
        <f>"5308"</f>
        <v>5308</v>
      </c>
      <c r="E903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903" t="str">
        <f>""</f>
        <v/>
      </c>
      <c r="G903" t="str">
        <f>""</f>
        <v/>
      </c>
      <c r="H903" t="str">
        <f>""</f>
        <v/>
      </c>
      <c r="I903" s="2">
        <v>139906</v>
      </c>
    </row>
    <row r="904" spans="1:9" x14ac:dyDescent="0.25">
      <c r="A904">
        <v>903</v>
      </c>
      <c r="B904" s="1">
        <v>44561</v>
      </c>
      <c r="C904">
        <v>14</v>
      </c>
      <c r="D904" t="str">
        <f>"5309"</f>
        <v>5309</v>
      </c>
      <c r="E904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F904" t="str">
        <f>""</f>
        <v/>
      </c>
      <c r="G904" t="str">
        <f>""</f>
        <v/>
      </c>
      <c r="H904" t="str">
        <f>""</f>
        <v/>
      </c>
      <c r="I904" s="2">
        <v>5223580302</v>
      </c>
    </row>
    <row r="905" spans="1:9" x14ac:dyDescent="0.25">
      <c r="A905">
        <v>904</v>
      </c>
      <c r="B905" s="1">
        <v>44561</v>
      </c>
      <c r="C905">
        <v>14</v>
      </c>
      <c r="D905" t="str">
        <f>"5404"</f>
        <v>5404</v>
      </c>
      <c r="E905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905" t="str">
        <f>""</f>
        <v/>
      </c>
      <c r="G905" t="str">
        <f>""</f>
        <v/>
      </c>
      <c r="H905" t="str">
        <f>""</f>
        <v/>
      </c>
      <c r="I905" s="2">
        <v>142862032</v>
      </c>
    </row>
    <row r="906" spans="1:9" x14ac:dyDescent="0.25">
      <c r="A906">
        <v>905</v>
      </c>
      <c r="B906" s="1">
        <v>44561</v>
      </c>
      <c r="C906">
        <v>14</v>
      </c>
      <c r="D906" t="str">
        <f>"5406"</f>
        <v>5406</v>
      </c>
      <c r="E906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906" t="str">
        <f>""</f>
        <v/>
      </c>
      <c r="G906" t="str">
        <f>""</f>
        <v/>
      </c>
      <c r="H906" t="str">
        <f>""</f>
        <v/>
      </c>
      <c r="I906" s="2">
        <v>9608638485</v>
      </c>
    </row>
    <row r="907" spans="1:9" x14ac:dyDescent="0.25">
      <c r="A907">
        <v>906</v>
      </c>
      <c r="B907" s="1">
        <v>44561</v>
      </c>
      <c r="C907">
        <v>14</v>
      </c>
      <c r="D907" t="str">
        <f>"5451"</f>
        <v>5451</v>
      </c>
      <c r="E907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907" t="str">
        <f>""</f>
        <v/>
      </c>
      <c r="G907" t="str">
        <f>""</f>
        <v/>
      </c>
      <c r="H907" t="str">
        <f>""</f>
        <v/>
      </c>
      <c r="I907" s="2">
        <v>588239828</v>
      </c>
    </row>
    <row r="908" spans="1:9" x14ac:dyDescent="0.25">
      <c r="A908">
        <v>907</v>
      </c>
      <c r="B908" s="1">
        <v>44561</v>
      </c>
      <c r="C908">
        <v>14</v>
      </c>
      <c r="D908" t="str">
        <f>"5452"</f>
        <v>5452</v>
      </c>
      <c r="E908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F908" t="str">
        <f>""</f>
        <v/>
      </c>
      <c r="G908" t="str">
        <f>""</f>
        <v/>
      </c>
      <c r="H908" t="str">
        <f>""</f>
        <v/>
      </c>
      <c r="I908" s="2">
        <v>313740698</v>
      </c>
    </row>
    <row r="909" spans="1:9" x14ac:dyDescent="0.25">
      <c r="A909">
        <v>908</v>
      </c>
      <c r="B909" s="1">
        <v>44561</v>
      </c>
      <c r="C909">
        <v>14</v>
      </c>
      <c r="D909" t="str">
        <f>"5453"</f>
        <v>5453</v>
      </c>
      <c r="E909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909" t="str">
        <f>""</f>
        <v/>
      </c>
      <c r="G909" t="str">
        <f>""</f>
        <v/>
      </c>
      <c r="H909" t="str">
        <f>""</f>
        <v/>
      </c>
      <c r="I909" s="2">
        <v>2845649768</v>
      </c>
    </row>
    <row r="910" spans="1:9" x14ac:dyDescent="0.25">
      <c r="A910">
        <v>909</v>
      </c>
      <c r="B910" s="1">
        <v>44561</v>
      </c>
      <c r="C910">
        <v>14</v>
      </c>
      <c r="D910" t="str">
        <f>"5455"</f>
        <v>5455</v>
      </c>
      <c r="E910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910" t="str">
        <f>""</f>
        <v/>
      </c>
      <c r="G910" t="str">
        <f>""</f>
        <v/>
      </c>
      <c r="H910" t="str">
        <f>""</f>
        <v/>
      </c>
      <c r="I910" s="2">
        <v>285013598521</v>
      </c>
    </row>
    <row r="911" spans="1:9" x14ac:dyDescent="0.25">
      <c r="A911">
        <v>910</v>
      </c>
      <c r="B911" s="1">
        <v>44561</v>
      </c>
      <c r="C911">
        <v>14</v>
      </c>
      <c r="D911" t="str">
        <f>"5456"</f>
        <v>5456</v>
      </c>
      <c r="E911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911" t="str">
        <f>""</f>
        <v/>
      </c>
      <c r="G911" t="str">
        <f>""</f>
        <v/>
      </c>
      <c r="H911" t="str">
        <f>""</f>
        <v/>
      </c>
      <c r="I911" s="2">
        <v>3446084</v>
      </c>
    </row>
    <row r="912" spans="1:9" x14ac:dyDescent="0.25">
      <c r="A912">
        <v>911</v>
      </c>
      <c r="B912" s="1">
        <v>44561</v>
      </c>
      <c r="C912">
        <v>14</v>
      </c>
      <c r="D912" t="str">
        <f>"5457"</f>
        <v>5457</v>
      </c>
      <c r="E912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912" t="str">
        <f>""</f>
        <v/>
      </c>
      <c r="G912" t="str">
        <f>""</f>
        <v/>
      </c>
      <c r="H912" t="str">
        <f>""</f>
        <v/>
      </c>
      <c r="I912" s="2">
        <v>1498535192</v>
      </c>
    </row>
    <row r="913" spans="1:9" x14ac:dyDescent="0.25">
      <c r="A913">
        <v>912</v>
      </c>
      <c r="B913" s="1">
        <v>44561</v>
      </c>
      <c r="C913">
        <v>14</v>
      </c>
      <c r="D913" t="str">
        <f>"5458"</f>
        <v>5458</v>
      </c>
      <c r="E913" t="str">
        <f>"Расходы на формирование резервов (провизий) по прочей банковской деятельности"</f>
        <v>Расходы на формирование резервов (провизий) по прочей банковской деятельности</v>
      </c>
      <c r="F913" t="str">
        <f>""</f>
        <v/>
      </c>
      <c r="G913" t="str">
        <f>""</f>
        <v/>
      </c>
      <c r="H913" t="str">
        <f>""</f>
        <v/>
      </c>
      <c r="I913" s="2">
        <v>1792088116</v>
      </c>
    </row>
    <row r="914" spans="1:9" x14ac:dyDescent="0.25">
      <c r="A914">
        <v>913</v>
      </c>
      <c r="B914" s="1">
        <v>44561</v>
      </c>
      <c r="C914">
        <v>14</v>
      </c>
      <c r="D914" t="str">
        <f>"5459"</f>
        <v>5459</v>
      </c>
      <c r="E914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914" t="str">
        <f>""</f>
        <v/>
      </c>
      <c r="G914" t="str">
        <f>""</f>
        <v/>
      </c>
      <c r="H914" t="str">
        <f>""</f>
        <v/>
      </c>
      <c r="I914" s="2">
        <v>35020869751</v>
      </c>
    </row>
    <row r="915" spans="1:9" x14ac:dyDescent="0.25">
      <c r="A915">
        <v>914</v>
      </c>
      <c r="B915" s="1">
        <v>44561</v>
      </c>
      <c r="C915">
        <v>14</v>
      </c>
      <c r="D915" t="str">
        <f>"5461"</f>
        <v>5461</v>
      </c>
      <c r="E915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F915" t="str">
        <f>""</f>
        <v/>
      </c>
      <c r="G915" t="str">
        <f>""</f>
        <v/>
      </c>
      <c r="H915" t="str">
        <f>""</f>
        <v/>
      </c>
      <c r="I915" s="2">
        <v>295673317360</v>
      </c>
    </row>
    <row r="916" spans="1:9" x14ac:dyDescent="0.25">
      <c r="A916">
        <v>915</v>
      </c>
      <c r="B916" s="1">
        <v>44561</v>
      </c>
      <c r="C916">
        <v>14</v>
      </c>
      <c r="D916" t="str">
        <f>"5462"</f>
        <v>5462</v>
      </c>
      <c r="E916" t="str">
        <f>"Расходы на формирование резервов (провизий) по инвестициям в субординированный долг"</f>
        <v>Расходы на формирование резервов (провизий) по инвестициям в субординированный долг</v>
      </c>
      <c r="F916" t="str">
        <f>""</f>
        <v/>
      </c>
      <c r="G916" t="str">
        <f>""</f>
        <v/>
      </c>
      <c r="H916" t="str">
        <f>""</f>
        <v/>
      </c>
      <c r="I916" s="2">
        <v>149881606</v>
      </c>
    </row>
    <row r="917" spans="1:9" x14ac:dyDescent="0.25">
      <c r="A917">
        <v>916</v>
      </c>
      <c r="B917" s="1">
        <v>44561</v>
      </c>
      <c r="C917">
        <v>14</v>
      </c>
      <c r="D917" t="str">
        <f>"5464"</f>
        <v>5464</v>
      </c>
      <c r="E917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917" t="str">
        <f>""</f>
        <v/>
      </c>
      <c r="G917" t="str">
        <f>""</f>
        <v/>
      </c>
      <c r="H917" t="str">
        <f>""</f>
        <v/>
      </c>
      <c r="I917" s="2">
        <v>926936848</v>
      </c>
    </row>
    <row r="918" spans="1:9" x14ac:dyDescent="0.25">
      <c r="A918">
        <v>917</v>
      </c>
      <c r="B918" s="1">
        <v>44561</v>
      </c>
      <c r="C918">
        <v>14</v>
      </c>
      <c r="D918" t="str">
        <f>"5465"</f>
        <v>5465</v>
      </c>
      <c r="E918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918" t="str">
        <f>""</f>
        <v/>
      </c>
      <c r="G918" t="str">
        <f>""</f>
        <v/>
      </c>
      <c r="H918" t="str">
        <f>""</f>
        <v/>
      </c>
      <c r="I918" s="2">
        <v>27407647383</v>
      </c>
    </row>
    <row r="919" spans="1:9" x14ac:dyDescent="0.25">
      <c r="A919">
        <v>918</v>
      </c>
      <c r="B919" s="1">
        <v>44561</v>
      </c>
      <c r="C919">
        <v>14</v>
      </c>
      <c r="D919" t="str">
        <f>"5469"</f>
        <v>5469</v>
      </c>
      <c r="E919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919" t="str">
        <f>""</f>
        <v/>
      </c>
      <c r="G919" t="str">
        <f>""</f>
        <v/>
      </c>
      <c r="H919" t="str">
        <f>""</f>
        <v/>
      </c>
      <c r="I919" s="2">
        <v>4000050</v>
      </c>
    </row>
    <row r="920" spans="1:9" x14ac:dyDescent="0.25">
      <c r="A920">
        <v>919</v>
      </c>
      <c r="B920" s="1">
        <v>44561</v>
      </c>
      <c r="C920">
        <v>14</v>
      </c>
      <c r="D920" t="str">
        <f>"5510"</f>
        <v>5510</v>
      </c>
      <c r="E920" t="str">
        <f>"Расходы по купле-продаже ценных бумаг"</f>
        <v>Расходы по купле-продаже ценных бумаг</v>
      </c>
      <c r="F920" t="str">
        <f>""</f>
        <v/>
      </c>
      <c r="G920" t="str">
        <f>""</f>
        <v/>
      </c>
      <c r="H920" t="str">
        <f>""</f>
        <v/>
      </c>
      <c r="I920" s="2">
        <v>127390</v>
      </c>
    </row>
    <row r="921" spans="1:9" x14ac:dyDescent="0.25">
      <c r="A921">
        <v>920</v>
      </c>
      <c r="B921" s="1">
        <v>44561</v>
      </c>
      <c r="C921">
        <v>14</v>
      </c>
      <c r="D921" t="str">
        <f>"5530"</f>
        <v>5530</v>
      </c>
      <c r="E921" t="str">
        <f>"Расходы по купле-продаже иностранной валюты"</f>
        <v>Расходы по купле-продаже иностранной валюты</v>
      </c>
      <c r="F921" t="str">
        <f>""</f>
        <v/>
      </c>
      <c r="G921" t="str">
        <f>""</f>
        <v/>
      </c>
      <c r="H921" t="str">
        <f>""</f>
        <v/>
      </c>
      <c r="I921" s="2">
        <v>20359009075</v>
      </c>
    </row>
    <row r="922" spans="1:9" x14ac:dyDescent="0.25">
      <c r="A922">
        <v>921</v>
      </c>
      <c r="B922" s="1">
        <v>44561</v>
      </c>
      <c r="C922">
        <v>14</v>
      </c>
      <c r="D922" t="str">
        <f>"5540"</f>
        <v>5540</v>
      </c>
      <c r="E922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F922" t="str">
        <f>""</f>
        <v/>
      </c>
      <c r="G922" t="str">
        <f>""</f>
        <v/>
      </c>
      <c r="H922" t="str">
        <f>""</f>
        <v/>
      </c>
      <c r="I922" s="2">
        <v>5552086293</v>
      </c>
    </row>
    <row r="923" spans="1:9" x14ac:dyDescent="0.25">
      <c r="A923">
        <v>922</v>
      </c>
      <c r="B923" s="1">
        <v>44561</v>
      </c>
      <c r="C923">
        <v>14</v>
      </c>
      <c r="D923" t="str">
        <f>"5570"</f>
        <v>5570</v>
      </c>
      <c r="E923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923" t="str">
        <f>""</f>
        <v/>
      </c>
      <c r="G923" t="str">
        <f>""</f>
        <v/>
      </c>
      <c r="H923" t="str">
        <f>""</f>
        <v/>
      </c>
      <c r="I923" s="2">
        <v>499481456</v>
      </c>
    </row>
    <row r="924" spans="1:9" x14ac:dyDescent="0.25">
      <c r="A924">
        <v>923</v>
      </c>
      <c r="B924" s="1">
        <v>44561</v>
      </c>
      <c r="C924">
        <v>14</v>
      </c>
      <c r="D924" t="str">
        <f>"5593"</f>
        <v>5593</v>
      </c>
      <c r="E924" t="str">
        <f>"Расходы от переоценки операций своп"</f>
        <v>Расходы от переоценки операций своп</v>
      </c>
      <c r="F924" t="str">
        <f>""</f>
        <v/>
      </c>
      <c r="G924" t="str">
        <f>""</f>
        <v/>
      </c>
      <c r="H924" t="str">
        <f>""</f>
        <v/>
      </c>
      <c r="I924" s="2">
        <v>45045263699</v>
      </c>
    </row>
    <row r="925" spans="1:9" x14ac:dyDescent="0.25">
      <c r="A925">
        <v>924</v>
      </c>
      <c r="B925" s="1">
        <v>44561</v>
      </c>
      <c r="C925">
        <v>14</v>
      </c>
      <c r="D925" t="str">
        <f>"5601"</f>
        <v>5601</v>
      </c>
      <c r="E925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925" t="str">
        <f>""</f>
        <v/>
      </c>
      <c r="G925" t="str">
        <f>""</f>
        <v/>
      </c>
      <c r="H925" t="str">
        <f>""</f>
        <v/>
      </c>
      <c r="I925" s="2">
        <v>3866312464</v>
      </c>
    </row>
    <row r="926" spans="1:9" x14ac:dyDescent="0.25">
      <c r="A926">
        <v>925</v>
      </c>
      <c r="B926" s="1">
        <v>44561</v>
      </c>
      <c r="C926">
        <v>14</v>
      </c>
      <c r="D926" t="str">
        <f>"5602"</f>
        <v>5602</v>
      </c>
      <c r="E926" t="str">
        <f>"Комиссионные расходы по полученным агентским услугам"</f>
        <v>Комиссионные расходы по полученным агентским услугам</v>
      </c>
      <c r="F926" t="str">
        <f>""</f>
        <v/>
      </c>
      <c r="G926" t="str">
        <f>""</f>
        <v/>
      </c>
      <c r="H926" t="str">
        <f>""</f>
        <v/>
      </c>
      <c r="I926" s="2">
        <v>612635024</v>
      </c>
    </row>
    <row r="927" spans="1:9" x14ac:dyDescent="0.25">
      <c r="A927">
        <v>926</v>
      </c>
      <c r="B927" s="1">
        <v>44561</v>
      </c>
      <c r="C927">
        <v>14</v>
      </c>
      <c r="D927" t="str">
        <f>"5606"</f>
        <v>5606</v>
      </c>
      <c r="E927" t="str">
        <f>"Комиссионные расходы по полученным услугам по гарантиям"</f>
        <v>Комиссионные расходы по полученным услугам по гарантиям</v>
      </c>
      <c r="F927" t="str">
        <f>""</f>
        <v/>
      </c>
      <c r="G927" t="str">
        <f>""</f>
        <v/>
      </c>
      <c r="H927" t="str">
        <f>""</f>
        <v/>
      </c>
      <c r="I927" s="2">
        <v>3164104</v>
      </c>
    </row>
    <row r="928" spans="1:9" x14ac:dyDescent="0.25">
      <c r="A928">
        <v>927</v>
      </c>
      <c r="B928" s="1">
        <v>44561</v>
      </c>
      <c r="C928">
        <v>14</v>
      </c>
      <c r="D928" t="str">
        <f>"5608"</f>
        <v>5608</v>
      </c>
      <c r="E928" t="str">
        <f>"Прочие комиссионные расходы"</f>
        <v>Прочие комиссионные расходы</v>
      </c>
      <c r="F928" t="str">
        <f>""</f>
        <v/>
      </c>
      <c r="G928" t="str">
        <f>""</f>
        <v/>
      </c>
      <c r="H928" t="str">
        <f>""</f>
        <v/>
      </c>
      <c r="I928" s="2">
        <v>58813740743</v>
      </c>
    </row>
    <row r="929" spans="1:9" x14ac:dyDescent="0.25">
      <c r="A929">
        <v>928</v>
      </c>
      <c r="B929" s="1">
        <v>44561</v>
      </c>
      <c r="C929">
        <v>14</v>
      </c>
      <c r="D929" t="str">
        <f>"5609"</f>
        <v>5609</v>
      </c>
      <c r="E929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929" t="str">
        <f>""</f>
        <v/>
      </c>
      <c r="G929" t="str">
        <f>""</f>
        <v/>
      </c>
      <c r="H929" t="str">
        <f>""</f>
        <v/>
      </c>
      <c r="I929" s="2">
        <v>390485712</v>
      </c>
    </row>
    <row r="930" spans="1:9" x14ac:dyDescent="0.25">
      <c r="A930">
        <v>929</v>
      </c>
      <c r="B930" s="1">
        <v>44561</v>
      </c>
      <c r="C930">
        <v>14</v>
      </c>
      <c r="D930" t="str">
        <f>"5611"</f>
        <v>5611</v>
      </c>
      <c r="E930" t="str">
        <f>"Комиссионные расходы за услуги по кассовым операциям"</f>
        <v>Комиссионные расходы за услуги по кассовым операциям</v>
      </c>
      <c r="F930" t="str">
        <f>""</f>
        <v/>
      </c>
      <c r="G930" t="str">
        <f>""</f>
        <v/>
      </c>
      <c r="H930" t="str">
        <f>""</f>
        <v/>
      </c>
      <c r="I930" s="2">
        <v>853154157</v>
      </c>
    </row>
    <row r="931" spans="1:9" x14ac:dyDescent="0.25">
      <c r="A931">
        <v>930</v>
      </c>
      <c r="B931" s="1">
        <v>44561</v>
      </c>
      <c r="C931">
        <v>14</v>
      </c>
      <c r="D931" t="str">
        <f>"5703"</f>
        <v>5703</v>
      </c>
      <c r="E931" t="str">
        <f>"Расходы от переоценки иностранной валюты"</f>
        <v>Расходы от переоценки иностранной валюты</v>
      </c>
      <c r="F931" t="str">
        <f>""</f>
        <v/>
      </c>
      <c r="G931" t="str">
        <f>""</f>
        <v/>
      </c>
      <c r="H931" t="str">
        <f>""</f>
        <v/>
      </c>
      <c r="I931" s="2">
        <v>9619183291504</v>
      </c>
    </row>
    <row r="932" spans="1:9" x14ac:dyDescent="0.25">
      <c r="A932">
        <v>931</v>
      </c>
      <c r="B932" s="1">
        <v>44561</v>
      </c>
      <c r="C932">
        <v>14</v>
      </c>
      <c r="D932" t="str">
        <f>"5704"</f>
        <v>5704</v>
      </c>
      <c r="E932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F932" t="str">
        <f>""</f>
        <v/>
      </c>
      <c r="G932" t="str">
        <f>""</f>
        <v/>
      </c>
      <c r="H932" t="str">
        <f>""</f>
        <v/>
      </c>
      <c r="I932" s="2">
        <v>65600265727</v>
      </c>
    </row>
    <row r="933" spans="1:9" x14ac:dyDescent="0.25">
      <c r="A933">
        <v>932</v>
      </c>
      <c r="B933" s="1">
        <v>44561</v>
      </c>
      <c r="C933">
        <v>14</v>
      </c>
      <c r="D933" t="str">
        <f>"5711"</f>
        <v>5711</v>
      </c>
      <c r="E933" t="str">
        <f>"Расходы от обесценения основных средств и активов в форме права пользования"</f>
        <v>Расходы от обесценения основных средств и активов в форме права пользования</v>
      </c>
      <c r="F933" t="str">
        <f>""</f>
        <v/>
      </c>
      <c r="G933" t="str">
        <f>""</f>
        <v/>
      </c>
      <c r="H933" t="str">
        <f>""</f>
        <v/>
      </c>
      <c r="I933" s="2">
        <v>813466</v>
      </c>
    </row>
    <row r="934" spans="1:9" x14ac:dyDescent="0.25">
      <c r="A934">
        <v>933</v>
      </c>
      <c r="B934" s="1">
        <v>44561</v>
      </c>
      <c r="C934">
        <v>14</v>
      </c>
      <c r="D934" t="str">
        <f>"5713"</f>
        <v>5713</v>
      </c>
      <c r="E934" t="str">
        <f>"Расходы от обесценения инвестиций, вложенных в уставный капитал других юридических лиц"</f>
        <v>Расходы от обесценения инвестиций, вложенных в уставный капитал других юридических лиц</v>
      </c>
      <c r="F934" t="str">
        <f>""</f>
        <v/>
      </c>
      <c r="G934" t="str">
        <f>""</f>
        <v/>
      </c>
      <c r="H934" t="str">
        <f>""</f>
        <v/>
      </c>
      <c r="I934" s="2">
        <v>1951230000</v>
      </c>
    </row>
    <row r="935" spans="1:9" x14ac:dyDescent="0.25">
      <c r="A935">
        <v>934</v>
      </c>
      <c r="B935" s="1">
        <v>44561</v>
      </c>
      <c r="C935">
        <v>14</v>
      </c>
      <c r="D935" t="str">
        <f>"5721"</f>
        <v>5721</v>
      </c>
      <c r="E935" t="str">
        <f>"Расходы по оплате труда"</f>
        <v>Расходы по оплате труда</v>
      </c>
      <c r="F935" t="str">
        <f>""</f>
        <v/>
      </c>
      <c r="G935" t="str">
        <f>""</f>
        <v/>
      </c>
      <c r="H935" t="str">
        <f>""</f>
        <v/>
      </c>
      <c r="I935" s="2">
        <v>63611444109</v>
      </c>
    </row>
    <row r="936" spans="1:9" x14ac:dyDescent="0.25">
      <c r="A936">
        <v>935</v>
      </c>
      <c r="B936" s="1">
        <v>44561</v>
      </c>
      <c r="C936">
        <v>14</v>
      </c>
      <c r="D936" t="str">
        <f>"5722"</f>
        <v>5722</v>
      </c>
      <c r="E936" t="str">
        <f>"Социальные отчисления"</f>
        <v>Социальные отчисления</v>
      </c>
      <c r="F936" t="str">
        <f>""</f>
        <v/>
      </c>
      <c r="G936" t="str">
        <f>""</f>
        <v/>
      </c>
      <c r="H936" t="str">
        <f>""</f>
        <v/>
      </c>
      <c r="I936" s="2">
        <v>1900825647</v>
      </c>
    </row>
    <row r="937" spans="1:9" x14ac:dyDescent="0.25">
      <c r="A937">
        <v>936</v>
      </c>
      <c r="B937" s="1">
        <v>44561</v>
      </c>
      <c r="C937">
        <v>14</v>
      </c>
      <c r="D937" t="str">
        <f>"5729"</f>
        <v>5729</v>
      </c>
      <c r="E937" t="str">
        <f>"Прочие выплаты"</f>
        <v>Прочие выплаты</v>
      </c>
      <c r="F937" t="str">
        <f>""</f>
        <v/>
      </c>
      <c r="G937" t="str">
        <f>""</f>
        <v/>
      </c>
      <c r="H937" t="str">
        <f>""</f>
        <v/>
      </c>
      <c r="I937" s="2">
        <v>531479211</v>
      </c>
    </row>
    <row r="938" spans="1:9" x14ac:dyDescent="0.25">
      <c r="A938">
        <v>937</v>
      </c>
      <c r="B938" s="1">
        <v>44561</v>
      </c>
      <c r="C938">
        <v>14</v>
      </c>
      <c r="D938" t="str">
        <f>"5733"</f>
        <v>5733</v>
      </c>
      <c r="E938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938" t="str">
        <f>""</f>
        <v/>
      </c>
      <c r="G938" t="str">
        <f>""</f>
        <v/>
      </c>
      <c r="H938" t="str">
        <f>""</f>
        <v/>
      </c>
      <c r="I938" s="2">
        <v>19890802</v>
      </c>
    </row>
    <row r="939" spans="1:9" x14ac:dyDescent="0.25">
      <c r="A939">
        <v>938</v>
      </c>
      <c r="B939" s="1">
        <v>44561</v>
      </c>
      <c r="C939">
        <v>14</v>
      </c>
      <c r="D939" t="str">
        <f>"5741"</f>
        <v>5741</v>
      </c>
      <c r="E939" t="str">
        <f>"Транспортные расходы"</f>
        <v>Транспортные расходы</v>
      </c>
      <c r="F939" t="str">
        <f>""</f>
        <v/>
      </c>
      <c r="G939" t="str">
        <f>""</f>
        <v/>
      </c>
      <c r="H939" t="str">
        <f>""</f>
        <v/>
      </c>
      <c r="I939" s="2">
        <v>151489807</v>
      </c>
    </row>
    <row r="940" spans="1:9" x14ac:dyDescent="0.25">
      <c r="A940">
        <v>939</v>
      </c>
      <c r="B940" s="1">
        <v>44561</v>
      </c>
      <c r="C940">
        <v>14</v>
      </c>
      <c r="D940" t="str">
        <f>"5742"</f>
        <v>5742</v>
      </c>
      <c r="E940" t="str">
        <f>"Административные расходы"</f>
        <v>Административные расходы</v>
      </c>
      <c r="F940" t="str">
        <f>""</f>
        <v/>
      </c>
      <c r="G940" t="str">
        <f>""</f>
        <v/>
      </c>
      <c r="H940" t="str">
        <f>""</f>
        <v/>
      </c>
      <c r="I940" s="2">
        <v>9434511145</v>
      </c>
    </row>
    <row r="941" spans="1:9" x14ac:dyDescent="0.25">
      <c r="A941">
        <v>940</v>
      </c>
      <c r="B941" s="1">
        <v>44561</v>
      </c>
      <c r="C941">
        <v>14</v>
      </c>
      <c r="D941" t="str">
        <f>"5743"</f>
        <v>5743</v>
      </c>
      <c r="E941" t="str">
        <f>"Расходы на инкассацию"</f>
        <v>Расходы на инкассацию</v>
      </c>
      <c r="F941" t="str">
        <f>""</f>
        <v/>
      </c>
      <c r="G941" t="str">
        <f>""</f>
        <v/>
      </c>
      <c r="H941" t="str">
        <f>""</f>
        <v/>
      </c>
      <c r="I941" s="2">
        <v>5649649451</v>
      </c>
    </row>
    <row r="942" spans="1:9" x14ac:dyDescent="0.25">
      <c r="A942">
        <v>941</v>
      </c>
      <c r="B942" s="1">
        <v>44561</v>
      </c>
      <c r="C942">
        <v>14</v>
      </c>
      <c r="D942" t="str">
        <f>"5744"</f>
        <v>5744</v>
      </c>
      <c r="E942" t="str">
        <f>"Расходы на ремонт"</f>
        <v>Расходы на ремонт</v>
      </c>
      <c r="F942" t="str">
        <f>""</f>
        <v/>
      </c>
      <c r="G942" t="str">
        <f>""</f>
        <v/>
      </c>
      <c r="H942" t="str">
        <f>""</f>
        <v/>
      </c>
      <c r="I942" s="2">
        <v>6608647075</v>
      </c>
    </row>
    <row r="943" spans="1:9" x14ac:dyDescent="0.25">
      <c r="A943">
        <v>942</v>
      </c>
      <c r="B943" s="1">
        <v>44561</v>
      </c>
      <c r="C943">
        <v>14</v>
      </c>
      <c r="D943" t="str">
        <f>"5745"</f>
        <v>5745</v>
      </c>
      <c r="E943" t="str">
        <f>"Расходы на рекламу"</f>
        <v>Расходы на рекламу</v>
      </c>
      <c r="F943" t="str">
        <f>""</f>
        <v/>
      </c>
      <c r="G943" t="str">
        <f>""</f>
        <v/>
      </c>
      <c r="H943" t="str">
        <f>""</f>
        <v/>
      </c>
      <c r="I943" s="2">
        <v>18418471660</v>
      </c>
    </row>
    <row r="944" spans="1:9" x14ac:dyDescent="0.25">
      <c r="A944">
        <v>943</v>
      </c>
      <c r="B944" s="1">
        <v>44561</v>
      </c>
      <c r="C944">
        <v>14</v>
      </c>
      <c r="D944" t="str">
        <f>"5746"</f>
        <v>5746</v>
      </c>
      <c r="E944" t="str">
        <f>"Расходы на охрану и сигнализацию"</f>
        <v>Расходы на охрану и сигнализацию</v>
      </c>
      <c r="F944" t="str">
        <f>""</f>
        <v/>
      </c>
      <c r="G944" t="str">
        <f>""</f>
        <v/>
      </c>
      <c r="H944" t="str">
        <f>""</f>
        <v/>
      </c>
      <c r="I944" s="2">
        <v>4540623715</v>
      </c>
    </row>
    <row r="945" spans="1:9" x14ac:dyDescent="0.25">
      <c r="A945">
        <v>944</v>
      </c>
      <c r="B945" s="1">
        <v>44561</v>
      </c>
      <c r="C945">
        <v>14</v>
      </c>
      <c r="D945" t="str">
        <f>"5747"</f>
        <v>5747</v>
      </c>
      <c r="E945" t="str">
        <f>"Представительские расходы"</f>
        <v>Представительские расходы</v>
      </c>
      <c r="F945" t="str">
        <f>""</f>
        <v/>
      </c>
      <c r="G945" t="str">
        <f>""</f>
        <v/>
      </c>
      <c r="H945" t="str">
        <f>""</f>
        <v/>
      </c>
      <c r="I945" s="2">
        <v>114083444</v>
      </c>
    </row>
    <row r="946" spans="1:9" x14ac:dyDescent="0.25">
      <c r="A946">
        <v>945</v>
      </c>
      <c r="B946" s="1">
        <v>44561</v>
      </c>
      <c r="C946">
        <v>14</v>
      </c>
      <c r="D946" t="str">
        <f>"5749"</f>
        <v>5749</v>
      </c>
      <c r="E946" t="str">
        <f>"Расходы на служебные командировки"</f>
        <v>Расходы на служебные командировки</v>
      </c>
      <c r="F946" t="str">
        <f>""</f>
        <v/>
      </c>
      <c r="G946" t="str">
        <f>""</f>
        <v/>
      </c>
      <c r="H946" t="str">
        <f>""</f>
        <v/>
      </c>
      <c r="I946" s="2">
        <v>379705760</v>
      </c>
    </row>
    <row r="947" spans="1:9" x14ac:dyDescent="0.25">
      <c r="A947">
        <v>946</v>
      </c>
      <c r="B947" s="1">
        <v>44561</v>
      </c>
      <c r="C947">
        <v>14</v>
      </c>
      <c r="D947" t="str">
        <f>"5750"</f>
        <v>5750</v>
      </c>
      <c r="E947" t="str">
        <f>"Расходы по аудиту и консультационным услугам"</f>
        <v>Расходы по аудиту и консультационным услугам</v>
      </c>
      <c r="F947" t="str">
        <f>""</f>
        <v/>
      </c>
      <c r="G947" t="str">
        <f>""</f>
        <v/>
      </c>
      <c r="H947" t="str">
        <f>""</f>
        <v/>
      </c>
      <c r="I947" s="2">
        <v>1019676052</v>
      </c>
    </row>
    <row r="948" spans="1:9" x14ac:dyDescent="0.25">
      <c r="A948">
        <v>947</v>
      </c>
      <c r="B948" s="1">
        <v>44561</v>
      </c>
      <c r="C948">
        <v>14</v>
      </c>
      <c r="D948" t="str">
        <f>"5752"</f>
        <v>5752</v>
      </c>
      <c r="E948" t="str">
        <f>"Расходы по страхованию"</f>
        <v>Расходы по страхованию</v>
      </c>
      <c r="F948" t="str">
        <f>""</f>
        <v/>
      </c>
      <c r="G948" t="str">
        <f>""</f>
        <v/>
      </c>
      <c r="H948" t="str">
        <f>""</f>
        <v/>
      </c>
      <c r="I948" s="2">
        <v>925339144</v>
      </c>
    </row>
    <row r="949" spans="1:9" x14ac:dyDescent="0.25">
      <c r="A949">
        <v>948</v>
      </c>
      <c r="B949" s="1">
        <v>44561</v>
      </c>
      <c r="C949">
        <v>14</v>
      </c>
      <c r="D949" t="str">
        <f>"5753"</f>
        <v>5753</v>
      </c>
      <c r="E949" t="str">
        <f>"Расходы по услугам связи"</f>
        <v>Расходы по услугам связи</v>
      </c>
      <c r="F949" t="str">
        <f>""</f>
        <v/>
      </c>
      <c r="G949" t="str">
        <f>""</f>
        <v/>
      </c>
      <c r="H949" t="str">
        <f>""</f>
        <v/>
      </c>
      <c r="I949" s="2">
        <v>5149331528</v>
      </c>
    </row>
    <row r="950" spans="1:9" x14ac:dyDescent="0.25">
      <c r="A950">
        <v>949</v>
      </c>
      <c r="B950" s="1">
        <v>44561</v>
      </c>
      <c r="C950">
        <v>14</v>
      </c>
      <c r="D950" t="str">
        <f>"5754"</f>
        <v>5754</v>
      </c>
      <c r="E950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950" t="str">
        <f>""</f>
        <v/>
      </c>
      <c r="G950" t="str">
        <f>""</f>
        <v/>
      </c>
      <c r="H950" t="str">
        <f>""</f>
        <v/>
      </c>
      <c r="I950" s="2">
        <v>5611416574</v>
      </c>
    </row>
    <row r="951" spans="1:9" x14ac:dyDescent="0.25">
      <c r="A951">
        <v>950</v>
      </c>
      <c r="B951" s="1">
        <v>44561</v>
      </c>
      <c r="C951">
        <v>14</v>
      </c>
      <c r="D951" t="str">
        <f>"5761"</f>
        <v>5761</v>
      </c>
      <c r="E951" t="str">
        <f>"Налог на добавленную стоимость"</f>
        <v>Налог на добавленную стоимость</v>
      </c>
      <c r="F951" t="str">
        <f>""</f>
        <v/>
      </c>
      <c r="G951" t="str">
        <f>""</f>
        <v/>
      </c>
      <c r="H951" t="str">
        <f>""</f>
        <v/>
      </c>
      <c r="I951" s="2">
        <v>4749627604</v>
      </c>
    </row>
    <row r="952" spans="1:9" x14ac:dyDescent="0.25">
      <c r="A952">
        <v>951</v>
      </c>
      <c r="B952" s="1">
        <v>44561</v>
      </c>
      <c r="C952">
        <v>14</v>
      </c>
      <c r="D952" t="str">
        <f>"5763"</f>
        <v>5763</v>
      </c>
      <c r="E952" t="str">
        <f>"Социальный налог"</f>
        <v>Социальный налог</v>
      </c>
      <c r="F952" t="str">
        <f>""</f>
        <v/>
      </c>
      <c r="G952" t="str">
        <f>""</f>
        <v/>
      </c>
      <c r="H952" t="str">
        <f>""</f>
        <v/>
      </c>
      <c r="I952" s="2">
        <v>4385769461</v>
      </c>
    </row>
    <row r="953" spans="1:9" x14ac:dyDescent="0.25">
      <c r="A953">
        <v>952</v>
      </c>
      <c r="B953" s="1">
        <v>44561</v>
      </c>
      <c r="C953">
        <v>14</v>
      </c>
      <c r="D953" t="str">
        <f>"5764"</f>
        <v>5764</v>
      </c>
      <c r="E953" t="str">
        <f>"Земельный налог"</f>
        <v>Земельный налог</v>
      </c>
      <c r="F953" t="str">
        <f>""</f>
        <v/>
      </c>
      <c r="G953" t="str">
        <f>""</f>
        <v/>
      </c>
      <c r="H953" t="str">
        <f>""</f>
        <v/>
      </c>
      <c r="I953" s="2">
        <v>72690950</v>
      </c>
    </row>
    <row r="954" spans="1:9" x14ac:dyDescent="0.25">
      <c r="A954">
        <v>953</v>
      </c>
      <c r="B954" s="1">
        <v>44561</v>
      </c>
      <c r="C954">
        <v>14</v>
      </c>
      <c r="D954" t="str">
        <f>"5765"</f>
        <v>5765</v>
      </c>
      <c r="E954" t="str">
        <f>"Налог на имущество юридических лиц"</f>
        <v>Налог на имущество юридических лиц</v>
      </c>
      <c r="F954" t="str">
        <f>""</f>
        <v/>
      </c>
      <c r="G954" t="str">
        <f>""</f>
        <v/>
      </c>
      <c r="H954" t="str">
        <f>""</f>
        <v/>
      </c>
      <c r="I954" s="2">
        <v>2071208146</v>
      </c>
    </row>
    <row r="955" spans="1:9" x14ac:dyDescent="0.25">
      <c r="A955">
        <v>954</v>
      </c>
      <c r="B955" s="1">
        <v>44561</v>
      </c>
      <c r="C955">
        <v>14</v>
      </c>
      <c r="D955" t="str">
        <f>"5766"</f>
        <v>5766</v>
      </c>
      <c r="E955" t="str">
        <f>"Налог на транспортные средства"</f>
        <v>Налог на транспортные средства</v>
      </c>
      <c r="F955" t="str">
        <f>""</f>
        <v/>
      </c>
      <c r="G955" t="str">
        <f>""</f>
        <v/>
      </c>
      <c r="H955" t="str">
        <f>""</f>
        <v/>
      </c>
      <c r="I955" s="2">
        <v>12804775</v>
      </c>
    </row>
    <row r="956" spans="1:9" x14ac:dyDescent="0.25">
      <c r="A956">
        <v>955</v>
      </c>
      <c r="B956" s="1">
        <v>44561</v>
      </c>
      <c r="C956">
        <v>14</v>
      </c>
      <c r="D956" t="str">
        <f>"5768"</f>
        <v>5768</v>
      </c>
      <c r="E956" t="str">
        <f>"Прочие налоги и обязательные платежи в бюджет"</f>
        <v>Прочие налоги и обязательные платежи в бюджет</v>
      </c>
      <c r="F956" t="str">
        <f>""</f>
        <v/>
      </c>
      <c r="G956" t="str">
        <f>""</f>
        <v/>
      </c>
      <c r="H956" t="str">
        <f>""</f>
        <v/>
      </c>
      <c r="I956" s="2">
        <v>540854806</v>
      </c>
    </row>
    <row r="957" spans="1:9" x14ac:dyDescent="0.25">
      <c r="A957">
        <v>956</v>
      </c>
      <c r="B957" s="1">
        <v>44561</v>
      </c>
      <c r="C957">
        <v>14</v>
      </c>
      <c r="D957" t="str">
        <f>"5781"</f>
        <v>5781</v>
      </c>
      <c r="E957" t="str">
        <f>"Расходы по амортизации зданий и сооружений"</f>
        <v>Расходы по амортизации зданий и сооружений</v>
      </c>
      <c r="F957" t="str">
        <f>""</f>
        <v/>
      </c>
      <c r="G957" t="str">
        <f>""</f>
        <v/>
      </c>
      <c r="H957" t="str">
        <f>""</f>
        <v/>
      </c>
      <c r="I957" s="2">
        <v>1597815858</v>
      </c>
    </row>
    <row r="958" spans="1:9" x14ac:dyDescent="0.25">
      <c r="A958">
        <v>957</v>
      </c>
      <c r="B958" s="1">
        <v>44561</v>
      </c>
      <c r="C958">
        <v>14</v>
      </c>
      <c r="D958" t="str">
        <f>"5782"</f>
        <v>5782</v>
      </c>
      <c r="E958" t="str">
        <f>"Расходы по амортизации компьютерного оборудования"</f>
        <v>Расходы по амортизации компьютерного оборудования</v>
      </c>
      <c r="F958" t="str">
        <f>""</f>
        <v/>
      </c>
      <c r="G958" t="str">
        <f>""</f>
        <v/>
      </c>
      <c r="H958" t="str">
        <f>""</f>
        <v/>
      </c>
      <c r="I958" s="2">
        <v>1932008622</v>
      </c>
    </row>
    <row r="959" spans="1:9" x14ac:dyDescent="0.25">
      <c r="A959">
        <v>958</v>
      </c>
      <c r="B959" s="1">
        <v>44561</v>
      </c>
      <c r="C959">
        <v>14</v>
      </c>
      <c r="D959" t="str">
        <f>"5783"</f>
        <v>5783</v>
      </c>
      <c r="E959" t="str">
        <f>"Расходы по амортизации прочих основных средств"</f>
        <v>Расходы по амортизации прочих основных средств</v>
      </c>
      <c r="F959" t="str">
        <f>""</f>
        <v/>
      </c>
      <c r="G959" t="str">
        <f>""</f>
        <v/>
      </c>
      <c r="H959" t="str">
        <f>""</f>
        <v/>
      </c>
      <c r="I959" s="2">
        <v>4518803764</v>
      </c>
    </row>
    <row r="960" spans="1:9" x14ac:dyDescent="0.25">
      <c r="A960">
        <v>959</v>
      </c>
      <c r="B960" s="1">
        <v>44561</v>
      </c>
      <c r="C960">
        <v>14</v>
      </c>
      <c r="D960" t="str">
        <f>"5784"</f>
        <v>5784</v>
      </c>
      <c r="E960" t="str">
        <f>"Расходы по амортизации активов в форме права пользования"</f>
        <v>Расходы по амортизации активов в форме права пользования</v>
      </c>
      <c r="F960" t="str">
        <f>""</f>
        <v/>
      </c>
      <c r="G960" t="str">
        <f>""</f>
        <v/>
      </c>
      <c r="H960" t="str">
        <f>""</f>
        <v/>
      </c>
      <c r="I960" s="2">
        <v>1179268774</v>
      </c>
    </row>
    <row r="961" spans="1:9" x14ac:dyDescent="0.25">
      <c r="A961">
        <v>960</v>
      </c>
      <c r="B961" s="1">
        <v>44561</v>
      </c>
      <c r="C961">
        <v>14</v>
      </c>
      <c r="D961" t="str">
        <f>"5786"</f>
        <v>5786</v>
      </c>
      <c r="E961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961" t="str">
        <f>""</f>
        <v/>
      </c>
      <c r="G961" t="str">
        <f>""</f>
        <v/>
      </c>
      <c r="H961" t="str">
        <f>""</f>
        <v/>
      </c>
      <c r="I961" s="2">
        <v>4778565</v>
      </c>
    </row>
    <row r="962" spans="1:9" x14ac:dyDescent="0.25">
      <c r="A962">
        <v>961</v>
      </c>
      <c r="B962" s="1">
        <v>44561</v>
      </c>
      <c r="C962">
        <v>14</v>
      </c>
      <c r="D962" t="str">
        <f>"5787"</f>
        <v>5787</v>
      </c>
      <c r="E962" t="str">
        <f>"Расходы по амортизации транспортных средств"</f>
        <v>Расходы по амортизации транспортных средств</v>
      </c>
      <c r="F962" t="str">
        <f>""</f>
        <v/>
      </c>
      <c r="G962" t="str">
        <f>""</f>
        <v/>
      </c>
      <c r="H962" t="str">
        <f>""</f>
        <v/>
      </c>
      <c r="I962" s="2">
        <v>255106799</v>
      </c>
    </row>
    <row r="963" spans="1:9" x14ac:dyDescent="0.25">
      <c r="A963">
        <v>962</v>
      </c>
      <c r="B963" s="1">
        <v>44561</v>
      </c>
      <c r="C963">
        <v>14</v>
      </c>
      <c r="D963" t="str">
        <f>"5788"</f>
        <v>5788</v>
      </c>
      <c r="E963" t="str">
        <f>"Расходы по амортизации нематериальных активов"</f>
        <v>Расходы по амортизации нематериальных активов</v>
      </c>
      <c r="F963" t="str">
        <f>""</f>
        <v/>
      </c>
      <c r="G963" t="str">
        <f>""</f>
        <v/>
      </c>
      <c r="H963" t="str">
        <f>""</f>
        <v/>
      </c>
      <c r="I963" s="2">
        <v>1456062089</v>
      </c>
    </row>
    <row r="964" spans="1:9" x14ac:dyDescent="0.25">
      <c r="A964">
        <v>963</v>
      </c>
      <c r="B964" s="1">
        <v>44561</v>
      </c>
      <c r="C964">
        <v>14</v>
      </c>
      <c r="D964" t="str">
        <f>"5852"</f>
        <v>5852</v>
      </c>
      <c r="E964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964" t="str">
        <f>""</f>
        <v/>
      </c>
      <c r="G964" t="str">
        <f>""</f>
        <v/>
      </c>
      <c r="H964" t="str">
        <f>""</f>
        <v/>
      </c>
      <c r="I964" s="2">
        <v>9316449</v>
      </c>
    </row>
    <row r="965" spans="1:9" x14ac:dyDescent="0.25">
      <c r="A965">
        <v>964</v>
      </c>
      <c r="B965" s="1">
        <v>44561</v>
      </c>
      <c r="C965">
        <v>14</v>
      </c>
      <c r="D965" t="str">
        <f>"5853"</f>
        <v>5853</v>
      </c>
      <c r="E965" t="str">
        <f>"Расходы от безвозмездной передачи основных средств, нематериальных активов и запасов"</f>
        <v>Расходы от безвозмездной передачи основных средств, нематериальных активов и запасов</v>
      </c>
      <c r="F965" t="str">
        <f>""</f>
        <v/>
      </c>
      <c r="G965" t="str">
        <f>""</f>
        <v/>
      </c>
      <c r="H965" t="str">
        <f>""</f>
        <v/>
      </c>
      <c r="I965" s="2">
        <v>253923</v>
      </c>
    </row>
    <row r="966" spans="1:9" x14ac:dyDescent="0.25">
      <c r="A966">
        <v>965</v>
      </c>
      <c r="B966" s="1">
        <v>44561</v>
      </c>
      <c r="C966">
        <v>14</v>
      </c>
      <c r="D966" t="str">
        <f>"5857"</f>
        <v>5857</v>
      </c>
      <c r="E966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F966" t="str">
        <f>""</f>
        <v/>
      </c>
      <c r="G966" t="str">
        <f>""</f>
        <v/>
      </c>
      <c r="H966" t="str">
        <f>""</f>
        <v/>
      </c>
      <c r="I966" s="2">
        <v>28704502193</v>
      </c>
    </row>
    <row r="967" spans="1:9" x14ac:dyDescent="0.25">
      <c r="A967">
        <v>966</v>
      </c>
      <c r="B967" s="1">
        <v>44561</v>
      </c>
      <c r="C967">
        <v>14</v>
      </c>
      <c r="D967" t="str">
        <f>"5892"</f>
        <v>5892</v>
      </c>
      <c r="E967" t="str">
        <f>"Расходы по операциям форвард"</f>
        <v>Расходы по операциям форвард</v>
      </c>
      <c r="F967" t="str">
        <f>""</f>
        <v/>
      </c>
      <c r="G967" t="str">
        <f>""</f>
        <v/>
      </c>
      <c r="H967" t="str">
        <f>""</f>
        <v/>
      </c>
      <c r="I967" s="2">
        <v>442743808</v>
      </c>
    </row>
    <row r="968" spans="1:9" x14ac:dyDescent="0.25">
      <c r="A968">
        <v>967</v>
      </c>
      <c r="B968" s="1">
        <v>44561</v>
      </c>
      <c r="C968">
        <v>14</v>
      </c>
      <c r="D968" t="str">
        <f>"5895"</f>
        <v>5895</v>
      </c>
      <c r="E968" t="str">
        <f>"Расходы по операциям своп"</f>
        <v>Расходы по операциям своп</v>
      </c>
      <c r="F968" t="str">
        <f>""</f>
        <v/>
      </c>
      <c r="G968" t="str">
        <f>""</f>
        <v/>
      </c>
      <c r="H968" t="str">
        <f>""</f>
        <v/>
      </c>
      <c r="I968" s="2">
        <v>38288444996</v>
      </c>
    </row>
    <row r="969" spans="1:9" x14ac:dyDescent="0.25">
      <c r="A969">
        <v>968</v>
      </c>
      <c r="B969" s="1">
        <v>44561</v>
      </c>
      <c r="C969">
        <v>14</v>
      </c>
      <c r="D969" t="str">
        <f>"5900"</f>
        <v>5900</v>
      </c>
      <c r="E969" t="str">
        <f>"Неустойка (штраф, пеня)"</f>
        <v>Неустойка (штраф, пеня)</v>
      </c>
      <c r="F969" t="str">
        <f>""</f>
        <v/>
      </c>
      <c r="G969" t="str">
        <f>""</f>
        <v/>
      </c>
      <c r="H969" t="str">
        <f>""</f>
        <v/>
      </c>
      <c r="I969" s="2">
        <v>1115935</v>
      </c>
    </row>
    <row r="970" spans="1:9" x14ac:dyDescent="0.25">
      <c r="A970">
        <v>969</v>
      </c>
      <c r="B970" s="1">
        <v>44561</v>
      </c>
      <c r="C970">
        <v>14</v>
      </c>
      <c r="D970" t="str">
        <f>"5921"</f>
        <v>5921</v>
      </c>
      <c r="E970" t="str">
        <f>"Прочие расходы от банковской деятельности"</f>
        <v>Прочие расходы от банковской деятельности</v>
      </c>
      <c r="F970" t="str">
        <f>""</f>
        <v/>
      </c>
      <c r="G970" t="str">
        <f>""</f>
        <v/>
      </c>
      <c r="H970" t="str">
        <f>""</f>
        <v/>
      </c>
      <c r="I970" s="2">
        <v>6619126181</v>
      </c>
    </row>
    <row r="971" spans="1:9" x14ac:dyDescent="0.25">
      <c r="A971">
        <v>970</v>
      </c>
      <c r="B971" s="1">
        <v>44561</v>
      </c>
      <c r="C971">
        <v>14</v>
      </c>
      <c r="D971" t="str">
        <f>"5922"</f>
        <v>5922</v>
      </c>
      <c r="E971" t="str">
        <f>"Прочие расходы от неосновной деятельности"</f>
        <v>Прочие расходы от неосновной деятельности</v>
      </c>
      <c r="F971" t="str">
        <f>""</f>
        <v/>
      </c>
      <c r="G971" t="str">
        <f>""</f>
        <v/>
      </c>
      <c r="H971" t="str">
        <f>""</f>
        <v/>
      </c>
      <c r="I971" s="2">
        <v>3666396942</v>
      </c>
    </row>
    <row r="972" spans="1:9" x14ac:dyDescent="0.25">
      <c r="A972">
        <v>971</v>
      </c>
      <c r="B972" s="1">
        <v>44561</v>
      </c>
      <c r="C972">
        <v>14</v>
      </c>
      <c r="D972" t="str">
        <f>"5923"</f>
        <v>5923</v>
      </c>
      <c r="E972" t="str">
        <f>"Расходы по аренде"</f>
        <v>Расходы по аренде</v>
      </c>
      <c r="F972" t="str">
        <f>""</f>
        <v/>
      </c>
      <c r="G972" t="str">
        <f>""</f>
        <v/>
      </c>
      <c r="H972" t="str">
        <f>""</f>
        <v/>
      </c>
      <c r="I972" s="2">
        <v>2535397060</v>
      </c>
    </row>
    <row r="973" spans="1:9" x14ac:dyDescent="0.25">
      <c r="A973">
        <v>972</v>
      </c>
      <c r="B973" s="1">
        <v>44561</v>
      </c>
      <c r="C973">
        <v>14</v>
      </c>
      <c r="D973" t="str">
        <f>"5999"</f>
        <v>5999</v>
      </c>
      <c r="E973" t="str">
        <f>"Корпоративный подоходный налог"</f>
        <v>Корпоративный подоходный налог</v>
      </c>
      <c r="F973" t="str">
        <f>""</f>
        <v/>
      </c>
      <c r="G973" t="str">
        <f>""</f>
        <v/>
      </c>
      <c r="H973" t="str">
        <f>""</f>
        <v/>
      </c>
      <c r="I973" s="2">
        <v>62171331121</v>
      </c>
    </row>
    <row r="974" spans="1:9" x14ac:dyDescent="0.25">
      <c r="A974">
        <v>973</v>
      </c>
      <c r="B974" s="1">
        <v>44561</v>
      </c>
      <c r="C974">
        <v>14</v>
      </c>
      <c r="D974" t="str">
        <f>"6005"</f>
        <v>6005</v>
      </c>
      <c r="E974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974" t="str">
        <f>""</f>
        <v/>
      </c>
      <c r="G974" t="str">
        <f>""</f>
        <v/>
      </c>
      <c r="H974" t="str">
        <f>""</f>
        <v/>
      </c>
      <c r="I974" s="2">
        <v>30121235311</v>
      </c>
    </row>
    <row r="975" spans="1:9" x14ac:dyDescent="0.25">
      <c r="A975">
        <v>974</v>
      </c>
      <c r="B975" s="1">
        <v>44561</v>
      </c>
      <c r="C975">
        <v>14</v>
      </c>
      <c r="D975" t="str">
        <f>"6020"</f>
        <v>6020</v>
      </c>
      <c r="E975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975" t="str">
        <f>""</f>
        <v/>
      </c>
      <c r="G975" t="str">
        <f>""</f>
        <v/>
      </c>
      <c r="H975" t="str">
        <f>""</f>
        <v/>
      </c>
      <c r="I975" s="2">
        <v>33944806394</v>
      </c>
    </row>
    <row r="976" spans="1:9" x14ac:dyDescent="0.25">
      <c r="A976">
        <v>975</v>
      </c>
      <c r="B976" s="1">
        <v>44561</v>
      </c>
      <c r="C976">
        <v>14</v>
      </c>
      <c r="D976" t="str">
        <f>"6055"</f>
        <v>6055</v>
      </c>
      <c r="E976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976" t="str">
        <f>""</f>
        <v/>
      </c>
      <c r="G976" t="str">
        <f>""</f>
        <v/>
      </c>
      <c r="H976" t="str">
        <f>""</f>
        <v/>
      </c>
      <c r="I976" s="2">
        <v>587040614162</v>
      </c>
    </row>
    <row r="977" spans="1:9" x14ac:dyDescent="0.25">
      <c r="A977">
        <v>976</v>
      </c>
      <c r="B977" s="1">
        <v>44561</v>
      </c>
      <c r="C977">
        <v>14</v>
      </c>
      <c r="D977" t="str">
        <f>"6075"</f>
        <v>6075</v>
      </c>
      <c r="E977" t="str">
        <f>"Возможные требования по принятым гарантиям"</f>
        <v>Возможные требования по принятым гарантиям</v>
      </c>
      <c r="F977" t="str">
        <f>""</f>
        <v/>
      </c>
      <c r="G977" t="str">
        <f>""</f>
        <v/>
      </c>
      <c r="H977" t="str">
        <f>""</f>
        <v/>
      </c>
      <c r="I977" s="2">
        <v>16424559175837</v>
      </c>
    </row>
    <row r="978" spans="1:9" x14ac:dyDescent="0.25">
      <c r="A978">
        <v>977</v>
      </c>
      <c r="B978" s="1">
        <v>44561</v>
      </c>
      <c r="C978">
        <v>14</v>
      </c>
      <c r="D978" t="str">
        <f>"6125"</f>
        <v>6125</v>
      </c>
      <c r="E978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978" t="str">
        <f>""</f>
        <v/>
      </c>
      <c r="G978" t="str">
        <f>""</f>
        <v/>
      </c>
      <c r="H978" t="str">
        <f>""</f>
        <v/>
      </c>
      <c r="I978" s="2">
        <v>44374074015</v>
      </c>
    </row>
    <row r="979" spans="1:9" x14ac:dyDescent="0.25">
      <c r="A979">
        <v>978</v>
      </c>
      <c r="B979" s="1">
        <v>44561</v>
      </c>
      <c r="C979">
        <v>14</v>
      </c>
      <c r="D979" t="str">
        <f>"6126"</f>
        <v>6126</v>
      </c>
      <c r="E979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979" t="str">
        <f>""</f>
        <v/>
      </c>
      <c r="G979" t="str">
        <f>""</f>
        <v/>
      </c>
      <c r="H979" t="str">
        <f>""</f>
        <v/>
      </c>
      <c r="I979" s="2">
        <v>1852974883823</v>
      </c>
    </row>
    <row r="980" spans="1:9" x14ac:dyDescent="0.25">
      <c r="A980">
        <v>979</v>
      </c>
      <c r="B980" s="1">
        <v>44561</v>
      </c>
      <c r="C980">
        <v>14</v>
      </c>
      <c r="D980" t="str">
        <f>"6130"</f>
        <v>6130</v>
      </c>
      <c r="E980" t="str">
        <f>"Неподвижные вклады клиентов"</f>
        <v>Неподвижные вклады клиентов</v>
      </c>
      <c r="F980" t="str">
        <f>""</f>
        <v/>
      </c>
      <c r="G980" t="str">
        <f>""</f>
        <v/>
      </c>
      <c r="H980" t="str">
        <f>""</f>
        <v/>
      </c>
      <c r="I980" s="2">
        <v>6399039817</v>
      </c>
    </row>
    <row r="981" spans="1:9" x14ac:dyDescent="0.25">
      <c r="A981">
        <v>980</v>
      </c>
      <c r="B981" s="1">
        <v>44561</v>
      </c>
      <c r="C981">
        <v>14</v>
      </c>
      <c r="D981" t="str">
        <f>"6305"</f>
        <v>6305</v>
      </c>
      <c r="E981" t="str">
        <f>"Условные требования по продаже ценных бумаг"</f>
        <v>Условные требования по продаже ценных бумаг</v>
      </c>
      <c r="F981" t="str">
        <f>""</f>
        <v/>
      </c>
      <c r="G981" t="str">
        <f>""</f>
        <v/>
      </c>
      <c r="H981" t="str">
        <f>""</f>
        <v/>
      </c>
      <c r="I981" s="2">
        <v>1036181</v>
      </c>
    </row>
    <row r="982" spans="1:9" x14ac:dyDescent="0.25">
      <c r="A982">
        <v>981</v>
      </c>
      <c r="B982" s="1">
        <v>44561</v>
      </c>
      <c r="C982">
        <v>14</v>
      </c>
      <c r="D982" t="str">
        <f>"6405"</f>
        <v>6405</v>
      </c>
      <c r="E982" t="str">
        <f>"Условные требования по купле-продаже иностранной валюты"</f>
        <v>Условные требования по купле-продаже иностранной валюты</v>
      </c>
      <c r="F982" t="str">
        <f>""</f>
        <v/>
      </c>
      <c r="G982" t="str">
        <f>""</f>
        <v/>
      </c>
      <c r="H982" t="str">
        <f>""</f>
        <v/>
      </c>
      <c r="I982" s="2">
        <v>299608273413</v>
      </c>
    </row>
    <row r="983" spans="1:9" x14ac:dyDescent="0.25">
      <c r="A983">
        <v>982</v>
      </c>
      <c r="B983" s="1">
        <v>44561</v>
      </c>
      <c r="C983">
        <v>14</v>
      </c>
      <c r="D983" t="str">
        <f>"6505"</f>
        <v>6505</v>
      </c>
      <c r="E983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983" t="str">
        <f>""</f>
        <v/>
      </c>
      <c r="G983" t="str">
        <f>""</f>
        <v/>
      </c>
      <c r="H983" t="str">
        <f>""</f>
        <v/>
      </c>
      <c r="I983" s="2">
        <v>30121235311</v>
      </c>
    </row>
    <row r="984" spans="1:9" x14ac:dyDescent="0.25">
      <c r="A984">
        <v>983</v>
      </c>
      <c r="B984" s="1">
        <v>44561</v>
      </c>
      <c r="C984">
        <v>14</v>
      </c>
      <c r="D984" t="str">
        <f>"6520"</f>
        <v>6520</v>
      </c>
      <c r="E984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984" t="str">
        <f>""</f>
        <v/>
      </c>
      <c r="G984" t="str">
        <f>""</f>
        <v/>
      </c>
      <c r="H984" t="str">
        <f>""</f>
        <v/>
      </c>
      <c r="I984" s="2">
        <v>33944806394</v>
      </c>
    </row>
    <row r="985" spans="1:9" x14ac:dyDescent="0.25">
      <c r="A985">
        <v>984</v>
      </c>
      <c r="B985" s="1">
        <v>44561</v>
      </c>
      <c r="C985">
        <v>14</v>
      </c>
      <c r="D985" t="str">
        <f>"6555"</f>
        <v>6555</v>
      </c>
      <c r="E985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985" t="str">
        <f>""</f>
        <v/>
      </c>
      <c r="G985" t="str">
        <f>""</f>
        <v/>
      </c>
      <c r="H985" t="str">
        <f>""</f>
        <v/>
      </c>
      <c r="I985" s="2">
        <v>587040614162</v>
      </c>
    </row>
    <row r="986" spans="1:9" x14ac:dyDescent="0.25">
      <c r="A986">
        <v>985</v>
      </c>
      <c r="B986" s="1">
        <v>44561</v>
      </c>
      <c r="C986">
        <v>14</v>
      </c>
      <c r="D986" t="str">
        <f>"6575"</f>
        <v>6575</v>
      </c>
      <c r="E986" t="str">
        <f>"Возможное уменьшение требований по принятым гарантиям"</f>
        <v>Возможное уменьшение требований по принятым гарантиям</v>
      </c>
      <c r="F986" t="str">
        <f>""</f>
        <v/>
      </c>
      <c r="G986" t="str">
        <f>""</f>
        <v/>
      </c>
      <c r="H986" t="str">
        <f>""</f>
        <v/>
      </c>
      <c r="I986" s="2">
        <v>16424559175837</v>
      </c>
    </row>
    <row r="987" spans="1:9" x14ac:dyDescent="0.25">
      <c r="A987">
        <v>986</v>
      </c>
      <c r="B987" s="1">
        <v>44561</v>
      </c>
      <c r="C987">
        <v>14</v>
      </c>
      <c r="D987" t="str">
        <f>"6625"</f>
        <v>6625</v>
      </c>
      <c r="E987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987" t="str">
        <f>""</f>
        <v/>
      </c>
      <c r="G987" t="str">
        <f>""</f>
        <v/>
      </c>
      <c r="H987" t="str">
        <f>""</f>
        <v/>
      </c>
      <c r="I987" s="2">
        <v>44374074015</v>
      </c>
    </row>
    <row r="988" spans="1:9" x14ac:dyDescent="0.25">
      <c r="A988">
        <v>987</v>
      </c>
      <c r="B988" s="1">
        <v>44561</v>
      </c>
      <c r="C988">
        <v>14</v>
      </c>
      <c r="D988" t="str">
        <f>"6626"</f>
        <v>6626</v>
      </c>
      <c r="E988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988" t="str">
        <f>""</f>
        <v/>
      </c>
      <c r="G988" t="str">
        <f>""</f>
        <v/>
      </c>
      <c r="H988" t="str">
        <f>""</f>
        <v/>
      </c>
      <c r="I988" s="2">
        <v>1852974883823</v>
      </c>
    </row>
    <row r="989" spans="1:9" x14ac:dyDescent="0.25">
      <c r="A989">
        <v>988</v>
      </c>
      <c r="B989" s="1">
        <v>44561</v>
      </c>
      <c r="C989">
        <v>14</v>
      </c>
      <c r="D989" t="str">
        <f>"6630"</f>
        <v>6630</v>
      </c>
      <c r="E989" t="str">
        <f>"Обязательства по неподвижным вкладам клиентов"</f>
        <v>Обязательства по неподвижным вкладам клиентов</v>
      </c>
      <c r="F989" t="str">
        <f>""</f>
        <v/>
      </c>
      <c r="G989" t="str">
        <f>""</f>
        <v/>
      </c>
      <c r="H989" t="str">
        <f>""</f>
        <v/>
      </c>
      <c r="I989" s="2">
        <v>6399039817</v>
      </c>
    </row>
    <row r="990" spans="1:9" x14ac:dyDescent="0.25">
      <c r="A990">
        <v>989</v>
      </c>
      <c r="B990" s="1">
        <v>44561</v>
      </c>
      <c r="C990">
        <v>14</v>
      </c>
      <c r="D990" t="str">
        <f>"6805"</f>
        <v>6805</v>
      </c>
      <c r="E990" t="str">
        <f>"Условные обязательства по продаже ценных бумаг"</f>
        <v>Условные обязательства по продаже ценных бумаг</v>
      </c>
      <c r="F990" t="str">
        <f>""</f>
        <v/>
      </c>
      <c r="G990" t="str">
        <f>""</f>
        <v/>
      </c>
      <c r="H990" t="str">
        <f>""</f>
        <v/>
      </c>
      <c r="I990" s="2">
        <v>1036181</v>
      </c>
    </row>
    <row r="991" spans="1:9" x14ac:dyDescent="0.25">
      <c r="A991">
        <v>990</v>
      </c>
      <c r="B991" s="1">
        <v>44561</v>
      </c>
      <c r="C991">
        <v>14</v>
      </c>
      <c r="D991" t="str">
        <f>"6905"</f>
        <v>6905</v>
      </c>
      <c r="E991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991" t="str">
        <f>""</f>
        <v/>
      </c>
      <c r="G991" t="str">
        <f>""</f>
        <v/>
      </c>
      <c r="H991" t="str">
        <f>""</f>
        <v/>
      </c>
      <c r="I991" s="2">
        <v>301433176030</v>
      </c>
    </row>
    <row r="992" spans="1:9" x14ac:dyDescent="0.25">
      <c r="A992">
        <v>991</v>
      </c>
      <c r="B992" s="1">
        <v>44561</v>
      </c>
      <c r="C992">
        <v>14</v>
      </c>
      <c r="D992" t="str">
        <f>"6999"</f>
        <v>6999</v>
      </c>
      <c r="E992" t="str">
        <f>"Позиция по сделкам с иностранной валютой"</f>
        <v>Позиция по сделкам с иностранной валютой</v>
      </c>
      <c r="F992" t="str">
        <f>""</f>
        <v/>
      </c>
      <c r="G992" t="str">
        <f>""</f>
        <v/>
      </c>
      <c r="H992" t="str">
        <f>""</f>
        <v/>
      </c>
      <c r="I992" s="2">
        <v>1824902618</v>
      </c>
    </row>
    <row r="993" spans="1:9" x14ac:dyDescent="0.25">
      <c r="A993">
        <v>992</v>
      </c>
      <c r="B993" s="1">
        <v>44561</v>
      </c>
      <c r="C993">
        <v>14</v>
      </c>
      <c r="D993" t="str">
        <f>"7110"</f>
        <v>7110</v>
      </c>
      <c r="E993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F993" t="str">
        <f>""</f>
        <v/>
      </c>
      <c r="G993" t="str">
        <f>""</f>
        <v/>
      </c>
      <c r="H993" t="str">
        <f>""</f>
        <v/>
      </c>
      <c r="I993" s="2">
        <v>183926889</v>
      </c>
    </row>
    <row r="994" spans="1:9" x14ac:dyDescent="0.25">
      <c r="A994">
        <v>993</v>
      </c>
      <c r="B994" s="1">
        <v>44561</v>
      </c>
      <c r="C994">
        <v>14</v>
      </c>
      <c r="D994" t="str">
        <f>"7115"</f>
        <v>7115</v>
      </c>
      <c r="E994" t="str">
        <f>"Основные средства, реализуемые с рассрочкой платежа"</f>
        <v>Основные средства, реализуемые с рассрочкой платежа</v>
      </c>
      <c r="F994" t="str">
        <f>""</f>
        <v/>
      </c>
      <c r="G994" t="str">
        <f>""</f>
        <v/>
      </c>
      <c r="H994" t="str">
        <f>""</f>
        <v/>
      </c>
      <c r="I994" s="2">
        <v>32849216562</v>
      </c>
    </row>
    <row r="995" spans="1:9" x14ac:dyDescent="0.25">
      <c r="A995">
        <v>994</v>
      </c>
      <c r="B995" s="1">
        <v>44561</v>
      </c>
      <c r="C995">
        <v>14</v>
      </c>
      <c r="D995" t="str">
        <f>"7220"</f>
        <v>7220</v>
      </c>
      <c r="E995" t="str">
        <f>"Арендованные активы"</f>
        <v>Арендованные активы</v>
      </c>
      <c r="F995" t="str">
        <f>""</f>
        <v/>
      </c>
      <c r="G995" t="str">
        <f>""</f>
        <v/>
      </c>
      <c r="H995" t="str">
        <f>""</f>
        <v/>
      </c>
      <c r="I995" s="2">
        <v>1795</v>
      </c>
    </row>
    <row r="996" spans="1:9" x14ac:dyDescent="0.25">
      <c r="A996">
        <v>995</v>
      </c>
      <c r="B996" s="1">
        <v>44561</v>
      </c>
      <c r="C996">
        <v>14</v>
      </c>
      <c r="D996" t="str">
        <f>"7240"</f>
        <v>7240</v>
      </c>
      <c r="E996" t="str">
        <f>"Документы и ценности, принятые на инкассо"</f>
        <v>Документы и ценности, принятые на инкассо</v>
      </c>
      <c r="F996" t="str">
        <f>""</f>
        <v/>
      </c>
      <c r="G996" t="str">
        <f>""</f>
        <v/>
      </c>
      <c r="H996" t="str">
        <f>""</f>
        <v/>
      </c>
      <c r="I996" s="2">
        <v>1283570939</v>
      </c>
    </row>
    <row r="997" spans="1:9" x14ac:dyDescent="0.25">
      <c r="A997">
        <v>996</v>
      </c>
      <c r="B997" s="1">
        <v>44561</v>
      </c>
      <c r="C997">
        <v>14</v>
      </c>
      <c r="D997" t="str">
        <f>"7250"</f>
        <v>7250</v>
      </c>
      <c r="E997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997" t="str">
        <f>""</f>
        <v/>
      </c>
      <c r="G997" t="str">
        <f>""</f>
        <v/>
      </c>
      <c r="H997" t="str">
        <f>""</f>
        <v/>
      </c>
      <c r="I997" s="2">
        <v>3698052671542</v>
      </c>
    </row>
    <row r="998" spans="1:9" x14ac:dyDescent="0.25">
      <c r="A998">
        <v>997</v>
      </c>
      <c r="B998" s="1">
        <v>44561</v>
      </c>
      <c r="C998">
        <v>14</v>
      </c>
      <c r="D998" t="str">
        <f>"7303"</f>
        <v>7303</v>
      </c>
      <c r="E998" t="str">
        <f>"Платежные документы, не оплаченные в срок"</f>
        <v>Платежные документы, не оплаченные в срок</v>
      </c>
      <c r="F998" t="str">
        <f>""</f>
        <v/>
      </c>
      <c r="G998" t="str">
        <f>""</f>
        <v/>
      </c>
      <c r="H998" t="str">
        <f>""</f>
        <v/>
      </c>
      <c r="I998" s="2">
        <v>158362177221373</v>
      </c>
    </row>
    <row r="999" spans="1:9" x14ac:dyDescent="0.25">
      <c r="A999">
        <v>998</v>
      </c>
      <c r="B999" s="1">
        <v>44561</v>
      </c>
      <c r="C999">
        <v>14</v>
      </c>
      <c r="D999" t="str">
        <f>"7330"</f>
        <v>7330</v>
      </c>
      <c r="E999" t="str">
        <f>"Займы, обслуживаемые на основе агентских соглашений"</f>
        <v>Займы, обслуживаемые на основе агентских соглашений</v>
      </c>
      <c r="F999" t="str">
        <f>""</f>
        <v/>
      </c>
      <c r="G999" t="str">
        <f>""</f>
        <v/>
      </c>
      <c r="H999" t="str">
        <f>""</f>
        <v/>
      </c>
      <c r="I999" s="2">
        <v>5864476</v>
      </c>
    </row>
    <row r="1000" spans="1:9" x14ac:dyDescent="0.25">
      <c r="A1000">
        <v>999</v>
      </c>
      <c r="B1000" s="1">
        <v>44561</v>
      </c>
      <c r="C1000">
        <v>14</v>
      </c>
      <c r="D1000" t="str">
        <f>"7331"</f>
        <v>7331</v>
      </c>
      <c r="E1000" t="str">
        <f>"Начисленное вознаграждение по агентским займам"</f>
        <v>Начисленное вознаграждение по агентским займам</v>
      </c>
      <c r="F1000" t="str">
        <f>""</f>
        <v/>
      </c>
      <c r="G1000" t="str">
        <f>""</f>
        <v/>
      </c>
      <c r="H1000" t="str">
        <f>""</f>
        <v/>
      </c>
      <c r="I1000" s="2">
        <v>668270</v>
      </c>
    </row>
    <row r="1001" spans="1:9" x14ac:dyDescent="0.25">
      <c r="A1001">
        <v>1000</v>
      </c>
      <c r="B1001" s="1">
        <v>44561</v>
      </c>
      <c r="C1001">
        <v>14</v>
      </c>
      <c r="D1001" t="str">
        <f>"7339"</f>
        <v>7339</v>
      </c>
      <c r="E1001" t="str">
        <f>"Разные ценности и документы"</f>
        <v>Разные ценности и документы</v>
      </c>
      <c r="F1001" t="str">
        <f>""</f>
        <v/>
      </c>
      <c r="G1001" t="str">
        <f>""</f>
        <v/>
      </c>
      <c r="H1001" t="str">
        <f>""</f>
        <v/>
      </c>
      <c r="I1001" s="2">
        <v>5945680925</v>
      </c>
    </row>
    <row r="1002" spans="1:9" x14ac:dyDescent="0.25">
      <c r="A1002">
        <v>1001</v>
      </c>
      <c r="B1002" s="1">
        <v>44561</v>
      </c>
      <c r="C1002">
        <v>14</v>
      </c>
      <c r="D1002" t="str">
        <f>"7342"</f>
        <v>7342</v>
      </c>
      <c r="E1002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1002" t="str">
        <f>""</f>
        <v/>
      </c>
      <c r="G1002" t="str">
        <f>""</f>
        <v/>
      </c>
      <c r="H1002" t="str">
        <f>""</f>
        <v/>
      </c>
      <c r="I1002" s="2">
        <v>53632243</v>
      </c>
    </row>
    <row r="1003" spans="1:9" x14ac:dyDescent="0.25">
      <c r="A1003">
        <v>1002</v>
      </c>
      <c r="B1003" s="1">
        <v>44561</v>
      </c>
      <c r="C1003">
        <v>14</v>
      </c>
      <c r="D1003" t="str">
        <f>"7363"</f>
        <v>7363</v>
      </c>
      <c r="E1003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1003" t="str">
        <f>""</f>
        <v/>
      </c>
      <c r="G1003" t="str">
        <f>""</f>
        <v/>
      </c>
      <c r="H1003" t="str">
        <f>""</f>
        <v/>
      </c>
      <c r="I1003" s="2">
        <v>134757757083</v>
      </c>
    </row>
    <row r="1004" spans="1:9" x14ac:dyDescent="0.25">
      <c r="A1004">
        <v>1003</v>
      </c>
      <c r="B1004" s="1">
        <v>44561</v>
      </c>
      <c r="C1004">
        <v>14</v>
      </c>
      <c r="D1004" t="str">
        <f>"7535"</f>
        <v>7535</v>
      </c>
      <c r="E1004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1004" t="str">
        <f>""</f>
        <v/>
      </c>
      <c r="G1004" t="str">
        <f>""</f>
        <v/>
      </c>
      <c r="H1004" t="str">
        <f>""</f>
        <v/>
      </c>
      <c r="I1004" s="2">
        <v>17939407935</v>
      </c>
    </row>
    <row r="1005" spans="1:9" x14ac:dyDescent="0.25">
      <c r="A1005">
        <v>1004</v>
      </c>
      <c r="B1005" s="1">
        <v>44561</v>
      </c>
      <c r="C1005">
        <v>14</v>
      </c>
      <c r="D1005" t="str">
        <f>"7536"</f>
        <v>7536</v>
      </c>
      <c r="E1005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F1005" t="str">
        <f>""</f>
        <v/>
      </c>
      <c r="G1005" t="str">
        <f>""</f>
        <v/>
      </c>
      <c r="H1005" t="str">
        <f>""</f>
        <v/>
      </c>
      <c r="I1005" s="2">
        <v>83</v>
      </c>
    </row>
    <row r="1006" spans="1:9" x14ac:dyDescent="0.25">
      <c r="A1006">
        <v>1005</v>
      </c>
      <c r="B1006" s="1">
        <v>44561</v>
      </c>
      <c r="C1006">
        <v>14</v>
      </c>
      <c r="D1006" t="str">
        <f>"7543"</f>
        <v>7543</v>
      </c>
      <c r="E1006" t="str">
        <f>"Неустойка (штраф, пеня) по ипотечным займам, права требования по которым приняты в доверительное управление"</f>
        <v>Неустойка (штраф, пеня) по ипотечным займам, права требования по которым приняты в доверительное управление</v>
      </c>
      <c r="F1006" t="str">
        <f>""</f>
        <v/>
      </c>
      <c r="G1006" t="str">
        <f>""</f>
        <v/>
      </c>
      <c r="H1006" t="str">
        <f>""</f>
        <v/>
      </c>
      <c r="I1006" s="2">
        <v>6</v>
      </c>
    </row>
    <row r="1007" spans="1:9" x14ac:dyDescent="0.25">
      <c r="A1007">
        <v>1006</v>
      </c>
      <c r="B1007" s="1">
        <v>44561</v>
      </c>
      <c r="C1007">
        <v>14</v>
      </c>
      <c r="D1007" t="str">
        <f>"7701"</f>
        <v>7701</v>
      </c>
      <c r="E1007" t="str">
        <f>"Ценные бумаги"</f>
        <v>Ценные бумаги</v>
      </c>
      <c r="F1007" t="str">
        <f>""</f>
        <v/>
      </c>
      <c r="G1007" t="str">
        <f>""</f>
        <v/>
      </c>
      <c r="H1007" t="str">
        <f>""</f>
        <v/>
      </c>
      <c r="I1007" s="2">
        <v>124809861249</v>
      </c>
    </row>
    <row r="1008" spans="1:9" x14ac:dyDescent="0.25">
      <c r="A1008">
        <v>1007</v>
      </c>
      <c r="B1008" s="1">
        <v>44561</v>
      </c>
      <c r="C1008">
        <v>14</v>
      </c>
      <c r="D1008" t="str">
        <f>"7702"</f>
        <v>7702</v>
      </c>
      <c r="E1008" t="str">
        <f>"Вклады в других банках"</f>
        <v>Вклады в других банках</v>
      </c>
      <c r="F1008" t="str">
        <f>""</f>
        <v/>
      </c>
      <c r="G1008" t="str">
        <f>""</f>
        <v/>
      </c>
      <c r="H1008" t="str">
        <f>""</f>
        <v/>
      </c>
      <c r="I1008" s="2">
        <v>9472584735</v>
      </c>
    </row>
    <row r="1009" spans="1:9" x14ac:dyDescent="0.25">
      <c r="A1009">
        <v>1008</v>
      </c>
      <c r="B1009" s="1">
        <v>44561</v>
      </c>
      <c r="C1009">
        <v>14</v>
      </c>
      <c r="D1009" t="str">
        <f>"7704"</f>
        <v>7704</v>
      </c>
      <c r="E1009" t="str">
        <f>"Операции «обратное РЕПО»"</f>
        <v>Операции «обратное РЕПО»</v>
      </c>
      <c r="F1009" t="str">
        <f>""</f>
        <v/>
      </c>
      <c r="G1009" t="str">
        <f>""</f>
        <v/>
      </c>
      <c r="H1009" t="str">
        <f>""</f>
        <v/>
      </c>
      <c r="I1009" s="2">
        <v>131620117745</v>
      </c>
    </row>
    <row r="1010" spans="1:9" x14ac:dyDescent="0.25">
      <c r="A1010">
        <v>1009</v>
      </c>
      <c r="B1010" s="1">
        <v>44561</v>
      </c>
      <c r="C1010">
        <v>14</v>
      </c>
      <c r="D1010" t="str">
        <f>"7705"</f>
        <v>7705</v>
      </c>
      <c r="E1010" t="str">
        <f>"Операции «РЕПО»"</f>
        <v>Операции «РЕПО»</v>
      </c>
      <c r="F1010" t="str">
        <f>""</f>
        <v/>
      </c>
      <c r="G1010" t="str">
        <f>""</f>
        <v/>
      </c>
      <c r="H1010" t="str">
        <f>""</f>
        <v/>
      </c>
      <c r="I1010" s="2">
        <v>2006524117</v>
      </c>
    </row>
    <row r="1011" spans="1:9" x14ac:dyDescent="0.25">
      <c r="A1011">
        <v>1010</v>
      </c>
      <c r="B1011" s="1">
        <v>44561</v>
      </c>
      <c r="C1011">
        <v>14</v>
      </c>
      <c r="D1011" t="str">
        <f>"7707"</f>
        <v>7707</v>
      </c>
      <c r="E1011" t="str">
        <f>"Инвестиции в капитал"</f>
        <v>Инвестиции в капитал</v>
      </c>
      <c r="F1011" t="str">
        <f>""</f>
        <v/>
      </c>
      <c r="G1011" t="str">
        <f>""</f>
        <v/>
      </c>
      <c r="H1011" t="str">
        <f>""</f>
        <v/>
      </c>
      <c r="I1011" s="2">
        <v>11070908261</v>
      </c>
    </row>
    <row r="1012" spans="1:9" x14ac:dyDescent="0.25">
      <c r="A1012">
        <v>1011</v>
      </c>
      <c r="B1012" s="1">
        <v>44561</v>
      </c>
      <c r="C1012">
        <v>14</v>
      </c>
      <c r="D1012" t="str">
        <f>"7708"</f>
        <v>7708</v>
      </c>
      <c r="E1012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F1012" t="str">
        <f>""</f>
        <v/>
      </c>
      <c r="G1012" t="str">
        <f>""</f>
        <v/>
      </c>
      <c r="H1012" t="str">
        <f>""</f>
        <v/>
      </c>
      <c r="I1012" s="2">
        <v>131196463888</v>
      </c>
    </row>
    <row r="1013" spans="1:9" x14ac:dyDescent="0.25">
      <c r="A1013">
        <v>1012</v>
      </c>
      <c r="B1013" s="1">
        <v>44561</v>
      </c>
      <c r="C1013">
        <v>14</v>
      </c>
      <c r="D1013" t="str">
        <f>"7710"</f>
        <v>7710</v>
      </c>
      <c r="E1013" t="str">
        <f>"Дивиденды"</f>
        <v>Дивиденды</v>
      </c>
      <c r="F1013" t="str">
        <f>""</f>
        <v/>
      </c>
      <c r="G1013" t="str">
        <f>""</f>
        <v/>
      </c>
      <c r="H1013" t="str">
        <f>""</f>
        <v/>
      </c>
      <c r="I1013" s="2">
        <v>10847</v>
      </c>
    </row>
    <row r="1014" spans="1:9" x14ac:dyDescent="0.25">
      <c r="A1014">
        <v>1013</v>
      </c>
      <c r="B1014" s="1">
        <v>44561</v>
      </c>
      <c r="C1014">
        <v>14</v>
      </c>
      <c r="D1014" t="str">
        <f>"7711"</f>
        <v>7711</v>
      </c>
      <c r="E1014" t="str">
        <f>"Вознаграждение"</f>
        <v>Вознаграждение</v>
      </c>
      <c r="F1014" t="str">
        <f>""</f>
        <v/>
      </c>
      <c r="G1014" t="str">
        <f>""</f>
        <v/>
      </c>
      <c r="H1014" t="str">
        <f>""</f>
        <v/>
      </c>
      <c r="I1014" s="2">
        <v>3086640031</v>
      </c>
    </row>
    <row r="1015" spans="1:9" x14ac:dyDescent="0.25">
      <c r="A1015">
        <v>1014</v>
      </c>
      <c r="B1015" s="1">
        <v>44561</v>
      </c>
      <c r="C1015">
        <v>14</v>
      </c>
      <c r="D1015" t="str">
        <f>"7712"</f>
        <v>7712</v>
      </c>
      <c r="E1015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F1015" t="str">
        <f>""</f>
        <v/>
      </c>
      <c r="G1015" t="str">
        <f>""</f>
        <v/>
      </c>
      <c r="H1015" t="str">
        <f>""</f>
        <v/>
      </c>
      <c r="I1015" s="2">
        <v>8204740</v>
      </c>
    </row>
    <row r="1016" spans="1:9" x14ac:dyDescent="0.25">
      <c r="A1016">
        <v>1015</v>
      </c>
      <c r="B1016" s="1">
        <v>44561</v>
      </c>
      <c r="C1016">
        <v>14</v>
      </c>
      <c r="D1016" t="str">
        <f>"7713"</f>
        <v>7713</v>
      </c>
      <c r="E1016" t="str">
        <f>"Прочие требования"</f>
        <v>Прочие требования</v>
      </c>
      <c r="F1016" t="str">
        <f>""</f>
        <v/>
      </c>
      <c r="G1016" t="str">
        <f>""</f>
        <v/>
      </c>
      <c r="H1016" t="str">
        <f>""</f>
        <v/>
      </c>
      <c r="I1016" s="2">
        <v>10906572936</v>
      </c>
    </row>
    <row r="1019" spans="1:9" ht="48.75" customHeight="1" x14ac:dyDescent="0.25">
      <c r="A1019" s="8" t="s">
        <v>9</v>
      </c>
      <c r="B1019" s="8"/>
      <c r="C1019" s="8"/>
    </row>
    <row r="1020" spans="1:9" ht="48.75" customHeight="1" x14ac:dyDescent="0.25">
      <c r="A1020" s="8" t="s">
        <v>10</v>
      </c>
      <c r="B1020" s="8"/>
      <c r="C1020" s="8"/>
    </row>
    <row r="1021" spans="1:9" ht="48.75" customHeight="1" x14ac:dyDescent="0.25">
      <c r="A1021" s="9"/>
      <c r="B1021" s="10"/>
      <c r="C1021" s="11"/>
    </row>
    <row r="1022" spans="1:9" ht="48.75" customHeight="1" x14ac:dyDescent="0.25">
      <c r="A1022" s="8" t="s">
        <v>11</v>
      </c>
      <c r="B1022" s="8"/>
      <c r="C1022" s="8"/>
    </row>
    <row r="1023" spans="1:9" ht="48.75" customHeight="1" x14ac:dyDescent="0.25">
      <c r="A1023" s="8" t="s">
        <v>12</v>
      </c>
      <c r="B1023" s="8"/>
      <c r="C1023" s="8"/>
    </row>
    <row r="1024" spans="1:9" ht="48.75" customHeight="1" x14ac:dyDescent="0.25">
      <c r="A1024" s="9"/>
      <c r="B1024" s="10"/>
      <c r="C1024" s="11"/>
    </row>
    <row r="1025" spans="1:3" ht="48.75" customHeight="1" x14ac:dyDescent="0.25">
      <c r="A1025" s="8" t="s">
        <v>13</v>
      </c>
      <c r="B1025" s="8"/>
      <c r="C1025" s="8"/>
    </row>
    <row r="1026" spans="1:3" ht="48.75" customHeight="1" x14ac:dyDescent="0.25">
      <c r="A1026" s="8" t="s">
        <v>14</v>
      </c>
      <c r="B1026" s="8"/>
      <c r="C1026" s="8"/>
    </row>
    <row r="1027" spans="1:3" ht="48.75" customHeight="1" x14ac:dyDescent="0.25">
      <c r="A1027" s="9"/>
      <c r="B1027" s="10"/>
      <c r="C1027" s="11"/>
    </row>
    <row r="1028" spans="1:3" ht="48.75" customHeight="1" x14ac:dyDescent="0.25">
      <c r="A1028" s="8" t="s">
        <v>15</v>
      </c>
      <c r="B1028" s="8"/>
      <c r="C1028" s="8"/>
    </row>
    <row r="1029" spans="1:3" ht="48.75" customHeight="1" x14ac:dyDescent="0.25">
      <c r="A1029" s="8" t="s">
        <v>16</v>
      </c>
      <c r="B1029" s="8"/>
      <c r="C1029" s="8"/>
    </row>
    <row r="1030" spans="1:3" x14ac:dyDescent="0.25">
      <c r="A1030" s="5"/>
      <c r="B1030" s="6"/>
      <c r="C1030" s="7"/>
    </row>
  </sheetData>
  <sortState ref="A2:I1016">
    <sortCondition ref="D2:D1016"/>
  </sortState>
  <mergeCells count="8">
    <mergeCell ref="A1028:C1028"/>
    <mergeCell ref="A1029:C1029"/>
    <mergeCell ref="A1019:C1019"/>
    <mergeCell ref="A1020:C1020"/>
    <mergeCell ref="A1022:C1022"/>
    <mergeCell ref="A1023:C1023"/>
    <mergeCell ref="A1025:C1025"/>
    <mergeCell ref="A1026:C1026"/>
  </mergeCells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Молдабаева Мадина</dc:creator>
  <cp:lastModifiedBy>Канлыбаева Камила</cp:lastModifiedBy>
  <dcterms:created xsi:type="dcterms:W3CDTF">2022-01-12T03:09:46Z</dcterms:created>
  <dcterms:modified xsi:type="dcterms:W3CDTF">2022-01-20T06:18:44Z</dcterms:modified>
</cp:coreProperties>
</file>