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antonova\Desktop\Антонова\Отчеты на KASE\на 01102021\На Биржу 09112021 с учетом замечаний\"/>
    </mc:Choice>
  </mc:AlternateContent>
  <xr:revisionPtr revIDLastSave="0" documentId="13_ncr:1_{527EDF36-FE24-4986-BA9D-B62C37258EE9}" xr6:coauthVersionLast="47" xr6:coauthVersionMax="47" xr10:uidLastSave="{00000000-0000-0000-0000-000000000000}"/>
  <bookViews>
    <workbookView xWindow="-120" yWindow="-120" windowWidth="29040" windowHeight="15840" xr2:uid="{02F47899-BA20-4A1C-932C-85372FF83AB0}"/>
  </bookViews>
  <sheets>
    <sheet name="Ф1" sheetId="2" r:id="rId1"/>
    <sheet name="Ф2" sheetId="1" r:id="rId2"/>
    <sheet name="Ф3" sheetId="4" r:id="rId3"/>
    <sheet name="Ф4" sheetId="3" r:id="rId4"/>
  </sheets>
  <externalReferences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C34" i="1"/>
  <c r="D32" i="1"/>
  <c r="C32" i="1"/>
  <c r="D30" i="1"/>
  <c r="C30" i="1"/>
  <c r="D28" i="1"/>
  <c r="C28" i="1"/>
  <c r="D26" i="1"/>
  <c r="C26" i="1"/>
  <c r="D17" i="1"/>
  <c r="D22" i="1"/>
  <c r="D24" i="1" s="1"/>
  <c r="C22" i="1"/>
  <c r="D21" i="1"/>
  <c r="C21" i="1"/>
  <c r="D20" i="1"/>
  <c r="C20" i="1"/>
  <c r="C24" i="1" s="1"/>
  <c r="D19" i="1"/>
  <c r="C19" i="1"/>
  <c r="D18" i="1"/>
  <c r="C18" i="1"/>
  <c r="C17" i="1"/>
  <c r="D16" i="1"/>
  <c r="C16" i="1"/>
  <c r="D15" i="1"/>
  <c r="C15" i="1"/>
  <c r="D14" i="1"/>
  <c r="C14" i="1"/>
  <c r="D12" i="1"/>
  <c r="C12" i="1"/>
  <c r="D10" i="1"/>
  <c r="C10" i="1"/>
  <c r="D9" i="1"/>
  <c r="C9" i="1"/>
  <c r="E12" i="1" l="1"/>
  <c r="F12" i="1"/>
  <c r="E24" i="1" l="1"/>
  <c r="E28" i="1" l="1"/>
  <c r="E32" i="1" s="1"/>
  <c r="F24" i="1"/>
  <c r="F28" i="1" s="1"/>
  <c r="F32" i="1" s="1"/>
  <c r="D52" i="4" l="1"/>
  <c r="D45" i="4"/>
  <c r="D25" i="4"/>
  <c r="L23" i="3"/>
  <c r="L22" i="3"/>
  <c r="L21" i="3"/>
  <c r="L20" i="3"/>
  <c r="L18" i="3"/>
  <c r="H25" i="3"/>
  <c r="J25" i="3"/>
  <c r="D25" i="3"/>
  <c r="F25" i="3"/>
  <c r="J15" i="3"/>
  <c r="D15" i="3"/>
  <c r="F15" i="3"/>
  <c r="H15" i="3"/>
  <c r="L13" i="3"/>
  <c r="L12" i="3"/>
  <c r="L11" i="3"/>
  <c r="L9" i="3"/>
  <c r="D41" i="2"/>
  <c r="C41" i="2"/>
  <c r="D33" i="2"/>
  <c r="D43" i="2" s="1"/>
  <c r="C33" i="2"/>
  <c r="C23" i="2"/>
  <c r="D23" i="2"/>
  <c r="C58" i="4"/>
  <c r="C43" i="4"/>
  <c r="D36" i="4" l="1"/>
  <c r="L25" i="3"/>
  <c r="C43" i="2"/>
  <c r="L15" i="3"/>
  <c r="C52" i="4"/>
  <c r="C45" i="4"/>
  <c r="C25" i="4"/>
  <c r="C36" i="4" l="1"/>
  <c r="D39" i="4"/>
  <c r="C39" i="4" l="1"/>
  <c r="D54" i="4"/>
  <c r="C54" i="4"/>
  <c r="D56" i="4" l="1"/>
  <c r="C56" i="4"/>
  <c r="C61" i="4" l="1"/>
</calcChain>
</file>

<file path=xl/sharedStrings.xml><?xml version="1.0" encoding="utf-8"?>
<sst xmlns="http://schemas.openxmlformats.org/spreadsheetml/2006/main" count="159" uniqueCount="116">
  <si>
    <t>Акционерное Общество «Дочерняя Организация</t>
  </si>
  <si>
    <t>Народного Банка Казахстана «Halyk Finance»</t>
  </si>
  <si>
    <t>(в тысячах Казахстанских Тенге)</t>
  </si>
  <si>
    <t>Приме-
чания</t>
  </si>
  <si>
    <t>Процентный доход</t>
  </si>
  <si>
    <t>Процентный расход</t>
  </si>
  <si>
    <t>ЧИСТЫЙ ПРОЦЕНТНЫЙ ДОХОД</t>
  </si>
  <si>
    <t>Чистая прибыль по операциям с финансовыми активами по справедливой стоимости через прибыль или убыток</t>
  </si>
  <si>
    <t>Чистая прибыль/(убыток) по операциям с иностранной валютой</t>
  </si>
  <si>
    <t>Комиссионные доходы</t>
  </si>
  <si>
    <t>Комиссионные расходы</t>
  </si>
  <si>
    <t>Чистая реализованная прибыль/(убыток) от финансовых активов, оцениваемых по справедливой стоимости через прочий совокупный доход</t>
  </si>
  <si>
    <t>Восстановление резервов под ожидаемые кредитные убытки по финансовым активам, оцениваемым по справедливой стоимости через прочий совокупный доход</t>
  </si>
  <si>
    <t>Доходы по дивидендам</t>
  </si>
  <si>
    <t>(Формирование)/восстановление резерва под ожидаемые кредитные убытки</t>
  </si>
  <si>
    <t>Прочие доходы, нетто</t>
  </si>
  <si>
    <t>ЧИСТЫЕ НЕПРОЦЕНТНЫЕ ДОХОДЫ</t>
  </si>
  <si>
    <t>ОПЕРАЦИОННЫЕ РАСХОДЫ</t>
  </si>
  <si>
    <t>ПРИБЫЛЬ ДО НАЛОГООБЛОЖЕНИЯ</t>
  </si>
  <si>
    <t>Расход по налогу на прибыль</t>
  </si>
  <si>
    <t>ЧИСТАЯ ПРИБЫЛЬ</t>
  </si>
  <si>
    <t>От имени Правления Компании:</t>
  </si>
  <si>
    <t>Аюханова М.Е.</t>
  </si>
  <si>
    <t>Сейдахметова Б.Е.</t>
  </si>
  <si>
    <t>Член Правления - заместитель председателя Правления</t>
  </si>
  <si>
    <t>Главный бухгалтер</t>
  </si>
  <si>
    <t>АКТИВЫ:</t>
  </si>
  <si>
    <t>Денежные средства и их эквиваленты</t>
  </si>
  <si>
    <t>Средства в банках</t>
  </si>
  <si>
    <t>Финансовые активы, оцениваемые по справедливой стоимости через прибыль или убыток</t>
  </si>
  <si>
    <t>Финансовые активы, оцениваемые по справедливой стоимости через прочий совокупный доход</t>
  </si>
  <si>
    <t>Инвестиционная недвижимость</t>
  </si>
  <si>
    <t>Основные средства</t>
  </si>
  <si>
    <t>Нематериальные активы</t>
  </si>
  <si>
    <t>Дебиторская задолженность</t>
  </si>
  <si>
    <t>Требования по текущему налогу на прибыль</t>
  </si>
  <si>
    <t>Отложенные налоговые активы</t>
  </si>
  <si>
    <t>Прочие активы</t>
  </si>
  <si>
    <t>ИТОГО АКТИВЫ</t>
  </si>
  <si>
    <t>ОБЯЗАТЕЛЬСТВА И КАПИТАЛ</t>
  </si>
  <si>
    <t>ОБЯЗАТЕЛЬСТВА:</t>
  </si>
  <si>
    <t>Займы, полученные от связанных сторон</t>
  </si>
  <si>
    <t>Обязательства по договорам репо</t>
  </si>
  <si>
    <t>Прочие обязательства</t>
  </si>
  <si>
    <t>Итого обязательства</t>
  </si>
  <si>
    <t>КАПИТАЛ:</t>
  </si>
  <si>
    <t>Акционерный капитал – простые акции</t>
  </si>
  <si>
    <t>Акционерный капитал – привилегированные акции</t>
  </si>
  <si>
    <t>Резерв переоценки финансовых активов, оцениваемых по справедливой стоимости через прочий совокупный доход</t>
  </si>
  <si>
    <t>Нераспределенная прибыль</t>
  </si>
  <si>
    <t>Итого капитал</t>
  </si>
  <si>
    <t xml:space="preserve"> </t>
  </si>
  <si>
    <t>ИТОГО ОБЯЗАТЕЛЬСТВА И КАПИТАЛ</t>
  </si>
  <si>
    <t>check</t>
  </si>
  <si>
    <t>Акционерный капитал простые
акции</t>
  </si>
  <si>
    <t>Акционерный капитал
привилеги-рованные акции</t>
  </si>
  <si>
    <t xml:space="preserve">Резерв переоценки финансовых активов, оцениваемых по справедливой стоимости через прочий совокупный 
доход </t>
  </si>
  <si>
    <t xml:space="preserve"> Нераспреде-ленная прибыль</t>
  </si>
  <si>
    <t>Итого
капитал</t>
  </si>
  <si>
    <t>Чистая прибыль</t>
  </si>
  <si>
    <t>Прочий совокупный доход</t>
  </si>
  <si>
    <t>Конвертация привилегированных акций в простые</t>
  </si>
  <si>
    <t>Дивиденды объявленные и оплаченные</t>
  </si>
  <si>
    <t>Дивиденды объявленные</t>
  </si>
  <si>
    <t>2021 года</t>
  </si>
  <si>
    <t>2020 года</t>
  </si>
  <si>
    <t>ДВИЖЕНИЕ ДЕНЕЖНЫХ СРЕДСТВ ОТ ОПЕРАЦИОННОЙ ДЕЯТЕЛЬНОСТИ:</t>
  </si>
  <si>
    <t>Проценты, полученные от финансовых активов по справедливой стоимости через прибыль или убыток</t>
  </si>
  <si>
    <t>Проценты, полученные от финансовых активов, оцениваемых по справедливой стоимости через прочий совокупный доход</t>
  </si>
  <si>
    <t>Проценты, полученные от транзакций обратное репо</t>
  </si>
  <si>
    <t>Проценты, полученные от средств в кредитных учреждениях</t>
  </si>
  <si>
    <t>Доход от дивидендов, полученный</t>
  </si>
  <si>
    <t>Комиссионные доходы, полученные</t>
  </si>
  <si>
    <t>Чистая прибыль, полученная по операциям с финансовыми активами по справедливой стоимости через прибыль или убыток</t>
  </si>
  <si>
    <t>Чистая реализованная прибыль полученная/(убыток уплаченный) от финансовых активов, оцениваемых по справедливой стоимости через прочий совокупный доход</t>
  </si>
  <si>
    <t>Проценты, уплаченные по займам от связанных сторон</t>
  </si>
  <si>
    <t>Проценты, уплаченные по транзакциям репо</t>
  </si>
  <si>
    <t>Комиссионные расходы, уплаченные</t>
  </si>
  <si>
    <t>Операционные расходы, уплаченные</t>
  </si>
  <si>
    <t>Прочие доходы полученные/(расходы) уплаченные</t>
  </si>
  <si>
    <t>Приток денежных средств от операционной деятельности до изменений в операционных активах и обязательствах</t>
  </si>
  <si>
    <t>Изменения в операционных активах и обязательствах</t>
  </si>
  <si>
    <t>(Увеличение)/уменьшение операционных активов:</t>
  </si>
  <si>
    <t>Финансовые активы оцениваемые по справедливой стоимости через прочий совокупный доход</t>
  </si>
  <si>
    <t>Приток денежных средств от операционной деятельности до налогообложения</t>
  </si>
  <si>
    <t>Налог на прибыль полученный/(уплаченный)</t>
  </si>
  <si>
    <t>Чистый приток денежных средств 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</si>
  <si>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</si>
  <si>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</si>
  <si>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Приобретение инвестиционной недвижимости</t>
  </si>
  <si>
    <t>Чистый отток денежных средств от инвестиционной деятельности</t>
  </si>
  <si>
    <t>ДВИЖЕНИЕ ДЕНЕЖНЫХ СРЕДСТВ ОТ ФИНАНСОВОЙ ДЕЯТЕЛЬНОСТИ:</t>
  </si>
  <si>
    <t>Дивиденды уплаченные</t>
  </si>
  <si>
    <t>Поступление займа от связанной стороны</t>
  </si>
  <si>
    <t>Погашение займа от связанной стороны</t>
  </si>
  <si>
    <t>Чистый отток денежных средств от финансовой деятельности</t>
  </si>
  <si>
    <t>ЧИСТОЕ УВЕЛИЧЕНИЕ/(УМЕНЬШЕНИЕ) ДЕНЕЖНЫХ СРЕДСТВ И ИХ ЭКВИВАЛЕНТОВ</t>
  </si>
  <si>
    <t>Влияние изменения курса иностранной валюты на денежные средства и их эквиваленты</t>
  </si>
  <si>
    <t>ЧИСТЫЕ ИЗМЕНЕНИЯ ДЕНЕЖНЫХ СРЕДСТВ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</si>
  <si>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</si>
  <si>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</si>
  <si>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>Примечания</t>
  </si>
  <si>
    <t>Период, закончившийся</t>
  </si>
  <si>
    <t>31 декабря
2020 года</t>
  </si>
  <si>
    <t>Прибыль на акцию, в тенге</t>
  </si>
  <si>
    <t>Отчет о финансовом положении на 30 сентября 2021 года</t>
  </si>
  <si>
    <t>30 сентября 
2021 года</t>
  </si>
  <si>
    <t>Отчет о движении денежных средств
за девять месяцев 2021 года</t>
  </si>
  <si>
    <t>30 сентября</t>
  </si>
  <si>
    <t>Отчет об изменениях в капитале
за девять месяцев 2021 года</t>
  </si>
  <si>
    <t>Отчет о прибылях и убытках
за девять месяцев 2021 года</t>
  </si>
  <si>
    <t>Промежуточный сокращенный</t>
  </si>
  <si>
    <t>Период, закончившийся 30 сентября  2021 года</t>
  </si>
  <si>
    <t>Период, закончившийся 30 сентября 2020 года</t>
  </si>
  <si>
    <t>3 месяца, закончившихся 30 сентября  2021 года</t>
  </si>
  <si>
    <t>3 месяца, закончившихся 30 сентября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</si>
</sst>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32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Verdana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Verdana"/>
      <family val="2"/>
      <charset val="204"/>
    </font>
    <font>
      <i/>
      <sz val="9"/>
      <color theme="1"/>
      <name val="Verdana"/>
      <family val="2"/>
      <charset val="204"/>
    </font>
    <font>
      <b/>
      <i/>
      <sz val="10"/>
      <name val="Calibri"/>
      <family val="2"/>
      <charset val="204"/>
      <scheme val="minor"/>
    </font>
    <font>
      <i/>
      <sz val="8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i/>
      <sz val="8"/>
      <color theme="1"/>
      <name val="Verdana"/>
      <family val="2"/>
      <charset val="204"/>
    </font>
    <font>
      <b/>
      <sz val="8"/>
      <color theme="0"/>
      <name val="Verdana"/>
      <family val="2"/>
      <charset val="204"/>
    </font>
    <font>
      <b/>
      <sz val="8"/>
      <color rgb="FFFF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i/>
      <sz val="8"/>
      <color theme="0"/>
      <name val="Verdana"/>
      <family val="2"/>
      <charset val="204"/>
    </font>
    <font>
      <sz val="8"/>
      <color theme="0"/>
      <name val="Verdana"/>
      <family val="2"/>
      <charset val="204"/>
    </font>
    <font>
      <sz val="8"/>
      <name val="Arial"/>
      <family val="2"/>
      <charset val="204"/>
    </font>
    <font>
      <sz val="10"/>
      <color theme="1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23" fillId="0" borderId="0"/>
    <xf numFmtId="165" fontId="4" fillId="0" borderId="0" applyFont="0" applyFill="0" applyBorder="0" applyAlignment="0" applyProtection="0"/>
  </cellStyleXfs>
  <cellXfs count="154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1" applyFont="1"/>
    <xf numFmtId="0" fontId="5" fillId="0" borderId="0" xfId="2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1" xfId="2" applyFont="1" applyBorder="1" applyAlignment="1">
      <alignment vertical="center"/>
    </xf>
    <xf numFmtId="14" fontId="9" fillId="0" borderId="1" xfId="1" applyNumberFormat="1" applyFont="1" applyBorder="1" applyAlignment="1">
      <alignment horizontal="center" wrapText="1"/>
    </xf>
    <xf numFmtId="14" fontId="9" fillId="0" borderId="1" xfId="1" applyNumberFormat="1" applyFont="1" applyBorder="1" applyAlignment="1">
      <alignment horizontal="right" wrapText="1"/>
    </xf>
    <xf numFmtId="0" fontId="10" fillId="0" borderId="0" xfId="2" applyFont="1" applyAlignment="1">
      <alignment vertical="center"/>
    </xf>
    <xf numFmtId="164" fontId="11" fillId="0" borderId="0" xfId="1" applyNumberFormat="1" applyFont="1"/>
    <xf numFmtId="0" fontId="12" fillId="0" borderId="1" xfId="2" applyFont="1" applyBorder="1" applyAlignment="1">
      <alignment vertical="center"/>
    </xf>
    <xf numFmtId="164" fontId="11" fillId="0" borderId="1" xfId="1" applyNumberFormat="1" applyFont="1" applyBorder="1"/>
    <xf numFmtId="0" fontId="12" fillId="0" borderId="0" xfId="2" applyFont="1" applyAlignment="1">
      <alignment vertical="center"/>
    </xf>
    <xf numFmtId="0" fontId="11" fillId="0" borderId="0" xfId="1" applyFont="1"/>
    <xf numFmtId="0" fontId="13" fillId="0" borderId="1" xfId="2" applyFont="1" applyBorder="1" applyAlignment="1">
      <alignment vertical="center"/>
    </xf>
    <xf numFmtId="164" fontId="9" fillId="0" borderId="1" xfId="1" applyNumberFormat="1" applyFont="1" applyBorder="1"/>
    <xf numFmtId="0" fontId="12" fillId="0" borderId="0" xfId="2" applyFont="1" applyAlignment="1">
      <alignment vertical="center" wrapText="1"/>
    </xf>
    <xf numFmtId="0" fontId="12" fillId="0" borderId="1" xfId="2" applyFont="1" applyBorder="1" applyAlignment="1">
      <alignment vertical="center" wrapText="1"/>
    </xf>
    <xf numFmtId="0" fontId="11" fillId="0" borderId="0" xfId="1" applyFont="1" applyAlignment="1">
      <alignment wrapText="1"/>
    </xf>
    <xf numFmtId="0" fontId="13" fillId="0" borderId="1" xfId="2" applyFont="1" applyBorder="1" applyAlignment="1">
      <alignment vertical="center" wrapText="1"/>
    </xf>
    <xf numFmtId="0" fontId="12" fillId="0" borderId="0" xfId="2" applyFont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vertical="center"/>
    </xf>
    <xf numFmtId="0" fontId="9" fillId="0" borderId="2" xfId="0" applyFont="1" applyBorder="1"/>
    <xf numFmtId="164" fontId="11" fillId="0" borderId="2" xfId="1" applyNumberFormat="1" applyFont="1" applyBorder="1"/>
    <xf numFmtId="0" fontId="14" fillId="0" borderId="0" xfId="0" applyFont="1"/>
    <xf numFmtId="164" fontId="3" fillId="0" borderId="0" xfId="1" applyNumberFormat="1" applyFont="1"/>
    <xf numFmtId="0" fontId="9" fillId="0" borderId="0" xfId="0" applyFont="1"/>
    <xf numFmtId="164" fontId="15" fillId="0" borderId="0" xfId="1" applyNumberFormat="1" applyFont="1"/>
    <xf numFmtId="0" fontId="15" fillId="0" borderId="0" xfId="1" applyFont="1"/>
    <xf numFmtId="0" fontId="16" fillId="0" borderId="0" xfId="0" applyFont="1"/>
    <xf numFmtId="0" fontId="16" fillId="0" borderId="1" xfId="0" applyFont="1" applyBorder="1"/>
    <xf numFmtId="0" fontId="9" fillId="0" borderId="1" xfId="1" applyFont="1" applyBorder="1"/>
    <xf numFmtId="0" fontId="9" fillId="0" borderId="0" xfId="1" applyFont="1"/>
    <xf numFmtId="0" fontId="9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7" fillId="0" borderId="0" xfId="0" applyFont="1" applyAlignment="1">
      <alignment vertical="center"/>
    </xf>
    <xf numFmtId="16" fontId="18" fillId="0" borderId="0" xfId="1" applyNumberFormat="1" applyFont="1" applyAlignment="1">
      <alignment vertical="center"/>
    </xf>
    <xf numFmtId="0" fontId="19" fillId="0" borderId="0" xfId="1" applyFont="1" applyAlignment="1">
      <alignment horizontal="center"/>
    </xf>
    <xf numFmtId="16" fontId="18" fillId="0" borderId="1" xfId="1" applyNumberFormat="1" applyFont="1" applyBorder="1" applyAlignment="1">
      <alignment vertical="center"/>
    </xf>
    <xf numFmtId="0" fontId="11" fillId="0" borderId="1" xfId="1" applyFont="1" applyBorder="1"/>
    <xf numFmtId="0" fontId="13" fillId="0" borderId="0" xfId="1" applyFont="1" applyAlignment="1">
      <alignment vertical="center"/>
    </xf>
    <xf numFmtId="0" fontId="10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12" fillId="0" borderId="0" xfId="1" applyFont="1" applyAlignment="1">
      <alignment wrapText="1"/>
    </xf>
    <xf numFmtId="0" fontId="2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2" fillId="0" borderId="0" xfId="1" applyFont="1"/>
    <xf numFmtId="164" fontId="22" fillId="0" borderId="0" xfId="3" applyNumberFormat="1" applyFont="1"/>
    <xf numFmtId="0" fontId="24" fillId="0" borderId="0" xfId="1" applyFont="1"/>
    <xf numFmtId="0" fontId="9" fillId="0" borderId="1" xfId="0" applyFont="1" applyBorder="1"/>
    <xf numFmtId="0" fontId="24" fillId="0" borderId="1" xfId="1" applyFont="1" applyBorder="1"/>
    <xf numFmtId="0" fontId="9" fillId="0" borderId="0" xfId="1" applyFont="1" applyAlignment="1">
      <alignment wrapText="1"/>
    </xf>
    <xf numFmtId="0" fontId="11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14" fontId="13" fillId="0" borderId="0" xfId="0" applyNumberFormat="1" applyFont="1"/>
    <xf numFmtId="164" fontId="9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26" fillId="0" borderId="0" xfId="0" applyFont="1" applyAlignment="1">
      <alignment horizontal="left" vertical="center" wrapText="1"/>
    </xf>
    <xf numFmtId="164" fontId="22" fillId="0" borderId="0" xfId="0" applyNumberFormat="1" applyFont="1"/>
    <xf numFmtId="0" fontId="22" fillId="0" borderId="0" xfId="0" applyFont="1"/>
    <xf numFmtId="0" fontId="11" fillId="0" borderId="0" xfId="0" applyFont="1" applyBorder="1"/>
    <xf numFmtId="0" fontId="17" fillId="0" borderId="0" xfId="0" applyFont="1" applyBorder="1" applyAlignment="1">
      <alignment vertical="center"/>
    </xf>
    <xf numFmtId="0" fontId="26" fillId="2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0" fontId="12" fillId="2" borderId="1" xfId="0" applyFont="1" applyFill="1" applyBorder="1"/>
    <xf numFmtId="0" fontId="11" fillId="0" borderId="1" xfId="0" applyFont="1" applyBorder="1"/>
    <xf numFmtId="166" fontId="25" fillId="2" borderId="1" xfId="4" applyNumberFormat="1" applyFont="1" applyFill="1" applyBorder="1" applyAlignment="1">
      <alignment horizontal="right" vertical="center" wrapText="1"/>
    </xf>
    <xf numFmtId="166" fontId="25" fillId="0" borderId="1" xfId="4" applyNumberFormat="1" applyFont="1" applyFill="1" applyBorder="1" applyAlignment="1">
      <alignment horizontal="right" vertical="center" wrapText="1"/>
    </xf>
    <xf numFmtId="14" fontId="13" fillId="0" borderId="2" xfId="0" applyNumberFormat="1" applyFont="1" applyBorder="1"/>
    <xf numFmtId="0" fontId="11" fillId="0" borderId="2" xfId="0" applyFont="1" applyBorder="1"/>
    <xf numFmtId="164" fontId="9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11" fillId="0" borderId="0" xfId="1" applyFont="1" applyAlignment="1">
      <alignment horizontal="center"/>
    </xf>
    <xf numFmtId="0" fontId="11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right" vertical="center"/>
    </xf>
    <xf numFmtId="3" fontId="12" fillId="0" borderId="4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164" fontId="12" fillId="0" borderId="2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3" fontId="13" fillId="0" borderId="2" xfId="0" applyNumberFormat="1" applyFont="1" applyBorder="1" applyAlignment="1">
      <alignment horizontal="right" vertical="center" wrapText="1"/>
    </xf>
    <xf numFmtId="0" fontId="13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3" fontId="13" fillId="0" borderId="5" xfId="0" applyNumberFormat="1" applyFont="1" applyBorder="1" applyAlignment="1">
      <alignment horizontal="right" vertical="center" wrapText="1"/>
    </xf>
    <xf numFmtId="0" fontId="29" fillId="0" borderId="0" xfId="0" applyFont="1"/>
    <xf numFmtId="0" fontId="27" fillId="0" borderId="0" xfId="0" applyFont="1"/>
    <xf numFmtId="3" fontId="0" fillId="0" borderId="0" xfId="0" applyNumberFormat="1"/>
    <xf numFmtId="3" fontId="12" fillId="0" borderId="0" xfId="0" applyNumberFormat="1" applyFont="1" applyAlignment="1">
      <alignment vertical="center"/>
    </xf>
    <xf numFmtId="0" fontId="31" fillId="0" borderId="0" xfId="1" applyFont="1"/>
    <xf numFmtId="0" fontId="0" fillId="0" borderId="0" xfId="0" applyFill="1"/>
    <xf numFmtId="0" fontId="13" fillId="0" borderId="0" xfId="0" applyFont="1" applyFill="1" applyAlignment="1">
      <alignment horizontal="right" vertical="center" wrapText="1"/>
    </xf>
    <xf numFmtId="0" fontId="13" fillId="0" borderId="0" xfId="0" applyFont="1" applyFill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12" fillId="0" borderId="0" xfId="0" applyNumberFormat="1" applyFont="1" applyFill="1" applyAlignment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3" fontId="12" fillId="0" borderId="4" xfId="0" applyNumberFormat="1" applyFont="1" applyFill="1" applyBorder="1" applyAlignment="1">
      <alignment horizontal="right" vertical="center"/>
    </xf>
    <xf numFmtId="3" fontId="12" fillId="0" borderId="2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 wrapText="1"/>
    </xf>
    <xf numFmtId="3" fontId="12" fillId="0" borderId="0" xfId="0" applyNumberFormat="1" applyFont="1" applyFill="1" applyAlignment="1">
      <alignment horizontal="right" vertical="center" wrapText="1" indent="1"/>
    </xf>
    <xf numFmtId="3" fontId="12" fillId="0" borderId="2" xfId="0" applyNumberFormat="1" applyFont="1" applyFill="1" applyBorder="1" applyAlignment="1">
      <alignment horizontal="right" vertical="center" wrapText="1" indent="2"/>
    </xf>
    <xf numFmtId="3" fontId="12" fillId="0" borderId="2" xfId="0" applyNumberFormat="1" applyFont="1" applyFill="1" applyBorder="1" applyAlignment="1">
      <alignment horizontal="right" vertical="center" wrapText="1"/>
    </xf>
    <xf numFmtId="3" fontId="12" fillId="0" borderId="0" xfId="0" applyNumberFormat="1" applyFont="1" applyFill="1" applyAlignment="1">
      <alignment horizontal="right" vertical="center" wrapText="1"/>
    </xf>
    <xf numFmtId="3" fontId="8" fillId="0" borderId="0" xfId="0" applyNumberFormat="1" applyFont="1" applyFill="1" applyAlignment="1">
      <alignment horizontal="right" vertical="center" wrapText="1"/>
    </xf>
    <xf numFmtId="3" fontId="13" fillId="0" borderId="2" xfId="0" applyNumberFormat="1" applyFont="1" applyFill="1" applyBorder="1" applyAlignment="1">
      <alignment horizontal="right" vertical="center" wrapText="1"/>
    </xf>
    <xf numFmtId="3" fontId="13" fillId="0" borderId="5" xfId="0" applyNumberFormat="1" applyFont="1" applyFill="1" applyBorder="1" applyAlignment="1">
      <alignment horizontal="right" vertical="center" wrapText="1"/>
    </xf>
    <xf numFmtId="0" fontId="30" fillId="0" borderId="0" xfId="0" applyFont="1" applyFill="1"/>
    <xf numFmtId="0" fontId="24" fillId="0" borderId="0" xfId="1" applyFont="1" applyFill="1"/>
    <xf numFmtId="0" fontId="24" fillId="0" borderId="1" xfId="1" applyFont="1" applyFill="1" applyBorder="1"/>
    <xf numFmtId="164" fontId="11" fillId="0" borderId="0" xfId="1" applyNumberFormat="1" applyFont="1" applyFill="1"/>
    <xf numFmtId="164" fontId="11" fillId="0" borderId="1" xfId="1" applyNumberFormat="1" applyFont="1" applyFill="1" applyBorder="1"/>
    <xf numFmtId="164" fontId="9" fillId="0" borderId="1" xfId="1" applyNumberFormat="1" applyFont="1" applyFill="1" applyBorder="1"/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28" fillId="0" borderId="0" xfId="0" applyFont="1" applyAlignment="1">
      <alignment vertical="center"/>
    </xf>
  </cellXfs>
  <cellStyles count="5">
    <cellStyle name="Comma 2" xfId="4" xr:uid="{9B46BAF1-6135-4B49-9334-62810E779931}"/>
    <cellStyle name="Normal 2" xfId="3" xr:uid="{97CE4E87-5344-439A-885A-2A977BF33E35}"/>
    <cellStyle name="Normal 2 2" xfId="2" xr:uid="{4C788B8D-F0AC-439E-91E3-2A937CE56179}"/>
    <cellStyle name="Normal 3" xfId="1" xr:uid="{E17FD611-0FFB-44AD-9EA7-1FBD17C46ABB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ntonova/Desktop/&#1040;&#1085;&#1090;&#1086;&#1085;&#1086;&#1074;&#1072;/&#1054;&#1090;&#1095;&#1077;&#1090;&#1099;%20&#1085;&#1072;%20KASE/&#1085;&#1072;%2001072021/&#1044;&#1083;&#1103;%20&#1041;&#1080;&#1088;&#1078;&#1080;/&#1050;&#1086;&#1087;&#1080;&#1103;%2028200.1%20FS%20in%20excel%202020_recovered%2022012021(05-02-2021%203.10.18%20PM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L"/>
      <sheetName val="SFP"/>
      <sheetName val="Equity"/>
      <sheetName val="CFS"/>
      <sheetName val="CFS FS format"/>
      <sheetName val="TB"/>
      <sheetName val="For CFS"/>
      <sheetName val="PPE &amp; IA"/>
      <sheetName val="PBE FA &amp; IA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OA"/>
      <sheetName val="Портфель ЦБ 2020"/>
      <sheetName val="17"/>
      <sheetName val="18"/>
      <sheetName val="19"/>
      <sheetName val="RP"/>
      <sheetName val="IFRS 7"/>
      <sheetName val="RP list 01.01.2021"/>
      <sheetName val="Loan portfolio"/>
      <sheetName val="PBE_4Q"/>
      <sheetName val="OECD list"/>
      <sheetName val="REPO PORTFOLIO"/>
      <sheetName val="Settlement prices"/>
    </sheetNames>
    <sheetDataSet>
      <sheetData sheetId="0"/>
      <sheetData sheetId="1">
        <row r="4">
          <cell r="D4">
            <v>142590</v>
          </cell>
          <cell r="E4">
            <v>3208528</v>
          </cell>
        </row>
      </sheetData>
      <sheetData sheetId="2"/>
      <sheetData sheetId="3">
        <row r="8">
          <cell r="AK8">
            <v>1247172</v>
          </cell>
        </row>
        <row r="44">
          <cell r="AK4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C753-8E2F-4907-AF0C-CCCA9FD79509}">
  <sheetPr>
    <tabColor rgb="FF92D050"/>
    <pageSetUpPr fitToPage="1"/>
  </sheetPr>
  <dimension ref="A1:D50"/>
  <sheetViews>
    <sheetView tabSelected="1" workbookViewId="0">
      <selection activeCell="A26" sqref="A26"/>
    </sheetView>
  </sheetViews>
  <sheetFormatPr defaultRowHeight="15" x14ac:dyDescent="0.25"/>
  <cols>
    <col min="1" max="1" width="44.42578125" customWidth="1"/>
    <col min="2" max="2" width="11.140625" bestFit="1" customWidth="1"/>
    <col min="3" max="4" width="14.28515625" customWidth="1"/>
  </cols>
  <sheetData>
    <row r="1" spans="1:4" x14ac:dyDescent="0.25">
      <c r="A1" s="35" t="s">
        <v>0</v>
      </c>
      <c r="B1" s="14"/>
      <c r="C1" s="10"/>
      <c r="D1" s="10"/>
    </row>
    <row r="2" spans="1:4" x14ac:dyDescent="0.25">
      <c r="A2" s="35" t="s">
        <v>1</v>
      </c>
      <c r="B2" s="14"/>
      <c r="C2" s="10"/>
      <c r="D2" s="10"/>
    </row>
    <row r="3" spans="1:4" x14ac:dyDescent="0.25">
      <c r="A3" s="14"/>
      <c r="B3" s="14"/>
      <c r="C3" s="10"/>
      <c r="D3" s="10"/>
    </row>
    <row r="4" spans="1:4" x14ac:dyDescent="0.25">
      <c r="A4" s="36" t="s">
        <v>111</v>
      </c>
      <c r="B4" s="14"/>
      <c r="C4" s="10"/>
      <c r="D4" s="10"/>
    </row>
    <row r="5" spans="1:4" x14ac:dyDescent="0.25">
      <c r="A5" s="36" t="s">
        <v>105</v>
      </c>
      <c r="B5" s="14"/>
      <c r="C5" s="10"/>
      <c r="D5" s="10"/>
    </row>
    <row r="6" spans="1:4" x14ac:dyDescent="0.25">
      <c r="A6" s="14"/>
      <c r="B6" s="14"/>
      <c r="C6" s="10"/>
      <c r="D6" s="10"/>
    </row>
    <row r="7" spans="1:4" x14ac:dyDescent="0.25">
      <c r="A7" s="37" t="s">
        <v>2</v>
      </c>
      <c r="B7" s="14"/>
      <c r="C7" s="10"/>
      <c r="D7" s="10"/>
    </row>
    <row r="8" spans="1:4" x14ac:dyDescent="0.25">
      <c r="A8" s="38"/>
      <c r="B8" s="14"/>
      <c r="C8" s="39"/>
      <c r="D8" s="39"/>
    </row>
    <row r="9" spans="1:4" ht="22.5" x14ac:dyDescent="0.25">
      <c r="A9" s="40"/>
      <c r="B9" s="7" t="s">
        <v>3</v>
      </c>
      <c r="C9" s="8" t="s">
        <v>106</v>
      </c>
      <c r="D9" s="8" t="s">
        <v>103</v>
      </c>
    </row>
    <row r="10" spans="1:4" x14ac:dyDescent="0.25">
      <c r="A10" s="42" t="s">
        <v>26</v>
      </c>
      <c r="B10" s="14"/>
      <c r="C10" s="10"/>
      <c r="D10" s="10"/>
    </row>
    <row r="11" spans="1:4" x14ac:dyDescent="0.25">
      <c r="A11" s="43" t="s">
        <v>27</v>
      </c>
      <c r="B11" s="86">
        <v>11</v>
      </c>
      <c r="C11" s="10">
        <v>272716.35576000001</v>
      </c>
      <c r="D11" s="10">
        <v>3208528</v>
      </c>
    </row>
    <row r="12" spans="1:4" x14ac:dyDescent="0.25">
      <c r="A12" s="43" t="s">
        <v>28</v>
      </c>
      <c r="B12" s="86"/>
      <c r="C12" s="10">
        <v>0</v>
      </c>
      <c r="D12" s="10">
        <v>0</v>
      </c>
    </row>
    <row r="13" spans="1:4" ht="31.5" x14ac:dyDescent="0.25">
      <c r="A13" s="43" t="s">
        <v>29</v>
      </c>
      <c r="B13" s="86">
        <v>12</v>
      </c>
      <c r="C13" s="10">
        <v>38414863.30387</v>
      </c>
      <c r="D13" s="10">
        <v>34471039</v>
      </c>
    </row>
    <row r="14" spans="1:4" ht="31.5" x14ac:dyDescent="0.25">
      <c r="A14" s="43" t="s">
        <v>30</v>
      </c>
      <c r="B14" s="86">
        <v>13</v>
      </c>
      <c r="C14" s="10">
        <v>4859561.1599700004</v>
      </c>
      <c r="D14" s="10">
        <v>3050313</v>
      </c>
    </row>
    <row r="15" spans="1:4" x14ac:dyDescent="0.25">
      <c r="A15" s="43" t="s">
        <v>31</v>
      </c>
      <c r="B15" s="86"/>
      <c r="C15" s="10">
        <v>30005.792000000001</v>
      </c>
      <c r="D15" s="10">
        <v>30006</v>
      </c>
    </row>
    <row r="16" spans="1:4" x14ac:dyDescent="0.25">
      <c r="A16" s="43" t="s">
        <v>32</v>
      </c>
      <c r="B16" s="86"/>
      <c r="C16" s="10">
        <v>186403.23247999998</v>
      </c>
      <c r="D16" s="10">
        <v>91396</v>
      </c>
    </row>
    <row r="17" spans="1:4" x14ac:dyDescent="0.25">
      <c r="A17" s="43" t="s">
        <v>33</v>
      </c>
      <c r="B17" s="86"/>
      <c r="C17" s="10">
        <v>240541.62596</v>
      </c>
      <c r="D17" s="10">
        <v>197755</v>
      </c>
    </row>
    <row r="18" spans="1:4" x14ac:dyDescent="0.25">
      <c r="A18" s="43" t="s">
        <v>34</v>
      </c>
      <c r="B18" s="86">
        <v>14</v>
      </c>
      <c r="C18" s="10">
        <v>385869.04921000003</v>
      </c>
      <c r="D18" s="10">
        <v>3858268.2561399997</v>
      </c>
    </row>
    <row r="19" spans="1:4" x14ac:dyDescent="0.25">
      <c r="A19" s="44" t="s">
        <v>35</v>
      </c>
      <c r="B19" s="86"/>
      <c r="C19" s="10">
        <v>151057.27641999998</v>
      </c>
      <c r="D19" s="10">
        <v>16386.389950000001</v>
      </c>
    </row>
    <row r="20" spans="1:4" x14ac:dyDescent="0.25">
      <c r="A20" s="44" t="s">
        <v>36</v>
      </c>
      <c r="B20" s="86"/>
      <c r="C20" s="10">
        <v>56979.11836</v>
      </c>
      <c r="D20" s="10">
        <v>117339.20454999999</v>
      </c>
    </row>
    <row r="21" spans="1:4" x14ac:dyDescent="0.25">
      <c r="A21" s="45" t="s">
        <v>37</v>
      </c>
      <c r="B21" s="87">
        <v>15</v>
      </c>
      <c r="C21" s="12">
        <v>80062.440799999997</v>
      </c>
      <c r="D21" s="12">
        <v>141049.5</v>
      </c>
    </row>
    <row r="22" spans="1:4" x14ac:dyDescent="0.25">
      <c r="A22" s="44"/>
      <c r="B22" s="86"/>
      <c r="C22" s="10"/>
      <c r="D22" s="10"/>
    </row>
    <row r="23" spans="1:4" x14ac:dyDescent="0.25">
      <c r="A23" s="46" t="s">
        <v>38</v>
      </c>
      <c r="B23" s="88"/>
      <c r="C23" s="16">
        <f>SUM(C11:C21)</f>
        <v>44678059.354829997</v>
      </c>
      <c r="D23" s="16">
        <f>SUM(D11:D21)</f>
        <v>45182080.350639999</v>
      </c>
    </row>
    <row r="24" spans="1:4" x14ac:dyDescent="0.25">
      <c r="A24" s="47"/>
      <c r="B24" s="86"/>
      <c r="C24" s="10"/>
      <c r="D24" s="10"/>
    </row>
    <row r="25" spans="1:4" x14ac:dyDescent="0.25">
      <c r="A25" s="48" t="s">
        <v>39</v>
      </c>
      <c r="B25" s="86"/>
      <c r="C25" s="10"/>
      <c r="D25" s="10"/>
    </row>
    <row r="26" spans="1:4" x14ac:dyDescent="0.25">
      <c r="A26" s="48"/>
      <c r="B26" s="86"/>
      <c r="C26" s="10"/>
      <c r="D26" s="10"/>
    </row>
    <row r="27" spans="1:4" x14ac:dyDescent="0.25">
      <c r="A27" s="47" t="s">
        <v>40</v>
      </c>
      <c r="B27" s="86"/>
      <c r="C27" s="10"/>
      <c r="D27" s="10"/>
    </row>
    <row r="28" spans="1:4" x14ac:dyDescent="0.25">
      <c r="A28" s="19"/>
      <c r="B28" s="86"/>
      <c r="C28" s="10"/>
      <c r="D28" s="10"/>
    </row>
    <row r="29" spans="1:4" x14ac:dyDescent="0.25">
      <c r="A29" s="43" t="s">
        <v>41</v>
      </c>
      <c r="B29" s="86">
        <v>16</v>
      </c>
      <c r="C29" s="10">
        <v>5616977</v>
      </c>
      <c r="D29" s="10">
        <v>7783131</v>
      </c>
    </row>
    <row r="30" spans="1:4" x14ac:dyDescent="0.25">
      <c r="A30" s="43" t="s">
        <v>42</v>
      </c>
      <c r="B30" s="86">
        <v>17</v>
      </c>
      <c r="C30" s="10">
        <v>13395453</v>
      </c>
      <c r="D30" s="10">
        <v>10859076</v>
      </c>
    </row>
    <row r="31" spans="1:4" x14ac:dyDescent="0.25">
      <c r="A31" s="45" t="s">
        <v>43</v>
      </c>
      <c r="B31" s="87">
        <v>18</v>
      </c>
      <c r="C31" s="12">
        <v>487254</v>
      </c>
      <c r="D31" s="12">
        <v>906800</v>
      </c>
    </row>
    <row r="32" spans="1:4" x14ac:dyDescent="0.25">
      <c r="A32" s="49"/>
      <c r="B32" s="86"/>
      <c r="C32" s="10"/>
      <c r="D32" s="10"/>
    </row>
    <row r="33" spans="1:4" x14ac:dyDescent="0.25">
      <c r="A33" s="50" t="s">
        <v>44</v>
      </c>
      <c r="B33" s="88"/>
      <c r="C33" s="16">
        <f>SUM(C29:C31)</f>
        <v>19499684</v>
      </c>
      <c r="D33" s="16">
        <f>SUM(D29:D31)</f>
        <v>19549007</v>
      </c>
    </row>
    <row r="34" spans="1:4" x14ac:dyDescent="0.25">
      <c r="A34" s="47"/>
      <c r="B34" s="86"/>
      <c r="C34" s="10"/>
      <c r="D34" s="10"/>
    </row>
    <row r="35" spans="1:4" x14ac:dyDescent="0.25">
      <c r="A35" s="47" t="s">
        <v>45</v>
      </c>
      <c r="B35" s="86"/>
      <c r="C35" s="10"/>
      <c r="D35" s="10"/>
    </row>
    <row r="36" spans="1:4" x14ac:dyDescent="0.25">
      <c r="A36" s="44" t="s">
        <v>46</v>
      </c>
      <c r="B36" s="86">
        <v>19</v>
      </c>
      <c r="C36" s="10">
        <v>11240188</v>
      </c>
      <c r="D36" s="10">
        <v>11240188</v>
      </c>
    </row>
    <row r="37" spans="1:4" ht="21" x14ac:dyDescent="0.25">
      <c r="A37" s="44" t="s">
        <v>47</v>
      </c>
      <c r="B37" s="14"/>
      <c r="C37" s="10">
        <v>0</v>
      </c>
      <c r="D37" s="10">
        <v>0</v>
      </c>
    </row>
    <row r="38" spans="1:4" ht="31.5" x14ac:dyDescent="0.25">
      <c r="A38" s="43" t="s">
        <v>48</v>
      </c>
      <c r="B38" s="14"/>
      <c r="C38" s="10">
        <v>157750</v>
      </c>
      <c r="D38" s="10">
        <v>139146</v>
      </c>
    </row>
    <row r="39" spans="1:4" x14ac:dyDescent="0.25">
      <c r="A39" s="51" t="s">
        <v>49</v>
      </c>
      <c r="B39" s="41"/>
      <c r="C39" s="12">
        <v>13780437</v>
      </c>
      <c r="D39" s="12">
        <v>14253739</v>
      </c>
    </row>
    <row r="40" spans="1:4" x14ac:dyDescent="0.25">
      <c r="A40" s="52"/>
      <c r="B40" s="14"/>
      <c r="C40" s="10"/>
      <c r="D40" s="10"/>
    </row>
    <row r="41" spans="1:4" x14ac:dyDescent="0.25">
      <c r="A41" s="53" t="s">
        <v>50</v>
      </c>
      <c r="B41" s="33"/>
      <c r="C41" s="16">
        <f>SUM(C36:C39)</f>
        <v>25178375</v>
      </c>
      <c r="D41" s="16">
        <f>SUM(D36:D39)</f>
        <v>25633073</v>
      </c>
    </row>
    <row r="42" spans="1:4" x14ac:dyDescent="0.25">
      <c r="A42" s="52" t="s">
        <v>51</v>
      </c>
      <c r="B42" s="14"/>
      <c r="C42" s="10"/>
      <c r="D42" s="10"/>
    </row>
    <row r="43" spans="1:4" x14ac:dyDescent="0.25">
      <c r="A43" s="53" t="s">
        <v>52</v>
      </c>
      <c r="B43" s="33"/>
      <c r="C43" s="16">
        <f>C33+C41</f>
        <v>44678059</v>
      </c>
      <c r="D43" s="16">
        <f>D33+D41</f>
        <v>45182080</v>
      </c>
    </row>
    <row r="44" spans="1:4" x14ac:dyDescent="0.25">
      <c r="A44" s="54" t="s">
        <v>53</v>
      </c>
      <c r="B44" s="55"/>
      <c r="C44" s="56">
        <v>0</v>
      </c>
      <c r="D44" s="56">
        <v>0.85063999891281128</v>
      </c>
    </row>
    <row r="45" spans="1:4" x14ac:dyDescent="0.25">
      <c r="A45" s="14"/>
      <c r="B45" s="14"/>
      <c r="C45" s="10"/>
      <c r="D45" s="10"/>
    </row>
    <row r="46" spans="1:4" x14ac:dyDescent="0.25">
      <c r="A46" s="28" t="s">
        <v>21</v>
      </c>
      <c r="B46" s="10"/>
      <c r="C46" s="14"/>
      <c r="D46" s="57"/>
    </row>
    <row r="47" spans="1:4" x14ac:dyDescent="0.25">
      <c r="A47" s="28"/>
      <c r="B47" s="10"/>
      <c r="C47" s="14"/>
      <c r="D47" s="57"/>
    </row>
    <row r="48" spans="1:4" x14ac:dyDescent="0.25">
      <c r="A48" s="58"/>
      <c r="B48" s="10"/>
      <c r="C48" s="33"/>
      <c r="D48" s="59"/>
    </row>
    <row r="49" spans="1:4" x14ac:dyDescent="0.25">
      <c r="A49" s="34" t="s">
        <v>22</v>
      </c>
      <c r="B49" s="10"/>
      <c r="C49" s="34" t="s">
        <v>23</v>
      </c>
      <c r="D49" s="57"/>
    </row>
    <row r="50" spans="1:4" ht="22.5" x14ac:dyDescent="0.25">
      <c r="A50" s="60" t="s">
        <v>24</v>
      </c>
      <c r="B50" s="10"/>
      <c r="C50" s="34" t="s">
        <v>25</v>
      </c>
      <c r="D50" s="57"/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8CCA-5C43-4538-A3CF-163D5C0A2934}">
  <sheetPr>
    <tabColor rgb="FFFFFF00"/>
    <pageSetUpPr fitToPage="1"/>
  </sheetPr>
  <dimension ref="A1:I42"/>
  <sheetViews>
    <sheetView workbookViewId="0">
      <selection activeCell="C9" sqref="C9"/>
    </sheetView>
  </sheetViews>
  <sheetFormatPr defaultRowHeight="15" x14ac:dyDescent="0.25"/>
  <cols>
    <col min="1" max="1" width="64" customWidth="1"/>
    <col min="2" max="2" width="11.85546875" bestFit="1" customWidth="1"/>
    <col min="3" max="3" width="15.5703125" customWidth="1"/>
    <col min="4" max="5" width="15.85546875" customWidth="1"/>
    <col min="6" max="6" width="15.7109375" bestFit="1" customWidth="1"/>
    <col min="8" max="8" width="10.5703125" bestFit="1" customWidth="1"/>
  </cols>
  <sheetData>
    <row r="1" spans="1:9" s="2" customFormat="1" ht="15.75" x14ac:dyDescent="0.2">
      <c r="A1" s="1" t="s">
        <v>0</v>
      </c>
    </row>
    <row r="2" spans="1:9" s="2" customFormat="1" ht="15.75" x14ac:dyDescent="0.2">
      <c r="A2" s="1" t="s">
        <v>1</v>
      </c>
    </row>
    <row r="3" spans="1:9" s="2" customFormat="1" ht="15.75" x14ac:dyDescent="0.2">
      <c r="A3" s="1"/>
    </row>
    <row r="4" spans="1:9" s="2" customFormat="1" ht="12.75" x14ac:dyDescent="0.2">
      <c r="A4" s="36" t="s">
        <v>111</v>
      </c>
    </row>
    <row r="5" spans="1:9" s="2" customFormat="1" ht="27.75" customHeight="1" x14ac:dyDescent="0.2">
      <c r="A5" s="3" t="s">
        <v>110</v>
      </c>
    </row>
    <row r="6" spans="1:9" s="2" customFormat="1" ht="27" customHeight="1" x14ac:dyDescent="0.2">
      <c r="A6" s="4" t="s">
        <v>2</v>
      </c>
    </row>
    <row r="7" spans="1:9" s="2" customFormat="1" ht="12.75" x14ac:dyDescent="0.2">
      <c r="A7" s="5"/>
    </row>
    <row r="8" spans="1:9" s="2" customFormat="1" ht="42.75" customHeight="1" x14ac:dyDescent="0.2">
      <c r="A8" s="6"/>
      <c r="B8" s="7" t="s">
        <v>3</v>
      </c>
      <c r="C8" s="8" t="s">
        <v>114</v>
      </c>
      <c r="D8" s="8" t="s">
        <v>115</v>
      </c>
      <c r="E8" s="8" t="s">
        <v>112</v>
      </c>
      <c r="F8" s="8" t="s">
        <v>113</v>
      </c>
    </row>
    <row r="9" spans="1:9" s="2" customFormat="1" ht="15" customHeight="1" x14ac:dyDescent="0.2">
      <c r="A9" s="9" t="s">
        <v>4</v>
      </c>
      <c r="B9" s="10">
        <v>5</v>
      </c>
      <c r="C9" s="10">
        <f>E9-1545900</f>
        <v>819980</v>
      </c>
      <c r="D9" s="10">
        <f>F9-1520894</f>
        <v>625649.14842000045</v>
      </c>
      <c r="E9" s="10">
        <v>2365880</v>
      </c>
      <c r="F9" s="10">
        <v>2146543.1484200004</v>
      </c>
    </row>
    <row r="10" spans="1:9" s="2" customFormat="1" ht="15" customHeight="1" x14ac:dyDescent="0.2">
      <c r="A10" s="11" t="s">
        <v>5</v>
      </c>
      <c r="B10" s="12">
        <v>5</v>
      </c>
      <c r="C10" s="12">
        <f>E10+563683</f>
        <v>-354163</v>
      </c>
      <c r="D10" s="12">
        <f>F10+1246866</f>
        <v>-436570.19892000011</v>
      </c>
      <c r="E10" s="12">
        <v>-917846</v>
      </c>
      <c r="F10" s="12">
        <v>-1683436.1989200001</v>
      </c>
    </row>
    <row r="11" spans="1:9" s="2" customFormat="1" ht="15" customHeight="1" x14ac:dyDescent="0.2">
      <c r="A11" s="13"/>
      <c r="B11" s="14"/>
      <c r="C11" s="14"/>
      <c r="D11" s="14"/>
      <c r="E11" s="14"/>
      <c r="F11" s="14"/>
    </row>
    <row r="12" spans="1:9" s="125" customFormat="1" ht="15" customHeight="1" x14ac:dyDescent="0.2">
      <c r="A12" s="15" t="s">
        <v>6</v>
      </c>
      <c r="B12" s="16"/>
      <c r="C12" s="16">
        <f>SUM(C9:C11)</f>
        <v>465817</v>
      </c>
      <c r="D12" s="16">
        <f>SUM(D9:D11)</f>
        <v>189078.94950000034</v>
      </c>
      <c r="E12" s="16">
        <f>SUM(E9:E10)</f>
        <v>1448034</v>
      </c>
      <c r="F12" s="16">
        <f>SUM(F9:F10)</f>
        <v>463106.94950000034</v>
      </c>
      <c r="H12" s="2"/>
      <c r="I12" s="2"/>
    </row>
    <row r="13" spans="1:9" s="2" customFormat="1" ht="15" customHeight="1" x14ac:dyDescent="0.2">
      <c r="A13" s="13"/>
      <c r="B13" s="14"/>
      <c r="C13" s="14"/>
      <c r="D13" s="14"/>
      <c r="E13" s="14"/>
      <c r="F13" s="14"/>
    </row>
    <row r="14" spans="1:9" s="2" customFormat="1" ht="21" x14ac:dyDescent="0.2">
      <c r="A14" s="17" t="s">
        <v>7</v>
      </c>
      <c r="B14" s="10">
        <v>6</v>
      </c>
      <c r="C14" s="10">
        <f>E14-1561198</f>
        <v>-218095.64046000061</v>
      </c>
      <c r="D14" s="10">
        <f>F14+884294</f>
        <v>334097.48261999735</v>
      </c>
      <c r="E14" s="10">
        <v>1343102.3595399994</v>
      </c>
      <c r="F14" s="10">
        <v>-550196.51738000265</v>
      </c>
    </row>
    <row r="15" spans="1:9" s="2" customFormat="1" ht="15" customHeight="1" x14ac:dyDescent="0.2">
      <c r="A15" s="17" t="s">
        <v>8</v>
      </c>
      <c r="B15" s="10">
        <v>7</v>
      </c>
      <c r="C15" s="10">
        <f>E15-478859</f>
        <v>-42290.935570000031</v>
      </c>
      <c r="D15" s="10">
        <f>F15-1356929</f>
        <v>1308010.55381</v>
      </c>
      <c r="E15" s="10">
        <v>436568.06442999997</v>
      </c>
      <c r="F15" s="10">
        <v>2664939.55381</v>
      </c>
    </row>
    <row r="16" spans="1:9" s="2" customFormat="1" ht="15" customHeight="1" x14ac:dyDescent="0.2">
      <c r="A16" s="17" t="s">
        <v>9</v>
      </c>
      <c r="B16" s="10">
        <v>8</v>
      </c>
      <c r="C16" s="10">
        <f>E16-629896</f>
        <v>244520.28295000002</v>
      </c>
      <c r="D16" s="10">
        <f>F16-553405</f>
        <v>336484.03354999993</v>
      </c>
      <c r="E16" s="146">
        <v>874416.28295000002</v>
      </c>
      <c r="F16" s="146">
        <v>889889.03354999993</v>
      </c>
    </row>
    <row r="17" spans="1:6" s="2" customFormat="1" ht="15" customHeight="1" x14ac:dyDescent="0.2">
      <c r="A17" s="17" t="s">
        <v>10</v>
      </c>
      <c r="B17" s="10">
        <v>8</v>
      </c>
      <c r="C17" s="10">
        <f>E17+126650</f>
        <v>-3983.3421499999968</v>
      </c>
      <c r="D17" s="10">
        <f>F17+73730</f>
        <v>-28185.483229999998</v>
      </c>
      <c r="E17" s="146">
        <v>-130633.34215</v>
      </c>
      <c r="F17" s="146">
        <v>-101915.48323</v>
      </c>
    </row>
    <row r="18" spans="1:6" s="2" customFormat="1" ht="31.5" x14ac:dyDescent="0.2">
      <c r="A18" s="17" t="s">
        <v>11</v>
      </c>
      <c r="B18" s="10"/>
      <c r="C18" s="10">
        <f>E18-8557</f>
        <v>1636.4029300000002</v>
      </c>
      <c r="D18" s="10">
        <f>F18-350595</f>
        <v>3729.6277300000074</v>
      </c>
      <c r="E18" s="146">
        <v>10193.40293</v>
      </c>
      <c r="F18" s="146">
        <v>354324.62773000001</v>
      </c>
    </row>
    <row r="19" spans="1:6" s="2" customFormat="1" ht="31.5" x14ac:dyDescent="0.2">
      <c r="A19" s="17" t="s">
        <v>12</v>
      </c>
      <c r="B19" s="10"/>
      <c r="C19" s="10">
        <f>E19+29941</f>
        <v>-14529.148689999995</v>
      </c>
      <c r="D19" s="10">
        <f>F19+31784</f>
        <v>-17047.406770000001</v>
      </c>
      <c r="E19" s="146">
        <v>-44470.148689999995</v>
      </c>
      <c r="F19" s="146">
        <v>-48831.406770000001</v>
      </c>
    </row>
    <row r="20" spans="1:6" s="2" customFormat="1" ht="15" customHeight="1" x14ac:dyDescent="0.2">
      <c r="A20" s="17" t="s">
        <v>13</v>
      </c>
      <c r="B20" s="10"/>
      <c r="C20" s="10">
        <f>E20-428465</f>
        <v>15727.185939999996</v>
      </c>
      <c r="D20" s="10">
        <f>F20-288215</f>
        <v>224814.63876</v>
      </c>
      <c r="E20" s="146">
        <v>444192.18594</v>
      </c>
      <c r="F20" s="146">
        <v>513029.63876</v>
      </c>
    </row>
    <row r="21" spans="1:6" s="2" customFormat="1" ht="21" x14ac:dyDescent="0.2">
      <c r="A21" s="17" t="s">
        <v>14</v>
      </c>
      <c r="B21" s="10"/>
      <c r="C21" s="10">
        <f>E21-53724</f>
        <v>-15008.446199999991</v>
      </c>
      <c r="D21" s="10">
        <f>F21+6195</f>
        <v>-13632.858830000001</v>
      </c>
      <c r="E21" s="146">
        <v>38715.553800000009</v>
      </c>
      <c r="F21" s="146">
        <v>-19827.858830000001</v>
      </c>
    </row>
    <row r="22" spans="1:6" s="2" customFormat="1" ht="15" customHeight="1" x14ac:dyDescent="0.2">
      <c r="A22" s="18" t="s">
        <v>15</v>
      </c>
      <c r="B22" s="12"/>
      <c r="C22" s="12">
        <f>E22-5271</f>
        <v>1053.4149700000007</v>
      </c>
      <c r="D22" s="12">
        <f>F22-4603</f>
        <v>281.78712999999971</v>
      </c>
      <c r="E22" s="147">
        <v>6324.4149700000007</v>
      </c>
      <c r="F22" s="147">
        <v>4884.7871299999997</v>
      </c>
    </row>
    <row r="23" spans="1:6" s="2" customFormat="1" ht="12.75" x14ac:dyDescent="0.2">
      <c r="A23" s="19"/>
      <c r="B23" s="10"/>
      <c r="C23" s="10"/>
      <c r="D23" s="10"/>
      <c r="E23" s="146"/>
      <c r="F23" s="146"/>
    </row>
    <row r="24" spans="1:6" s="2" customFormat="1" ht="12.75" x14ac:dyDescent="0.2">
      <c r="A24" s="20" t="s">
        <v>16</v>
      </c>
      <c r="B24" s="16"/>
      <c r="C24" s="16">
        <f>SUM(C14:C23)</f>
        <v>-30970.226280000599</v>
      </c>
      <c r="D24" s="16">
        <f>SUM(D14:D23)</f>
        <v>2148552.3747699978</v>
      </c>
      <c r="E24" s="148">
        <f>SUM(E14:E22)</f>
        <v>2978408.7737199985</v>
      </c>
      <c r="F24" s="148">
        <f>SUM(F14:F22)</f>
        <v>3706296.3747699978</v>
      </c>
    </row>
    <row r="25" spans="1:6" s="2" customFormat="1" ht="12.75" x14ac:dyDescent="0.2">
      <c r="A25" s="17"/>
      <c r="B25" s="10"/>
      <c r="C25" s="10"/>
      <c r="D25" s="10"/>
      <c r="E25" s="146"/>
      <c r="F25" s="146"/>
    </row>
    <row r="26" spans="1:6" s="2" customFormat="1" ht="12.75" x14ac:dyDescent="0.2">
      <c r="A26" s="11" t="s">
        <v>17</v>
      </c>
      <c r="B26" s="12">
        <v>9</v>
      </c>
      <c r="C26" s="12">
        <f>E26+990651</f>
        <v>-424389.43508999981</v>
      </c>
      <c r="D26" s="12">
        <f>F26+475845</f>
        <v>-360912.95400999999</v>
      </c>
      <c r="E26" s="147">
        <v>-1415040.4350899998</v>
      </c>
      <c r="F26" s="147">
        <v>-836757.95400999999</v>
      </c>
    </row>
    <row r="27" spans="1:6" s="2" customFormat="1" ht="12.75" x14ac:dyDescent="0.2">
      <c r="A27" s="21"/>
      <c r="B27" s="10"/>
      <c r="C27" s="10"/>
      <c r="D27" s="10"/>
      <c r="E27" s="146"/>
      <c r="F27" s="146"/>
    </row>
    <row r="28" spans="1:6" s="2" customFormat="1" ht="12.75" x14ac:dyDescent="0.2">
      <c r="A28" s="22" t="s">
        <v>18</v>
      </c>
      <c r="B28" s="16"/>
      <c r="C28" s="16">
        <f t="shared" ref="C28:D28" si="0">C24+C12+C26</f>
        <v>10457.338629999605</v>
      </c>
      <c r="D28" s="16">
        <f t="shared" si="0"/>
        <v>1976718.3702599979</v>
      </c>
      <c r="E28" s="148">
        <f>E24+E12+E26</f>
        <v>3011402.3386299983</v>
      </c>
      <c r="F28" s="148">
        <f>F24+F12+F26</f>
        <v>3332645.3702599979</v>
      </c>
    </row>
    <row r="29" spans="1:6" s="2" customFormat="1" ht="12.75" x14ac:dyDescent="0.2">
      <c r="A29" s="9"/>
      <c r="B29" s="10"/>
      <c r="C29" s="10"/>
      <c r="D29" s="10"/>
      <c r="E29" s="10"/>
      <c r="F29" s="10"/>
    </row>
    <row r="30" spans="1:6" s="2" customFormat="1" ht="12.75" x14ac:dyDescent="0.2">
      <c r="A30" s="23" t="s">
        <v>19</v>
      </c>
      <c r="B30" s="12"/>
      <c r="C30" s="12">
        <f>E30+141483</f>
        <v>-4806.7127100000216</v>
      </c>
      <c r="D30" s="12">
        <f>F30+15959</f>
        <v>-154699.91136000003</v>
      </c>
      <c r="E30" s="12">
        <v>-146289.71271000002</v>
      </c>
      <c r="F30" s="12">
        <v>-170658.91136000003</v>
      </c>
    </row>
    <row r="31" spans="1:6" s="2" customFormat="1" ht="12.75" x14ac:dyDescent="0.2">
      <c r="A31" s="9"/>
      <c r="B31" s="10"/>
      <c r="C31" s="10"/>
      <c r="D31" s="10"/>
      <c r="E31" s="10"/>
      <c r="F31" s="10"/>
    </row>
    <row r="32" spans="1:6" s="2" customFormat="1" ht="12.75" x14ac:dyDescent="0.2">
      <c r="A32" s="22" t="s">
        <v>20</v>
      </c>
      <c r="B32" s="16"/>
      <c r="C32" s="16">
        <f>C28+C30</f>
        <v>5650.6259199995839</v>
      </c>
      <c r="D32" s="16">
        <f>D28+D30</f>
        <v>1822018.4588999979</v>
      </c>
      <c r="E32" s="16">
        <f>E28+E30</f>
        <v>2865112.6259199982</v>
      </c>
      <c r="F32" s="16">
        <f>F28+F30</f>
        <v>3161986.4588999981</v>
      </c>
    </row>
    <row r="33" spans="1:6" s="2" customFormat="1" ht="12.75" x14ac:dyDescent="0.2">
      <c r="A33" s="21"/>
      <c r="B33" s="10"/>
      <c r="C33" s="10"/>
      <c r="D33" s="10"/>
      <c r="E33" s="10"/>
      <c r="F33" s="10"/>
    </row>
    <row r="34" spans="1:6" s="2" customFormat="1" ht="13.5" thickBot="1" x14ac:dyDescent="0.25">
      <c r="A34" s="24" t="s">
        <v>104</v>
      </c>
      <c r="B34" s="25">
        <v>10</v>
      </c>
      <c r="C34" s="25">
        <f>(C32/6057289)*1000</f>
        <v>0.93286384717644866</v>
      </c>
      <c r="D34" s="25">
        <f>(D32/5740783)*1000</f>
        <v>317.38152424503727</v>
      </c>
      <c r="E34" s="25">
        <v>473.00246462072357</v>
      </c>
      <c r="F34" s="25">
        <v>550.79358667624228</v>
      </c>
    </row>
    <row r="35" spans="1:6" s="2" customFormat="1" ht="15.75" x14ac:dyDescent="0.25">
      <c r="A35" s="26"/>
      <c r="B35" s="27"/>
      <c r="C35" s="27"/>
      <c r="D35" s="27"/>
      <c r="E35" s="27"/>
      <c r="F35" s="27"/>
    </row>
    <row r="36" spans="1:6" s="2" customFormat="1" ht="12.75" x14ac:dyDescent="0.2">
      <c r="A36" s="28" t="s">
        <v>21</v>
      </c>
      <c r="B36" s="29"/>
      <c r="C36" s="29"/>
      <c r="D36" s="29"/>
      <c r="E36" s="29"/>
      <c r="F36" s="29"/>
    </row>
    <row r="37" spans="1:6" s="2" customFormat="1" ht="12.75" x14ac:dyDescent="0.2">
      <c r="A37" s="31"/>
      <c r="B37" s="29"/>
      <c r="C37" s="29"/>
      <c r="D37" s="29"/>
      <c r="E37" s="29"/>
      <c r="F37" s="29"/>
    </row>
    <row r="38" spans="1:6" s="2" customFormat="1" ht="12.75" x14ac:dyDescent="0.2">
      <c r="A38" s="32"/>
      <c r="B38" s="29"/>
      <c r="C38" s="29"/>
      <c r="D38" s="29"/>
      <c r="E38" s="33"/>
      <c r="F38" s="33"/>
    </row>
    <row r="39" spans="1:6" s="2" customFormat="1" ht="12.75" x14ac:dyDescent="0.2">
      <c r="A39" s="34" t="s">
        <v>22</v>
      </c>
      <c r="B39" s="29"/>
      <c r="C39" s="29"/>
      <c r="D39" s="29"/>
      <c r="E39" s="34" t="s">
        <v>23</v>
      </c>
      <c r="F39" s="29"/>
    </row>
    <row r="40" spans="1:6" s="2" customFormat="1" ht="12.75" x14ac:dyDescent="0.2">
      <c r="A40" s="34" t="s">
        <v>24</v>
      </c>
      <c r="B40" s="29"/>
      <c r="C40" s="29"/>
      <c r="D40" s="29"/>
      <c r="E40" s="34" t="s">
        <v>25</v>
      </c>
      <c r="F40" s="29"/>
    </row>
    <row r="41" spans="1:6" x14ac:dyDescent="0.25">
      <c r="A41" s="31"/>
      <c r="B41" s="29"/>
      <c r="C41" s="29"/>
      <c r="D41" s="29"/>
      <c r="E41" s="30"/>
      <c r="F41" s="2"/>
    </row>
    <row r="42" spans="1:6" ht="15.75" x14ac:dyDescent="0.25">
      <c r="A42" s="26"/>
      <c r="B42" s="27"/>
      <c r="C42" s="27"/>
      <c r="D42" s="27"/>
      <c r="E42" s="2"/>
      <c r="F42" s="2"/>
    </row>
  </sheetData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E5C58-E61A-4D39-9DCE-1741CB458FDA}">
  <sheetPr>
    <tabColor rgb="FF92D050"/>
    <pageSetUpPr fitToPage="1"/>
  </sheetPr>
  <dimension ref="A1:F67"/>
  <sheetViews>
    <sheetView workbookViewId="0">
      <selection activeCell="A4" sqref="A4"/>
    </sheetView>
  </sheetViews>
  <sheetFormatPr defaultRowHeight="15" x14ac:dyDescent="0.25"/>
  <cols>
    <col min="1" max="1" width="78.140625" customWidth="1"/>
    <col min="2" max="2" width="13.5703125" customWidth="1"/>
    <col min="3" max="3" width="18.5703125" bestFit="1" customWidth="1"/>
    <col min="4" max="4" width="18.5703125" style="126" bestFit="1" customWidth="1"/>
    <col min="5" max="6" width="9.5703125" bestFit="1" customWidth="1"/>
  </cols>
  <sheetData>
    <row r="1" spans="1:5" x14ac:dyDescent="0.25">
      <c r="A1" s="35" t="s">
        <v>0</v>
      </c>
    </row>
    <row r="2" spans="1:5" x14ac:dyDescent="0.25">
      <c r="A2" s="35" t="s">
        <v>1</v>
      </c>
    </row>
    <row r="4" spans="1:5" x14ac:dyDescent="0.25">
      <c r="A4" s="36" t="s">
        <v>111</v>
      </c>
    </row>
    <row r="5" spans="1:5" ht="25.5" x14ac:dyDescent="0.25">
      <c r="A5" s="3" t="s">
        <v>107</v>
      </c>
    </row>
    <row r="6" spans="1:5" x14ac:dyDescent="0.25">
      <c r="A6" s="72" t="s">
        <v>2</v>
      </c>
    </row>
    <row r="7" spans="1:5" ht="21" x14ac:dyDescent="0.25">
      <c r="A7" s="149"/>
      <c r="B7" s="151" t="s">
        <v>101</v>
      </c>
      <c r="C7" s="105" t="s">
        <v>102</v>
      </c>
      <c r="D7" s="127" t="s">
        <v>102</v>
      </c>
      <c r="E7" s="153"/>
    </row>
    <row r="8" spans="1:5" x14ac:dyDescent="0.25">
      <c r="A8" s="149"/>
      <c r="B8" s="151"/>
      <c r="C8" s="89" t="s">
        <v>108</v>
      </c>
      <c r="D8" s="128" t="s">
        <v>108</v>
      </c>
      <c r="E8" s="153"/>
    </row>
    <row r="9" spans="1:5" ht="15.75" thickBot="1" x14ac:dyDescent="0.3">
      <c r="A9" s="150"/>
      <c r="B9" s="152"/>
      <c r="C9" s="90" t="s">
        <v>64</v>
      </c>
      <c r="D9" s="129" t="s">
        <v>65</v>
      </c>
      <c r="E9" s="153"/>
    </row>
    <row r="10" spans="1:5" ht="15.75" x14ac:dyDescent="0.25">
      <c r="A10" s="63" t="s">
        <v>66</v>
      </c>
      <c r="B10" s="91"/>
      <c r="C10" s="91"/>
      <c r="D10" s="130"/>
      <c r="E10" s="92"/>
    </row>
    <row r="11" spans="1:5" ht="21" x14ac:dyDescent="0.25">
      <c r="A11" s="107" t="s">
        <v>67</v>
      </c>
      <c r="B11" s="91"/>
      <c r="C11" s="94">
        <v>2031597</v>
      </c>
      <c r="D11" s="131">
        <v>1524398</v>
      </c>
      <c r="E11" s="92"/>
    </row>
    <row r="12" spans="1:5" ht="21" x14ac:dyDescent="0.25">
      <c r="A12" s="107" t="s">
        <v>68</v>
      </c>
      <c r="B12" s="91"/>
      <c r="C12" s="94">
        <v>198745</v>
      </c>
      <c r="D12" s="131">
        <v>179191</v>
      </c>
      <c r="E12" s="92"/>
    </row>
    <row r="13" spans="1:5" ht="15.75" x14ac:dyDescent="0.25">
      <c r="A13" s="93" t="s">
        <v>69</v>
      </c>
      <c r="B13" s="91"/>
      <c r="C13" s="94">
        <v>22543</v>
      </c>
      <c r="D13" s="131">
        <v>18222</v>
      </c>
      <c r="E13" s="92"/>
    </row>
    <row r="14" spans="1:5" ht="15.75" x14ac:dyDescent="0.25">
      <c r="A14" s="93" t="s">
        <v>70</v>
      </c>
      <c r="B14" s="91"/>
      <c r="C14" s="94">
        <v>0</v>
      </c>
      <c r="D14" s="131">
        <v>113035</v>
      </c>
      <c r="E14" s="92"/>
    </row>
    <row r="15" spans="1:5" ht="15.75" x14ac:dyDescent="0.25">
      <c r="A15" s="93" t="s">
        <v>71</v>
      </c>
      <c r="B15" s="91"/>
      <c r="C15" s="94">
        <v>444192</v>
      </c>
      <c r="D15" s="131">
        <v>513030</v>
      </c>
      <c r="E15" s="92"/>
    </row>
    <row r="16" spans="1:5" ht="15.75" x14ac:dyDescent="0.25">
      <c r="A16" s="93" t="s">
        <v>72</v>
      </c>
      <c r="B16" s="91"/>
      <c r="C16" s="94">
        <v>1981171</v>
      </c>
      <c r="D16" s="131">
        <v>1655135</v>
      </c>
      <c r="E16" s="92"/>
    </row>
    <row r="17" spans="1:6" ht="21" x14ac:dyDescent="0.25">
      <c r="A17" s="107" t="s">
        <v>73</v>
      </c>
      <c r="B17" s="91"/>
      <c r="C17" s="94">
        <v>-76612</v>
      </c>
      <c r="D17" s="131">
        <v>80909</v>
      </c>
      <c r="E17" s="92"/>
    </row>
    <row r="18" spans="1:6" ht="21" x14ac:dyDescent="0.25">
      <c r="A18" s="107" t="s">
        <v>74</v>
      </c>
      <c r="B18" s="91"/>
      <c r="C18" s="94">
        <v>10193</v>
      </c>
      <c r="D18" s="131">
        <v>354324</v>
      </c>
      <c r="E18" s="92"/>
    </row>
    <row r="19" spans="1:6" ht="15.75" x14ac:dyDescent="0.25">
      <c r="A19" s="93" t="s">
        <v>75</v>
      </c>
      <c r="B19" s="91"/>
      <c r="C19" s="94">
        <v>-225726</v>
      </c>
      <c r="D19" s="131">
        <v>-1335737</v>
      </c>
      <c r="E19" s="92"/>
    </row>
    <row r="20" spans="1:6" ht="15.75" x14ac:dyDescent="0.25">
      <c r="A20" s="93" t="s">
        <v>76</v>
      </c>
      <c r="B20" s="91"/>
      <c r="C20" s="94">
        <v>-728506</v>
      </c>
      <c r="D20" s="131">
        <v>-406532</v>
      </c>
      <c r="E20" s="92"/>
    </row>
    <row r="21" spans="1:6" ht="15.75" x14ac:dyDescent="0.25">
      <c r="A21" s="93" t="s">
        <v>77</v>
      </c>
      <c r="B21" s="91"/>
      <c r="C21" s="94">
        <v>-130633</v>
      </c>
      <c r="D21" s="131">
        <v>-101915</v>
      </c>
      <c r="E21" s="92"/>
    </row>
    <row r="22" spans="1:6" ht="15.75" x14ac:dyDescent="0.25">
      <c r="A22" s="93" t="s">
        <v>78</v>
      </c>
      <c r="B22" s="91"/>
      <c r="C22" s="94">
        <v>-1358482</v>
      </c>
      <c r="D22" s="131">
        <v>-806496</v>
      </c>
      <c r="E22" s="92"/>
    </row>
    <row r="23" spans="1:6" ht="16.5" thickBot="1" x14ac:dyDescent="0.3">
      <c r="A23" s="93" t="s">
        <v>79</v>
      </c>
      <c r="B23" s="91"/>
      <c r="C23" s="94">
        <v>-25793</v>
      </c>
      <c r="D23" s="131">
        <v>-1641629</v>
      </c>
      <c r="E23" s="92"/>
    </row>
    <row r="24" spans="1:6" ht="15.75" x14ac:dyDescent="0.25">
      <c r="A24" s="95"/>
      <c r="B24" s="96"/>
      <c r="C24" s="97"/>
      <c r="D24" s="132"/>
      <c r="E24" s="92"/>
    </row>
    <row r="25" spans="1:6" ht="21" x14ac:dyDescent="0.25">
      <c r="A25" s="107" t="s">
        <v>80</v>
      </c>
      <c r="B25" s="91"/>
      <c r="C25" s="94">
        <f>SUM(C11:C24)</f>
        <v>2142689</v>
      </c>
      <c r="D25" s="131">
        <f>SUM(D11:D23)</f>
        <v>145935</v>
      </c>
      <c r="E25" s="92"/>
    </row>
    <row r="26" spans="1:6" ht="15.75" x14ac:dyDescent="0.25">
      <c r="A26" s="107"/>
      <c r="B26" s="91"/>
      <c r="C26" s="91"/>
      <c r="D26" s="130"/>
      <c r="E26" s="92"/>
    </row>
    <row r="27" spans="1:6" ht="15.75" x14ac:dyDescent="0.25">
      <c r="A27" s="107" t="s">
        <v>81</v>
      </c>
      <c r="B27" s="91"/>
      <c r="C27" s="91"/>
      <c r="D27" s="130"/>
      <c r="E27" s="92"/>
    </row>
    <row r="28" spans="1:6" ht="15.75" x14ac:dyDescent="0.25">
      <c r="A28" s="107" t="s">
        <v>82</v>
      </c>
      <c r="B28" s="91"/>
      <c r="C28" s="91"/>
      <c r="D28" s="130"/>
      <c r="E28" s="92"/>
    </row>
    <row r="29" spans="1:6" ht="15.75" x14ac:dyDescent="0.25">
      <c r="A29" s="107" t="s">
        <v>28</v>
      </c>
      <c r="B29" s="91"/>
      <c r="C29" s="94">
        <v>0</v>
      </c>
      <c r="D29" s="131">
        <v>156070</v>
      </c>
      <c r="E29" s="92"/>
    </row>
    <row r="30" spans="1:6" ht="21" x14ac:dyDescent="0.25">
      <c r="A30" s="107" t="s">
        <v>29</v>
      </c>
      <c r="B30" s="91"/>
      <c r="C30" s="94">
        <v>-2061424</v>
      </c>
      <c r="D30" s="131">
        <v>6308555</v>
      </c>
      <c r="E30" s="92"/>
    </row>
    <row r="31" spans="1:6" ht="21" x14ac:dyDescent="0.25">
      <c r="A31" s="107" t="s">
        <v>83</v>
      </c>
      <c r="B31" s="91"/>
      <c r="C31" s="94">
        <v>-1671298</v>
      </c>
      <c r="D31" s="131">
        <v>-779744</v>
      </c>
      <c r="E31" s="92"/>
    </row>
    <row r="32" spans="1:6" x14ac:dyDescent="0.25">
      <c r="A32" s="93" t="s">
        <v>34</v>
      </c>
      <c r="B32" s="91"/>
      <c r="C32" s="94">
        <v>2361406</v>
      </c>
      <c r="D32" s="131">
        <v>-70399</v>
      </c>
      <c r="E32" s="124"/>
      <c r="F32" s="124"/>
    </row>
    <row r="33" spans="1:6" ht="15.75" x14ac:dyDescent="0.25">
      <c r="A33" s="93" t="s">
        <v>37</v>
      </c>
      <c r="B33" s="91"/>
      <c r="C33" s="94">
        <v>65906</v>
      </c>
      <c r="D33" s="131">
        <v>70954</v>
      </c>
      <c r="E33" s="92"/>
    </row>
    <row r="34" spans="1:6" ht="15.75" x14ac:dyDescent="0.25">
      <c r="A34" s="93" t="s">
        <v>42</v>
      </c>
      <c r="B34" s="91"/>
      <c r="C34" s="94">
        <v>2492491</v>
      </c>
      <c r="D34" s="131">
        <v>-5725559</v>
      </c>
      <c r="E34" s="92"/>
    </row>
    <row r="35" spans="1:6" ht="15.75" thickBot="1" x14ac:dyDescent="0.3">
      <c r="A35" s="93" t="s">
        <v>43</v>
      </c>
      <c r="B35" s="91"/>
      <c r="C35" s="94">
        <v>-410529</v>
      </c>
      <c r="D35" s="131">
        <v>-106944</v>
      </c>
      <c r="E35" s="124"/>
    </row>
    <row r="36" spans="1:6" ht="16.5" thickBot="1" x14ac:dyDescent="0.3">
      <c r="A36" s="98" t="s">
        <v>84</v>
      </c>
      <c r="B36" s="99"/>
      <c r="C36" s="100">
        <f>SUM(C25:C35)</f>
        <v>2919241</v>
      </c>
      <c r="D36" s="133">
        <f>SUM(D25:D35)</f>
        <v>-1132</v>
      </c>
      <c r="E36" s="92"/>
    </row>
    <row r="37" spans="1:6" ht="16.5" thickBot="1" x14ac:dyDescent="0.3">
      <c r="A37" s="101" t="s">
        <v>85</v>
      </c>
      <c r="B37" s="102"/>
      <c r="C37" s="103">
        <v>-234872</v>
      </c>
      <c r="D37" s="134">
        <v>-1122</v>
      </c>
      <c r="E37" s="92"/>
    </row>
    <row r="38" spans="1:6" ht="15.75" x14ac:dyDescent="0.25">
      <c r="A38" s="93"/>
      <c r="B38" s="91"/>
      <c r="C38" s="91"/>
      <c r="D38" s="130"/>
      <c r="E38" s="92"/>
    </row>
    <row r="39" spans="1:6" ht="15.75" thickBot="1" x14ac:dyDescent="0.3">
      <c r="A39" s="101" t="s">
        <v>86</v>
      </c>
      <c r="B39" s="102"/>
      <c r="C39" s="104">
        <f>SUM(C36:C37)</f>
        <v>2684369</v>
      </c>
      <c r="D39" s="134">
        <f>SUM(D36:D37)</f>
        <v>-2254</v>
      </c>
      <c r="E39" s="123"/>
      <c r="F39" s="123"/>
    </row>
    <row r="40" spans="1:6" ht="15.75" x14ac:dyDescent="0.25">
      <c r="A40" s="93"/>
      <c r="B40" s="91"/>
      <c r="C40" s="91"/>
      <c r="D40" s="130"/>
      <c r="E40" s="92"/>
    </row>
    <row r="41" spans="1:6" ht="15.75" x14ac:dyDescent="0.25">
      <c r="A41" s="63" t="s">
        <v>87</v>
      </c>
      <c r="B41" s="91"/>
      <c r="C41" s="91"/>
      <c r="D41" s="130"/>
      <c r="E41" s="92"/>
    </row>
    <row r="42" spans="1:6" ht="15.75" x14ac:dyDescent="0.25">
      <c r="A42" s="93" t="s">
        <v>88</v>
      </c>
      <c r="B42" s="91"/>
      <c r="C42" s="94">
        <v>-188027</v>
      </c>
      <c r="D42" s="131">
        <v>-48740</v>
      </c>
      <c r="E42" s="92"/>
    </row>
    <row r="43" spans="1:6" ht="16.5" thickBot="1" x14ac:dyDescent="0.3">
      <c r="A43" s="93" t="s">
        <v>89</v>
      </c>
      <c r="B43" s="91"/>
      <c r="C43" s="94">
        <f>ROUND([1]CFS!AK44,0)</f>
        <v>0</v>
      </c>
      <c r="D43" s="130">
        <v>0</v>
      </c>
      <c r="E43" s="92"/>
    </row>
    <row r="44" spans="1:6" ht="15.75" x14ac:dyDescent="0.25">
      <c r="A44" s="95"/>
      <c r="B44" s="96"/>
      <c r="C44" s="96"/>
      <c r="D44" s="132"/>
      <c r="E44" s="92"/>
    </row>
    <row r="45" spans="1:6" ht="16.5" thickBot="1" x14ac:dyDescent="0.3">
      <c r="A45" s="101" t="s">
        <v>90</v>
      </c>
      <c r="B45" s="102"/>
      <c r="C45" s="104">
        <f>SUM(C42:C44)</f>
        <v>-188027</v>
      </c>
      <c r="D45" s="134">
        <f>SUM(D42:D44)</f>
        <v>-48740</v>
      </c>
      <c r="E45" s="92"/>
    </row>
    <row r="47" spans="1:6" x14ac:dyDescent="0.25">
      <c r="A47" s="62" t="s">
        <v>91</v>
      </c>
      <c r="B47" s="106"/>
      <c r="C47" s="106"/>
      <c r="D47" s="135"/>
    </row>
    <row r="48" spans="1:6" x14ac:dyDescent="0.25">
      <c r="A48" s="107" t="s">
        <v>92</v>
      </c>
      <c r="B48" s="108">
        <v>22</v>
      </c>
      <c r="C48" s="109">
        <v>-3338415</v>
      </c>
      <c r="D48" s="136">
        <v>0</v>
      </c>
    </row>
    <row r="49" spans="1:6" x14ac:dyDescent="0.25">
      <c r="A49" s="107" t="s">
        <v>93</v>
      </c>
      <c r="B49" s="108">
        <v>19</v>
      </c>
      <c r="C49" s="109">
        <v>11138000</v>
      </c>
      <c r="D49" s="136">
        <v>40007718</v>
      </c>
    </row>
    <row r="50" spans="1:6" ht="15.75" thickBot="1" x14ac:dyDescent="0.3">
      <c r="A50" s="110" t="s">
        <v>94</v>
      </c>
      <c r="B50" s="111">
        <v>19</v>
      </c>
      <c r="C50" s="112">
        <v>-13226792</v>
      </c>
      <c r="D50" s="137">
        <v>-39821604</v>
      </c>
    </row>
    <row r="51" spans="1:6" x14ac:dyDescent="0.25">
      <c r="A51" s="107"/>
      <c r="B51" s="106"/>
      <c r="C51" s="106"/>
      <c r="D51" s="135"/>
    </row>
    <row r="52" spans="1:6" ht="15.75" thickBot="1" x14ac:dyDescent="0.3">
      <c r="A52" s="110" t="s">
        <v>95</v>
      </c>
      <c r="B52" s="113"/>
      <c r="C52" s="112">
        <f>SUM(C48:C51)</f>
        <v>-5427207</v>
      </c>
      <c r="D52" s="138">
        <f>SUM(D48:D51)</f>
        <v>186114</v>
      </c>
    </row>
    <row r="53" spans="1:6" x14ac:dyDescent="0.25">
      <c r="A53" s="107"/>
      <c r="B53" s="106"/>
      <c r="C53" s="106"/>
      <c r="D53" s="135"/>
    </row>
    <row r="54" spans="1:6" x14ac:dyDescent="0.25">
      <c r="A54" s="107" t="s">
        <v>96</v>
      </c>
      <c r="B54" s="106"/>
      <c r="C54" s="109">
        <f>SUM(C52,C45,C39)</f>
        <v>-2930865</v>
      </c>
      <c r="D54" s="139">
        <f>SUM(D52,D45,D39)</f>
        <v>135120</v>
      </c>
    </row>
    <row r="55" spans="1:6" ht="21" x14ac:dyDescent="0.25">
      <c r="A55" s="114" t="s">
        <v>97</v>
      </c>
      <c r="B55" s="106"/>
      <c r="C55" s="109">
        <v>-4947</v>
      </c>
      <c r="D55" s="140">
        <v>299560</v>
      </c>
    </row>
    <row r="56" spans="1:6" ht="15.75" thickBot="1" x14ac:dyDescent="0.3">
      <c r="A56" s="115" t="s">
        <v>98</v>
      </c>
      <c r="B56" s="113"/>
      <c r="C56" s="112">
        <f>SUM(C54:C55)</f>
        <v>-2935812</v>
      </c>
      <c r="D56" s="138">
        <f>SUM(D54:D55)</f>
        <v>434680</v>
      </c>
      <c r="E56" s="123"/>
      <c r="F56" s="123"/>
    </row>
    <row r="57" spans="1:6" x14ac:dyDescent="0.25">
      <c r="A57" s="107"/>
      <c r="B57" s="106"/>
      <c r="C57" s="106"/>
      <c r="D57" s="135"/>
    </row>
    <row r="58" spans="1:6" ht="15.75" thickBot="1" x14ac:dyDescent="0.3">
      <c r="A58" s="116" t="s">
        <v>99</v>
      </c>
      <c r="B58" s="111">
        <v>13</v>
      </c>
      <c r="C58" s="117">
        <f>[1]SFP!E4</f>
        <v>3208528</v>
      </c>
      <c r="D58" s="141">
        <v>604584</v>
      </c>
    </row>
    <row r="59" spans="1:6" ht="15.75" thickBot="1" x14ac:dyDescent="0.3">
      <c r="A59" s="118" t="s">
        <v>100</v>
      </c>
      <c r="B59" s="119">
        <v>13</v>
      </c>
      <c r="C59" s="120">
        <v>272716</v>
      </c>
      <c r="D59" s="142">
        <v>1039264</v>
      </c>
    </row>
    <row r="60" spans="1:6" ht="15.75" thickTop="1" x14ac:dyDescent="0.25"/>
    <row r="61" spans="1:6" x14ac:dyDescent="0.25">
      <c r="A61" s="121"/>
      <c r="C61" s="122" t="b">
        <f>C59=[1]SFP!D4</f>
        <v>0</v>
      </c>
      <c r="D61" s="143"/>
    </row>
    <row r="63" spans="1:6" x14ac:dyDescent="0.25">
      <c r="A63" s="28" t="s">
        <v>21</v>
      </c>
      <c r="B63" s="10"/>
      <c r="C63" s="14"/>
      <c r="D63" s="144"/>
    </row>
    <row r="64" spans="1:6" x14ac:dyDescent="0.25">
      <c r="A64" s="28"/>
      <c r="B64" s="10"/>
      <c r="C64" s="14"/>
      <c r="D64" s="144"/>
    </row>
    <row r="65" spans="1:4" x14ac:dyDescent="0.25">
      <c r="A65" s="58"/>
      <c r="B65" s="10"/>
      <c r="C65" s="33"/>
      <c r="D65" s="145"/>
    </row>
    <row r="66" spans="1:4" x14ac:dyDescent="0.25">
      <c r="A66" s="34" t="s">
        <v>22</v>
      </c>
      <c r="B66" s="10"/>
      <c r="C66" s="34" t="s">
        <v>23</v>
      </c>
      <c r="D66" s="144"/>
    </row>
    <row r="67" spans="1:4" x14ac:dyDescent="0.25">
      <c r="A67" s="60" t="s">
        <v>24</v>
      </c>
      <c r="B67" s="10"/>
      <c r="C67" s="34" t="s">
        <v>25</v>
      </c>
      <c r="D67" s="144"/>
    </row>
  </sheetData>
  <mergeCells count="3">
    <mergeCell ref="A7:A9"/>
    <mergeCell ref="B7:B9"/>
    <mergeCell ref="E7:E9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5B345-D854-40DA-803C-CE1CAEE7DE06}">
  <sheetPr>
    <tabColor rgb="FF92D050"/>
    <pageSetUpPr fitToPage="1"/>
  </sheetPr>
  <dimension ref="A1:L32"/>
  <sheetViews>
    <sheetView workbookViewId="0">
      <selection activeCell="B8" sqref="B8"/>
    </sheetView>
  </sheetViews>
  <sheetFormatPr defaultRowHeight="15" x14ac:dyDescent="0.25"/>
  <cols>
    <col min="2" max="2" width="40.5703125" customWidth="1"/>
    <col min="4" max="4" width="17" customWidth="1"/>
    <col min="5" max="5" width="8.85546875" bestFit="1" customWidth="1"/>
    <col min="6" max="6" width="16.42578125" customWidth="1"/>
    <col min="8" max="8" width="24.42578125" customWidth="1"/>
    <col min="9" max="9" width="8.85546875" bestFit="1" customWidth="1"/>
    <col min="10" max="10" width="13.5703125" customWidth="1"/>
    <col min="12" max="12" width="15" customWidth="1"/>
  </cols>
  <sheetData>
    <row r="1" spans="1:12" x14ac:dyDescent="0.25">
      <c r="A1" s="35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x14ac:dyDescent="0.25">
      <c r="A2" s="35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x14ac:dyDescent="0.25">
      <c r="A4" s="61"/>
      <c r="B4" s="36" t="s">
        <v>111</v>
      </c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ht="21" x14ac:dyDescent="0.25">
      <c r="A5" s="61"/>
      <c r="B5" s="62" t="s">
        <v>109</v>
      </c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2" x14ac:dyDescent="0.25">
      <c r="A6" s="61"/>
      <c r="B6" s="63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x14ac:dyDescent="0.25">
      <c r="A7" s="71"/>
      <c r="B7" s="72" t="s">
        <v>2</v>
      </c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2" ht="73.5" x14ac:dyDescent="0.25">
      <c r="A8" s="71"/>
      <c r="B8" s="75"/>
      <c r="C8" s="76"/>
      <c r="D8" s="77" t="s">
        <v>54</v>
      </c>
      <c r="E8" s="77"/>
      <c r="F8" s="77" t="s">
        <v>55</v>
      </c>
      <c r="G8" s="77"/>
      <c r="H8" s="77" t="s">
        <v>56</v>
      </c>
      <c r="I8" s="77"/>
      <c r="J8" s="77" t="s">
        <v>57</v>
      </c>
      <c r="K8" s="77"/>
      <c r="L8" s="78" t="s">
        <v>58</v>
      </c>
    </row>
    <row r="9" spans="1:12" ht="15.75" thickBot="1" x14ac:dyDescent="0.3">
      <c r="A9" s="61"/>
      <c r="B9" s="79">
        <v>44197</v>
      </c>
      <c r="C9" s="80"/>
      <c r="D9" s="81">
        <v>11240188</v>
      </c>
      <c r="E9" s="81"/>
      <c r="F9" s="81">
        <v>0</v>
      </c>
      <c r="G9" s="81"/>
      <c r="H9" s="81">
        <v>139146</v>
      </c>
      <c r="I9" s="81"/>
      <c r="J9" s="81">
        <v>14253738.667229999</v>
      </c>
      <c r="K9" s="81">
        <v>0</v>
      </c>
      <c r="L9" s="81">
        <f>D9+F9+H9+J9</f>
        <v>25633072.667229999</v>
      </c>
    </row>
    <row r="10" spans="1:12" x14ac:dyDescent="0.25">
      <c r="A10" s="61"/>
      <c r="B10" s="65"/>
      <c r="C10" s="61"/>
      <c r="D10" s="66"/>
      <c r="E10" s="66"/>
      <c r="F10" s="66"/>
      <c r="G10" s="66"/>
      <c r="H10" s="66"/>
      <c r="I10" s="66"/>
      <c r="J10" s="66"/>
      <c r="K10" s="66"/>
      <c r="L10" s="66"/>
    </row>
    <row r="11" spans="1:12" x14ac:dyDescent="0.25">
      <c r="A11" s="61"/>
      <c r="B11" s="68" t="s">
        <v>59</v>
      </c>
      <c r="C11" s="61"/>
      <c r="D11" s="64"/>
      <c r="E11" s="64"/>
      <c r="F11" s="64"/>
      <c r="G11" s="64"/>
      <c r="H11" s="64"/>
      <c r="I11" s="64"/>
      <c r="J11" s="67">
        <v>2865112.6259199982</v>
      </c>
      <c r="K11" s="64"/>
      <c r="L11" s="67">
        <f>D11+F11+H11+J11</f>
        <v>2865112.6259199982</v>
      </c>
    </row>
    <row r="12" spans="1:12" x14ac:dyDescent="0.25">
      <c r="A12" s="61"/>
      <c r="B12" s="68" t="s">
        <v>60</v>
      </c>
      <c r="C12" s="61"/>
      <c r="D12" s="64"/>
      <c r="E12" s="64"/>
      <c r="F12" s="64"/>
      <c r="G12" s="64"/>
      <c r="H12" s="67">
        <v>18603.902650000004</v>
      </c>
      <c r="I12" s="64"/>
      <c r="J12" s="64"/>
      <c r="K12" s="64"/>
      <c r="L12" s="67">
        <f t="shared" ref="L12:L13" si="0">D12+F12+H12+J12</f>
        <v>18603.902650000004</v>
      </c>
    </row>
    <row r="13" spans="1:12" x14ac:dyDescent="0.25">
      <c r="A13" s="61"/>
      <c r="B13" s="83" t="s">
        <v>63</v>
      </c>
      <c r="C13" s="76"/>
      <c r="D13" s="84"/>
      <c r="E13" s="84"/>
      <c r="F13" s="84"/>
      <c r="G13" s="84"/>
      <c r="H13" s="84"/>
      <c r="I13" s="84"/>
      <c r="J13" s="85">
        <v>-3338414.2594599994</v>
      </c>
      <c r="K13" s="84"/>
      <c r="L13" s="85">
        <f t="shared" si="0"/>
        <v>-3338414.2594599994</v>
      </c>
    </row>
    <row r="14" spans="1:12" x14ac:dyDescent="0.25">
      <c r="A14" s="61"/>
      <c r="B14" s="68"/>
      <c r="C14" s="61"/>
      <c r="D14" s="64"/>
      <c r="E14" s="64"/>
      <c r="F14" s="64"/>
      <c r="G14" s="64"/>
      <c r="H14" s="64"/>
      <c r="I14" s="64"/>
      <c r="J14" s="67"/>
      <c r="K14" s="64"/>
      <c r="L14" s="67">
        <v>0</v>
      </c>
    </row>
    <row r="15" spans="1:12" ht="15.75" thickBot="1" x14ac:dyDescent="0.3">
      <c r="A15" s="61"/>
      <c r="B15" s="79">
        <v>44469</v>
      </c>
      <c r="C15" s="80"/>
      <c r="D15" s="81">
        <f>D9+D11+D12+D13</f>
        <v>11240188</v>
      </c>
      <c r="E15" s="81"/>
      <c r="F15" s="81">
        <f>F9+F11+F12+F13</f>
        <v>0</v>
      </c>
      <c r="G15" s="81"/>
      <c r="H15" s="81">
        <f>H9+H11+H12+H13</f>
        <v>157749.90265</v>
      </c>
      <c r="I15" s="81"/>
      <c r="J15" s="81">
        <f>J9+J11+J12+J13</f>
        <v>13780437.033689998</v>
      </c>
      <c r="K15" s="81">
        <v>0</v>
      </c>
      <c r="L15" s="81">
        <f>D15+F15+H15+J15</f>
        <v>25178374.936339997</v>
      </c>
    </row>
    <row r="16" spans="1:12" x14ac:dyDescent="0.25">
      <c r="A16" s="71"/>
      <c r="B16" s="73"/>
      <c r="C16" s="71"/>
      <c r="D16" s="74"/>
      <c r="E16" s="74"/>
      <c r="F16" s="74"/>
      <c r="G16" s="74"/>
      <c r="H16" s="74"/>
      <c r="I16" s="74"/>
      <c r="J16" s="74"/>
      <c r="K16" s="74"/>
      <c r="L16" s="74"/>
    </row>
    <row r="17" spans="1:12" ht="73.5" x14ac:dyDescent="0.25">
      <c r="A17" s="71"/>
      <c r="B17" s="75"/>
      <c r="C17" s="76"/>
      <c r="D17" s="77" t="s">
        <v>54</v>
      </c>
      <c r="E17" s="77"/>
      <c r="F17" s="77" t="s">
        <v>55</v>
      </c>
      <c r="G17" s="77"/>
      <c r="H17" s="77" t="s">
        <v>56</v>
      </c>
      <c r="I17" s="77"/>
      <c r="J17" s="77" t="s">
        <v>57</v>
      </c>
      <c r="K17" s="77"/>
      <c r="L17" s="78" t="s">
        <v>58</v>
      </c>
    </row>
    <row r="18" spans="1:12" ht="15.75" thickBot="1" x14ac:dyDescent="0.3">
      <c r="A18" s="71"/>
      <c r="B18" s="79">
        <v>43831</v>
      </c>
      <c r="C18" s="80"/>
      <c r="D18" s="81">
        <v>4099259</v>
      </c>
      <c r="E18" s="81"/>
      <c r="F18" s="81">
        <v>7140929</v>
      </c>
      <c r="G18" s="81"/>
      <c r="H18" s="81">
        <v>139929</v>
      </c>
      <c r="I18" s="81"/>
      <c r="J18" s="81">
        <v>10688599</v>
      </c>
      <c r="K18" s="82"/>
      <c r="L18" s="81">
        <f>D18+F18+H18+J18</f>
        <v>22068716</v>
      </c>
    </row>
    <row r="19" spans="1:12" x14ac:dyDescent="0.25">
      <c r="A19" s="61"/>
      <c r="B19" s="61"/>
      <c r="C19" s="61"/>
      <c r="D19" s="67"/>
      <c r="E19" s="64"/>
      <c r="F19" s="67"/>
      <c r="G19" s="64"/>
      <c r="H19" s="67"/>
      <c r="I19" s="64"/>
      <c r="J19" s="67"/>
      <c r="K19" s="64"/>
      <c r="L19" s="67"/>
    </row>
    <row r="20" spans="1:12" x14ac:dyDescent="0.25">
      <c r="A20" s="61"/>
      <c r="B20" s="68" t="s">
        <v>59</v>
      </c>
      <c r="C20" s="61"/>
      <c r="D20" s="64"/>
      <c r="E20" s="64"/>
      <c r="F20" s="64"/>
      <c r="G20" s="64"/>
      <c r="H20" s="64"/>
      <c r="I20" s="64"/>
      <c r="J20" s="67">
        <v>3161987</v>
      </c>
      <c r="K20" s="64"/>
      <c r="L20" s="67">
        <f t="shared" ref="L20:L23" si="1">D20+F20+H20+J20</f>
        <v>3161987</v>
      </c>
    </row>
    <row r="21" spans="1:12" x14ac:dyDescent="0.25">
      <c r="A21" s="61"/>
      <c r="B21" s="68" t="s">
        <v>60</v>
      </c>
      <c r="C21" s="61"/>
      <c r="D21" s="64"/>
      <c r="E21" s="64"/>
      <c r="F21" s="64"/>
      <c r="G21" s="64"/>
      <c r="H21" s="67">
        <v>-68294</v>
      </c>
      <c r="I21" s="64"/>
      <c r="J21" s="64"/>
      <c r="K21" s="64"/>
      <c r="L21" s="67">
        <f t="shared" si="1"/>
        <v>-68294</v>
      </c>
    </row>
    <row r="22" spans="1:12" ht="21" x14ac:dyDescent="0.25">
      <c r="A22" s="61"/>
      <c r="B22" s="68" t="s">
        <v>61</v>
      </c>
      <c r="C22" s="61"/>
      <c r="D22" s="64">
        <v>7140929</v>
      </c>
      <c r="E22" s="64"/>
      <c r="F22" s="64">
        <v>-7140929</v>
      </c>
      <c r="G22" s="64"/>
      <c r="H22" s="64"/>
      <c r="I22" s="64"/>
      <c r="J22" s="64">
        <v>-3</v>
      </c>
      <c r="K22" s="64"/>
      <c r="L22" s="67">
        <f t="shared" si="1"/>
        <v>-3</v>
      </c>
    </row>
    <row r="23" spans="1:12" x14ac:dyDescent="0.25">
      <c r="A23" s="61"/>
      <c r="B23" s="83" t="s">
        <v>62</v>
      </c>
      <c r="C23" s="76"/>
      <c r="D23" s="84"/>
      <c r="E23" s="84"/>
      <c r="F23" s="84"/>
      <c r="G23" s="84"/>
      <c r="H23" s="84"/>
      <c r="I23" s="84"/>
      <c r="J23" s="85"/>
      <c r="K23" s="84"/>
      <c r="L23" s="85">
        <f t="shared" si="1"/>
        <v>0</v>
      </c>
    </row>
    <row r="24" spans="1:12" x14ac:dyDescent="0.25">
      <c r="A24" s="61"/>
      <c r="B24" s="68"/>
      <c r="C24" s="61"/>
      <c r="D24" s="64"/>
      <c r="E24" s="64"/>
      <c r="F24" s="64"/>
      <c r="G24" s="64"/>
      <c r="H24" s="64"/>
      <c r="I24" s="64"/>
      <c r="J24" s="67"/>
      <c r="K24" s="64"/>
      <c r="L24" s="67"/>
    </row>
    <row r="25" spans="1:12" ht="15.75" thickBot="1" x14ac:dyDescent="0.3">
      <c r="A25" s="61"/>
      <c r="B25" s="79">
        <v>44104</v>
      </c>
      <c r="C25" s="80"/>
      <c r="D25" s="81">
        <f>D18+D21+D22+D23</f>
        <v>11240188</v>
      </c>
      <c r="E25" s="81"/>
      <c r="F25" s="81">
        <f>F18+F21+F22+F23</f>
        <v>0</v>
      </c>
      <c r="G25" s="81"/>
      <c r="H25" s="81">
        <f>H18+H21+H22+H23+H20</f>
        <v>71635</v>
      </c>
      <c r="I25" s="81"/>
      <c r="J25" s="81">
        <f>J18+J21+J22+J23+J20</f>
        <v>13850583</v>
      </c>
      <c r="K25" s="81">
        <v>0</v>
      </c>
      <c r="L25" s="81">
        <f>D25+F25+H25+J25</f>
        <v>25162406</v>
      </c>
    </row>
    <row r="26" spans="1:12" x14ac:dyDescent="0.25">
      <c r="A26" s="61"/>
      <c r="B26" s="61"/>
      <c r="C26" s="61"/>
      <c r="D26" s="69">
        <v>0</v>
      </c>
      <c r="E26" s="70"/>
      <c r="F26" s="69">
        <v>0</v>
      </c>
      <c r="G26" s="70"/>
      <c r="H26" s="69">
        <v>0</v>
      </c>
      <c r="I26" s="70"/>
      <c r="J26" s="69">
        <v>-4.1130000725388527E-2</v>
      </c>
      <c r="K26" s="70"/>
      <c r="L26" s="69">
        <v>0.18042000010609627</v>
      </c>
    </row>
    <row r="27" spans="1:12" x14ac:dyDescent="0.25">
      <c r="A27" s="61"/>
      <c r="B27" s="28" t="s">
        <v>21</v>
      </c>
      <c r="C27" s="61"/>
      <c r="D27" s="61"/>
      <c r="E27" s="61"/>
      <c r="F27" s="61"/>
      <c r="G27" s="61"/>
      <c r="H27" s="14"/>
      <c r="I27" s="61"/>
      <c r="J27" s="61"/>
      <c r="K27" s="61"/>
      <c r="L27" s="61"/>
    </row>
    <row r="28" spans="1:12" x14ac:dyDescent="0.25">
      <c r="A28" s="61"/>
      <c r="B28" s="28"/>
      <c r="C28" s="61"/>
      <c r="D28" s="61"/>
      <c r="E28" s="61"/>
      <c r="F28" s="61"/>
      <c r="G28" s="61"/>
      <c r="H28" s="14"/>
      <c r="I28" s="61"/>
      <c r="J28" s="61"/>
      <c r="K28" s="61"/>
      <c r="L28" s="61"/>
    </row>
    <row r="29" spans="1:12" x14ac:dyDescent="0.25">
      <c r="A29" s="61"/>
      <c r="B29" s="58"/>
      <c r="C29" s="61"/>
      <c r="D29" s="61"/>
      <c r="E29" s="61"/>
      <c r="F29" s="61"/>
      <c r="G29" s="61"/>
      <c r="H29" s="33"/>
      <c r="I29" s="61"/>
      <c r="J29" s="61"/>
      <c r="K29" s="61"/>
      <c r="L29" s="61"/>
    </row>
    <row r="30" spans="1:12" x14ac:dyDescent="0.25">
      <c r="A30" s="61"/>
      <c r="B30" s="34" t="s">
        <v>22</v>
      </c>
      <c r="C30" s="61"/>
      <c r="D30" s="61"/>
      <c r="E30" s="61"/>
      <c r="F30" s="61"/>
      <c r="G30" s="61"/>
      <c r="H30" s="34" t="s">
        <v>23</v>
      </c>
      <c r="I30" s="61"/>
      <c r="J30" s="61"/>
      <c r="K30" s="61"/>
      <c r="L30" s="61"/>
    </row>
    <row r="31" spans="1:12" ht="22.5" x14ac:dyDescent="0.25">
      <c r="A31" s="61"/>
      <c r="B31" s="60" t="s">
        <v>24</v>
      </c>
      <c r="C31" s="61"/>
      <c r="D31" s="61"/>
      <c r="E31" s="61"/>
      <c r="F31" s="61"/>
      <c r="G31" s="61"/>
      <c r="H31" s="34" t="s">
        <v>25</v>
      </c>
      <c r="I31" s="61"/>
      <c r="J31" s="61"/>
      <c r="K31" s="61"/>
      <c r="L31" s="61"/>
    </row>
    <row r="32" spans="1:12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Seidakhmetova Bayan</dc:creator>
  <cp:lastModifiedBy>Antonova Natalya</cp:lastModifiedBy>
  <cp:lastPrinted>2021-10-29T08:38:08Z</cp:lastPrinted>
  <dcterms:created xsi:type="dcterms:W3CDTF">2021-08-12T10:42:32Z</dcterms:created>
  <dcterms:modified xsi:type="dcterms:W3CDTF">2021-11-10T11:17:14Z</dcterms:modified>
</cp:coreProperties>
</file>