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.ismailova.HALYKFINANCE.000\Desktop\Kase\"/>
    </mc:Choice>
  </mc:AlternateContent>
  <bookViews>
    <workbookView xWindow="0" yWindow="0" windowWidth="24000" windowHeight="9735" activeTab="1"/>
  </bookViews>
  <sheets>
    <sheet name="Ф1" sheetId="1" r:id="rId1"/>
    <sheet name="Ф2" sheetId="2" r:id="rId2"/>
  </sheets>
  <externalReferences>
    <externalReference r:id="rId3"/>
    <externalReference r:id="rId4"/>
    <externalReference r:id="rId5"/>
    <externalReference r:id="rId6"/>
  </externalReferences>
  <definedNames>
    <definedName name="q">#REF!</definedName>
    <definedName name="вп">#REF!</definedName>
    <definedName name="_xlnm.Print_Area" localSheetId="0">Ф1!$A$1:$D$130</definedName>
    <definedName name="_xlnm.Print_Area" localSheetId="1">Ф2!$A$1:$F$126</definedName>
    <definedName name="ф77">#REF!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5" i="2" l="1"/>
  <c r="F152" i="2"/>
  <c r="F151" i="2"/>
  <c r="F145" i="2"/>
  <c r="F141" i="2"/>
  <c r="F109" i="2"/>
  <c r="E109" i="2" s="1"/>
  <c r="D109" i="2"/>
  <c r="C109" i="2" s="1"/>
  <c r="C103" i="2"/>
  <c r="E102" i="2"/>
  <c r="C102" i="2"/>
  <c r="E101" i="2"/>
  <c r="D101" i="2"/>
  <c r="C101" i="2" s="1"/>
  <c r="E100" i="2"/>
  <c r="C100" i="2"/>
  <c r="D99" i="2"/>
  <c r="C99" i="2" s="1"/>
  <c r="E98" i="2"/>
  <c r="C98" i="2"/>
  <c r="E97" i="2"/>
  <c r="C97" i="2"/>
  <c r="E96" i="2"/>
  <c r="C96" i="2"/>
  <c r="F94" i="2"/>
  <c r="E94" i="2" s="1"/>
  <c r="I94" i="2" s="1"/>
  <c r="D94" i="2"/>
  <c r="H94" i="2" s="1"/>
  <c r="F93" i="2"/>
  <c r="E93" i="2" s="1"/>
  <c r="D93" i="2"/>
  <c r="C93" i="2" s="1"/>
  <c r="D89" i="2"/>
  <c r="D87" i="2" s="1"/>
  <c r="F87" i="2"/>
  <c r="E87" i="2"/>
  <c r="C87" i="2"/>
  <c r="E86" i="2"/>
  <c r="C86" i="2"/>
  <c r="E85" i="2"/>
  <c r="C85" i="2"/>
  <c r="E84" i="2"/>
  <c r="C84" i="2"/>
  <c r="F83" i="2"/>
  <c r="E83" i="2"/>
  <c r="D83" i="2"/>
  <c r="C83" i="2"/>
  <c r="E82" i="2"/>
  <c r="C82" i="2"/>
  <c r="F81" i="2"/>
  <c r="E81" i="2"/>
  <c r="D81" i="2"/>
  <c r="C81" i="2"/>
  <c r="F80" i="2"/>
  <c r="E80" i="2" s="1"/>
  <c r="D80" i="2"/>
  <c r="C80" i="2"/>
  <c r="F79" i="2"/>
  <c r="E79" i="2" s="1"/>
  <c r="D79" i="2" s="1"/>
  <c r="C79" i="2" s="1"/>
  <c r="F78" i="2"/>
  <c r="E78" i="2" s="1"/>
  <c r="D78" i="2" s="1"/>
  <c r="C78" i="2" s="1"/>
  <c r="F77" i="2"/>
  <c r="E77" i="2" s="1"/>
  <c r="D77" i="2" s="1"/>
  <c r="C77" i="2" s="1"/>
  <c r="F76" i="2"/>
  <c r="E76" i="2" s="1"/>
  <c r="D76" i="2" s="1"/>
  <c r="C76" i="2" s="1"/>
  <c r="F75" i="2"/>
  <c r="E75" i="2" s="1"/>
  <c r="D75" i="2" s="1"/>
  <c r="C74" i="2"/>
  <c r="E70" i="2"/>
  <c r="C70" i="2"/>
  <c r="E69" i="2"/>
  <c r="C69" i="2"/>
  <c r="F68" i="2"/>
  <c r="E68" i="2" s="1"/>
  <c r="D68" i="2"/>
  <c r="C68" i="2" s="1"/>
  <c r="F67" i="2"/>
  <c r="E67" i="2" s="1"/>
  <c r="D67" i="2"/>
  <c r="C67" i="2" s="1"/>
  <c r="E66" i="2"/>
  <c r="C66" i="2"/>
  <c r="C65" i="2"/>
  <c r="F64" i="2"/>
  <c r="J64" i="2" s="1"/>
  <c r="D64" i="2"/>
  <c r="H64" i="2" s="1"/>
  <c r="C64" i="2"/>
  <c r="E63" i="2"/>
  <c r="C63" i="2"/>
  <c r="F62" i="2"/>
  <c r="E62" i="2"/>
  <c r="C62" i="2"/>
  <c r="E61" i="2"/>
  <c r="C61" i="2"/>
  <c r="F60" i="2"/>
  <c r="E60" i="2" s="1"/>
  <c r="E58" i="2" s="1"/>
  <c r="D60" i="2"/>
  <c r="C60" i="2" s="1"/>
  <c r="C58" i="2" s="1"/>
  <c r="F58" i="2"/>
  <c r="D58" i="2"/>
  <c r="H58" i="2" s="1"/>
  <c r="F55" i="2"/>
  <c r="E55" i="2" s="1"/>
  <c r="D55" i="2"/>
  <c r="C55" i="2" s="1"/>
  <c r="F54" i="2"/>
  <c r="E54" i="2" s="1"/>
  <c r="D54" i="2"/>
  <c r="C54" i="2" s="1"/>
  <c r="D50" i="2"/>
  <c r="C50" i="2" s="1"/>
  <c r="F44" i="2"/>
  <c r="E44" i="2"/>
  <c r="D44" i="2"/>
  <c r="C44" i="2" s="1"/>
  <c r="F42" i="2"/>
  <c r="E42" i="2"/>
  <c r="D42" i="2"/>
  <c r="C42" i="2" s="1"/>
  <c r="F41" i="2"/>
  <c r="E41" i="2"/>
  <c r="D41" i="2"/>
  <c r="C41" i="2" s="1"/>
  <c r="E40" i="2"/>
  <c r="C40" i="2"/>
  <c r="E39" i="2"/>
  <c r="C39" i="2"/>
  <c r="E37" i="2"/>
  <c r="C37" i="2"/>
  <c r="E36" i="2"/>
  <c r="C36" i="2"/>
  <c r="F35" i="2"/>
  <c r="E35" i="2"/>
  <c r="D35" i="2"/>
  <c r="D38" i="2" s="1"/>
  <c r="C38" i="2" s="1"/>
  <c r="E34" i="2"/>
  <c r="C34" i="2"/>
  <c r="E33" i="2"/>
  <c r="C33" i="2"/>
  <c r="E32" i="2"/>
  <c r="C32" i="2"/>
  <c r="E31" i="2"/>
  <c r="C31" i="2"/>
  <c r="E29" i="2"/>
  <c r="C29" i="2"/>
  <c r="F27" i="2"/>
  <c r="J27" i="2" s="1"/>
  <c r="D27" i="2"/>
  <c r="H27" i="2" s="1"/>
  <c r="C27" i="2"/>
  <c r="G27" i="2" s="1"/>
  <c r="E26" i="2"/>
  <c r="C26" i="2"/>
  <c r="F25" i="2"/>
  <c r="E25" i="2"/>
  <c r="D25" i="2"/>
  <c r="C25" i="2" s="1"/>
  <c r="E24" i="2"/>
  <c r="C24" i="2"/>
  <c r="F23" i="2"/>
  <c r="E23" i="2" s="1"/>
  <c r="C23" i="2"/>
  <c r="E22" i="2"/>
  <c r="C22" i="2"/>
  <c r="F21" i="2"/>
  <c r="E21" i="2" s="1"/>
  <c r="C21" i="2"/>
  <c r="F20" i="2"/>
  <c r="E20" i="2" s="1"/>
  <c r="D20" i="2"/>
  <c r="C20" i="2"/>
  <c r="E19" i="2"/>
  <c r="C19" i="2"/>
  <c r="D18" i="2"/>
  <c r="C18" i="2" s="1"/>
  <c r="F15" i="2"/>
  <c r="F17" i="2" s="1"/>
  <c r="E17" i="2" s="1"/>
  <c r="E15" i="2"/>
  <c r="D15" i="2"/>
  <c r="D17" i="2" s="1"/>
  <c r="C17" i="2" s="1"/>
  <c r="F14" i="2"/>
  <c r="E14" i="2"/>
  <c r="D14" i="2"/>
  <c r="C14" i="2" s="1"/>
  <c r="E13" i="2"/>
  <c r="C13" i="2"/>
  <c r="F11" i="2"/>
  <c r="J11" i="2" s="1"/>
  <c r="D114" i="1"/>
  <c r="C114" i="1"/>
  <c r="D109" i="1"/>
  <c r="C109" i="1"/>
  <c r="F103" i="1"/>
  <c r="E103" i="1"/>
  <c r="D103" i="1"/>
  <c r="D119" i="1" s="1"/>
  <c r="D120" i="1" s="1"/>
  <c r="C103" i="1"/>
  <c r="C119" i="1" s="1"/>
  <c r="D100" i="1"/>
  <c r="D94" i="1"/>
  <c r="D74" i="1"/>
  <c r="C74" i="1"/>
  <c r="C100" i="1" s="1"/>
  <c r="D73" i="1"/>
  <c r="C73" i="1"/>
  <c r="C57" i="1"/>
  <c r="D47" i="1"/>
  <c r="D43" i="1"/>
  <c r="C38" i="1"/>
  <c r="D37" i="1"/>
  <c r="C37" i="1"/>
  <c r="C27" i="1"/>
  <c r="C25" i="1"/>
  <c r="C24" i="1"/>
  <c r="C22" i="1"/>
  <c r="C19" i="1"/>
  <c r="C18" i="1"/>
  <c r="C16" i="1"/>
  <c r="C14" i="1"/>
  <c r="D11" i="1"/>
  <c r="D63" i="1" s="1"/>
  <c r="C11" i="1"/>
  <c r="C63" i="1" s="1"/>
  <c r="I58" i="2" l="1"/>
  <c r="G64" i="2"/>
  <c r="C11" i="2"/>
  <c r="G58" i="2"/>
  <c r="C75" i="2"/>
  <c r="D73" i="2"/>
  <c r="J58" i="2"/>
  <c r="J94" i="2"/>
  <c r="D11" i="2"/>
  <c r="F18" i="2"/>
  <c r="E18" i="2" s="1"/>
  <c r="F38" i="2"/>
  <c r="E38" i="2" s="1"/>
  <c r="C94" i="2"/>
  <c r="G94" i="2" s="1"/>
  <c r="F56" i="2"/>
  <c r="D71" i="2"/>
  <c r="C71" i="2" s="1"/>
  <c r="E11" i="2"/>
  <c r="C15" i="2"/>
  <c r="E27" i="2"/>
  <c r="I27" i="2" s="1"/>
  <c r="C35" i="2"/>
  <c r="D48" i="2"/>
  <c r="E64" i="2"/>
  <c r="I64" i="2" s="1"/>
  <c r="F71" i="2"/>
  <c r="E71" i="2" s="1"/>
  <c r="F73" i="2"/>
  <c r="F99" i="2"/>
  <c r="E99" i="2" s="1"/>
  <c r="C120" i="1"/>
  <c r="E56" i="2" l="1"/>
  <c r="I11" i="2"/>
  <c r="J73" i="2"/>
  <c r="E73" i="2"/>
  <c r="C73" i="2"/>
  <c r="H73" i="2"/>
  <c r="D105" i="2"/>
  <c r="F105" i="2"/>
  <c r="F107" i="2"/>
  <c r="F111" i="2" s="1"/>
  <c r="F115" i="2" s="1"/>
  <c r="D56" i="2"/>
  <c r="D107" i="2" s="1"/>
  <c r="D111" i="2" s="1"/>
  <c r="D115" i="2" s="1"/>
  <c r="H11" i="2"/>
  <c r="G11" i="2"/>
  <c r="C56" i="2"/>
  <c r="C107" i="2" l="1"/>
  <c r="C111" i="2" s="1"/>
  <c r="C115" i="2" s="1"/>
  <c r="G73" i="2"/>
  <c r="C105" i="2"/>
  <c r="E107" i="2"/>
  <c r="E111" i="2" s="1"/>
  <c r="E115" i="2" s="1"/>
  <c r="I73" i="2"/>
  <c r="E105" i="2"/>
</calcChain>
</file>

<file path=xl/sharedStrings.xml><?xml version="1.0" encoding="utf-8"?>
<sst xmlns="http://schemas.openxmlformats.org/spreadsheetml/2006/main" count="512" uniqueCount="375">
  <si>
    <t>Приложение 1 к Инструкции о перечне, формах и сроках представления финансовой отчетности отдельными финансовыми организациями</t>
  </si>
  <si>
    <t>Форма № 1</t>
  </si>
  <si>
    <t>Бухгалтерский баланс</t>
  </si>
  <si>
    <t>Акционерное Общество "Дочерняя организация Народного Банка Казахстана "Halyk Finance"</t>
  </si>
  <si>
    <t xml:space="preserve"> по состоянию на "01" июля 2016 года</t>
  </si>
  <si>
    <t>( в тысячах казахстанских тенге)</t>
  </si>
  <si>
    <t>Наименование статьи</t>
  </si>
  <si>
    <t>Код строки</t>
  </si>
  <si>
    <t>на конец отчетного периода</t>
  </si>
  <si>
    <t>на конец предыдущего года</t>
  </si>
  <si>
    <t>Активы</t>
  </si>
  <si>
    <t>Денежные средства и эквиваленты денежных средств</t>
  </si>
  <si>
    <t>1</t>
  </si>
  <si>
    <t>в том числе:</t>
  </si>
  <si>
    <t/>
  </si>
  <si>
    <t xml:space="preserve">     наличные деньги в кассе</t>
  </si>
  <si>
    <t>1.1</t>
  </si>
  <si>
    <t xml:space="preserve">     деньги на счетах в банках и организациях, осуществляющих отдельные виды банковских операций</t>
  </si>
  <si>
    <t>1.2</t>
  </si>
  <si>
    <t>Аффинированные драгоценные металлы</t>
  </si>
  <si>
    <t>Вклады размещенные (за вычетом резервов на обесценение)</t>
  </si>
  <si>
    <t>3</t>
  </si>
  <si>
    <t xml:space="preserve">     начисленные, но не полученные доходы в виде вознаграждения</t>
  </si>
  <si>
    <t>3.1</t>
  </si>
  <si>
    <t>Операция «обратное РЕПО»</t>
  </si>
  <si>
    <t>4</t>
  </si>
  <si>
    <t>4.1</t>
  </si>
  <si>
    <t>Ценные бумаги, оцениваемые по справедливой стоимости, изменения которых отражаются в составе прибыли или убытка</t>
  </si>
  <si>
    <t>5</t>
  </si>
  <si>
    <t>5.1</t>
  </si>
  <si>
    <t>Ценные бумаги, имеющиеся в наличии для продажи (за вычетом резервов на обесценение)</t>
  </si>
  <si>
    <t>6</t>
  </si>
  <si>
    <t xml:space="preserve">    начисленные, но не полученные доходы в виде вознаграждения</t>
  </si>
  <si>
    <t>6.1</t>
  </si>
  <si>
    <t>Ценные бумаги, удерживаемые до погашения (за вычетом резервов на обесценение)</t>
  </si>
  <si>
    <t>7</t>
  </si>
  <si>
    <t>7.1</t>
  </si>
  <si>
    <t>Инвестиционное имущество</t>
  </si>
  <si>
    <t>8</t>
  </si>
  <si>
    <t>Инвестиции в капитал других юридических лиц и субординированный долг</t>
  </si>
  <si>
    <t>9</t>
  </si>
  <si>
    <t>Запасы</t>
  </si>
  <si>
    <t>10</t>
  </si>
  <si>
    <t>Долгосрочные активы (выбывающие группы), предназначенные для продажи</t>
  </si>
  <si>
    <t>11</t>
  </si>
  <si>
    <t>Основные средства (за вычетом амортизации и убытков от обесценения)</t>
  </si>
  <si>
    <t>12</t>
  </si>
  <si>
    <t>Нематериальные активы (за вычетом амортизации и убытков от обесценения)</t>
  </si>
  <si>
    <t>13</t>
  </si>
  <si>
    <t>Дебиторская задолженность</t>
  </si>
  <si>
    <t>14</t>
  </si>
  <si>
    <t>Начисленные комиссионные вознаграждения к получению</t>
  </si>
  <si>
    <t>15</t>
  </si>
  <si>
    <t xml:space="preserve">    от консалтинговых услуг, в том числе:</t>
  </si>
  <si>
    <t>15.1</t>
  </si>
  <si>
    <t xml:space="preserve">      аффилированным лицам</t>
  </si>
  <si>
    <t>15.1.1</t>
  </si>
  <si>
    <t xml:space="preserve">      прочим клиентам</t>
  </si>
  <si>
    <t>15.1.2</t>
  </si>
  <si>
    <t xml:space="preserve">    от услуг представителя держателей облигаций</t>
  </si>
  <si>
    <t>15.2</t>
  </si>
  <si>
    <t xml:space="preserve">    от услуг андеррайтера</t>
  </si>
  <si>
    <t>15.3</t>
  </si>
  <si>
    <t xml:space="preserve">    от брокерских услуг</t>
  </si>
  <si>
    <t>15.4</t>
  </si>
  <si>
    <t xml:space="preserve">    от управления активами</t>
  </si>
  <si>
    <t>15.5</t>
  </si>
  <si>
    <t xml:space="preserve">    от услуг маркет-мейкера</t>
  </si>
  <si>
    <t>15.6</t>
  </si>
  <si>
    <t xml:space="preserve">    от пенсионных активов</t>
  </si>
  <si>
    <t>15.7</t>
  </si>
  <si>
    <t xml:space="preserve">   от инвестиционного дохода (убытка) по пенсионным активам</t>
  </si>
  <si>
    <t>15.8</t>
  </si>
  <si>
    <t xml:space="preserve">   прочие</t>
  </si>
  <si>
    <t>15.9</t>
  </si>
  <si>
    <t>Производные финансовые инструменты</t>
  </si>
  <si>
    <t>16</t>
  </si>
  <si>
    <t xml:space="preserve">   требования по сделке фьючерсы</t>
  </si>
  <si>
    <t>16.1</t>
  </si>
  <si>
    <t xml:space="preserve">   требования по сделке форварды</t>
  </si>
  <si>
    <t>16.2</t>
  </si>
  <si>
    <t xml:space="preserve">   требования по сделке опционы</t>
  </si>
  <si>
    <t>16.3</t>
  </si>
  <si>
    <t xml:space="preserve">   требования по сделке свопы</t>
  </si>
  <si>
    <t>16.4</t>
  </si>
  <si>
    <t>Текущее налоговое требование</t>
  </si>
  <si>
    <t>17</t>
  </si>
  <si>
    <t>Отложенное налоговое требование</t>
  </si>
  <si>
    <t>18</t>
  </si>
  <si>
    <t>Авансы выданные и предоплата</t>
  </si>
  <si>
    <t>19</t>
  </si>
  <si>
    <t>Прочие активы</t>
  </si>
  <si>
    <t>20</t>
  </si>
  <si>
    <t xml:space="preserve">Итого активы: </t>
  </si>
  <si>
    <t>Обязательства</t>
  </si>
  <si>
    <t>Операция «РЕПО»</t>
  </si>
  <si>
    <t>22</t>
  </si>
  <si>
    <t>Выпущенные долговые ценные бумаги</t>
  </si>
  <si>
    <t>23</t>
  </si>
  <si>
    <t>Займы полученные</t>
  </si>
  <si>
    <t>24</t>
  </si>
  <si>
    <t>Субординированный долг</t>
  </si>
  <si>
    <t>25</t>
  </si>
  <si>
    <t>Резервы</t>
  </si>
  <si>
    <t>26</t>
  </si>
  <si>
    <t>Расчеты с акционерами (по дивидендам)</t>
  </si>
  <si>
    <t>27</t>
  </si>
  <si>
    <t>Кредиторская задолженность</t>
  </si>
  <si>
    <t>28</t>
  </si>
  <si>
    <t>Начисленные комиссионные расходы к оплате</t>
  </si>
  <si>
    <t>29</t>
  </si>
  <si>
    <t xml:space="preserve">   по переводным операциям</t>
  </si>
  <si>
    <t>29.1</t>
  </si>
  <si>
    <t xml:space="preserve">  по клиринговым операциям</t>
  </si>
  <si>
    <t>29.2</t>
  </si>
  <si>
    <t xml:space="preserve">  по кассовым операциям</t>
  </si>
  <si>
    <t>29.3</t>
  </si>
  <si>
    <t xml:space="preserve">  по сейфовым операциям</t>
  </si>
  <si>
    <t>29.4</t>
  </si>
  <si>
    <t xml:space="preserve">  по инкассации банкнот, монет и ценностей</t>
  </si>
  <si>
    <t>29.5</t>
  </si>
  <si>
    <t xml:space="preserve">  по доверительным операциям</t>
  </si>
  <si>
    <t>29.6</t>
  </si>
  <si>
    <t xml:space="preserve">  по услугам фондовой биржи</t>
  </si>
  <si>
    <t>29.7</t>
  </si>
  <si>
    <t xml:space="preserve">  по кастодиальному обслуживанию</t>
  </si>
  <si>
    <t>29.8</t>
  </si>
  <si>
    <t xml:space="preserve">  по брокерским услугам</t>
  </si>
  <si>
    <t>29.9</t>
  </si>
  <si>
    <t xml:space="preserve">  по услугам центрального депозитария</t>
  </si>
  <si>
    <t>29.10</t>
  </si>
  <si>
    <t xml:space="preserve">  по услугам единого регистратора</t>
  </si>
  <si>
    <t>29.11</t>
  </si>
  <si>
    <t xml:space="preserve">  по услугам иных профессиональных участников рынка ценных бумаг</t>
  </si>
  <si>
    <t>29.12</t>
  </si>
  <si>
    <t>30</t>
  </si>
  <si>
    <t xml:space="preserve">    обязательства по сделке фьючерсы</t>
  </si>
  <si>
    <t>30.1</t>
  </si>
  <si>
    <t xml:space="preserve">    обязательства по сделке форварды</t>
  </si>
  <si>
    <t>30.2</t>
  </si>
  <si>
    <t xml:space="preserve">    обязательства по сделке опционы</t>
  </si>
  <si>
    <t>30.3</t>
  </si>
  <si>
    <t xml:space="preserve">    обязательства по сделке свопы</t>
  </si>
  <si>
    <t>30.4</t>
  </si>
  <si>
    <t>Текущее налоговое обязательство</t>
  </si>
  <si>
    <t>31</t>
  </si>
  <si>
    <t>Отложенное налоговое обязательство</t>
  </si>
  <si>
    <t>32</t>
  </si>
  <si>
    <t>Авансы полученные</t>
  </si>
  <si>
    <t>33</t>
  </si>
  <si>
    <t>Обязательства по вознаграждениям работникам</t>
  </si>
  <si>
    <t>34</t>
  </si>
  <si>
    <t>Прочие обязательства</t>
  </si>
  <si>
    <t>35</t>
  </si>
  <si>
    <t>Итого обязательства:</t>
  </si>
  <si>
    <t>36</t>
  </si>
  <si>
    <t>Собственный капитал</t>
  </si>
  <si>
    <t>Уставный капитал</t>
  </si>
  <si>
    <t xml:space="preserve">      простые акции</t>
  </si>
  <si>
    <t>37.1</t>
  </si>
  <si>
    <t xml:space="preserve">      привилегированные акции </t>
  </si>
  <si>
    <t>37.2</t>
  </si>
  <si>
    <t>Премии (дополнительный оплаченный капитал)</t>
  </si>
  <si>
    <t>Изъятый капитал</t>
  </si>
  <si>
    <t>Резервный капитал</t>
  </si>
  <si>
    <t xml:space="preserve">    резервы переоценки ценных бумаг, предназначенных для продажи</t>
  </si>
  <si>
    <t>40.1</t>
  </si>
  <si>
    <t xml:space="preserve">    резерв на переоценку основных средств</t>
  </si>
  <si>
    <t>40.2</t>
  </si>
  <si>
    <t>Прочие резервы</t>
  </si>
  <si>
    <t xml:space="preserve">Нераспределенная прибыль (непокрытый убыток):           </t>
  </si>
  <si>
    <t xml:space="preserve">     предыдущих лет</t>
  </si>
  <si>
    <t>42.1</t>
  </si>
  <si>
    <t xml:space="preserve">     отчетного периода</t>
  </si>
  <si>
    <t>42.2</t>
  </si>
  <si>
    <t xml:space="preserve">Итого капитал: </t>
  </si>
  <si>
    <t>Итого капитал и обязательства (стр.35+стр.43):</t>
  </si>
  <si>
    <t xml:space="preserve">                 В графе 2 указываются номера примечаний по статьям, отраженным в пояснительной записке.</t>
  </si>
  <si>
    <t xml:space="preserve">                 Статья «Доля меньшинства» заполняется при составлении консолидированной финансовой отчетности. </t>
  </si>
  <si>
    <t>Первый руководитель _____________________ Абжанов А.Р.</t>
  </si>
  <si>
    <t xml:space="preserve"> дата 07.07.2016 г.</t>
  </si>
  <si>
    <t>Главный бухгалтер          ___________________   Шаймерден Е.В.</t>
  </si>
  <si>
    <t>Исполнитель                 ______________________  Исмаилова Г.Е.</t>
  </si>
  <si>
    <t>Телефон +7 727 2596085, +7 727 2446542</t>
  </si>
  <si>
    <t>Место печати</t>
  </si>
  <si>
    <t>Приложение 2 к Инструкции о перечне, формах и сроках представления финансовой отчетности отдельными финансовыми организациями</t>
  </si>
  <si>
    <t>Отчет о прибылях и убытках</t>
  </si>
  <si>
    <t>(в тысячах казахстанских тенге)</t>
  </si>
  <si>
    <t>За отчетный период</t>
  </si>
  <si>
    <t>За период с начала текущего года (с нарастающим итогом)</t>
  </si>
  <si>
    <t>За аналогичный отчетный период предыдущего года</t>
  </si>
  <si>
    <t>За аналогичный период с начала предыдущего года (с нарастающим итогом)</t>
  </si>
  <si>
    <t>Доходы, связанные с получением вознаграждения:</t>
  </si>
  <si>
    <t xml:space="preserve">   по корреспондентским и текущим счетам</t>
  </si>
  <si>
    <t xml:space="preserve">   по размещенным вкладам</t>
  </si>
  <si>
    <t xml:space="preserve">   по приобретенным ценным бумагам</t>
  </si>
  <si>
    <t>1.3</t>
  </si>
  <si>
    <t xml:space="preserve"> в том числе:</t>
  </si>
  <si>
    <t xml:space="preserve">   по ценным бумагам, имеющимся в наличии для продажи (за вычетом резервов на обесценение)</t>
  </si>
  <si>
    <t>1.3.1</t>
  </si>
  <si>
    <t xml:space="preserve">  доходы в виде дивидендов по акциям, находящимся в портфеле ценных бумаг, имеющихся в наличии для продажи</t>
  </si>
  <si>
    <t>1.3.1.1</t>
  </si>
  <si>
    <t xml:space="preserve">  доходы, связанные с амортизацией дисконта по ценным бумагам, имеющимся в наличии для продажи</t>
  </si>
  <si>
    <t>1.3.1.2</t>
  </si>
  <si>
    <t xml:space="preserve">  по ценным бумагам, оцениваемым по справедливой стоимости, изменения которых отражаются в составе прибыли или убытка</t>
  </si>
  <si>
    <t>1.3.2</t>
  </si>
  <si>
    <t xml:space="preserve">  доходы в виде дивидендов по акциям, находящимся в портфеле ценных бумаг, оцениваемых по справедливой стоимости, изменения которых отражаются в составе прибыли или убытка</t>
  </si>
  <si>
    <t>1.3.2.1</t>
  </si>
  <si>
    <t xml:space="preserve">  доходы, связанные с амортизацией дисконта по ценным бумагам, оцениваемым по справедливой стоимости</t>
  </si>
  <si>
    <t>1.3.2.2</t>
  </si>
  <si>
    <t xml:space="preserve">  по ценным бумаги, удерживаемым до погашения (за вычетом резервов на обесценение)</t>
  </si>
  <si>
    <t>1.3.3</t>
  </si>
  <si>
    <t xml:space="preserve">  доходы, связанные с амортизацией дисконта по ценным бумагам, удерживаемым до погашения</t>
  </si>
  <si>
    <t>1.3.3.1</t>
  </si>
  <si>
    <t xml:space="preserve">   по операциям «обратное РЕПО»</t>
  </si>
  <si>
    <t>1.4</t>
  </si>
  <si>
    <t xml:space="preserve">   прочие доходы, связанные с получением вознаграждения</t>
  </si>
  <si>
    <t>1.5</t>
  </si>
  <si>
    <t>Комиссионные вознаграждения</t>
  </si>
  <si>
    <t>2</t>
  </si>
  <si>
    <t xml:space="preserve">  от консалтинговых услуг</t>
  </si>
  <si>
    <t>2.1</t>
  </si>
  <si>
    <t xml:space="preserve">  аффилированным лицам</t>
  </si>
  <si>
    <t>2.1.1</t>
  </si>
  <si>
    <t xml:space="preserve">  прочим клиентам</t>
  </si>
  <si>
    <t>2.1.2</t>
  </si>
  <si>
    <t xml:space="preserve">  от услуг представителя держателей облигаций</t>
  </si>
  <si>
    <t>2.2</t>
  </si>
  <si>
    <t xml:space="preserve">  от услуг андеррайтера</t>
  </si>
  <si>
    <t>2.3</t>
  </si>
  <si>
    <t xml:space="preserve">  от управления активами</t>
  </si>
  <si>
    <t>2.4</t>
  </si>
  <si>
    <t xml:space="preserve">  от брокерских услуг</t>
  </si>
  <si>
    <t>2.5</t>
  </si>
  <si>
    <t xml:space="preserve">   от услуг маркет-мейкера</t>
  </si>
  <si>
    <t>2.6</t>
  </si>
  <si>
    <t xml:space="preserve">   от прочих услуг</t>
  </si>
  <si>
    <t>2.7</t>
  </si>
  <si>
    <t xml:space="preserve">   от пенсионных активов</t>
  </si>
  <si>
    <t>2.8</t>
  </si>
  <si>
    <t>2.9</t>
  </si>
  <si>
    <t>Доходы от купли-продажи финансовых активов</t>
  </si>
  <si>
    <t>Доходы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</si>
  <si>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Доходы от операций с иностранной валютой</t>
  </si>
  <si>
    <t>Доходы от переоценки иностранной валюты</t>
  </si>
  <si>
    <t>Доходы, связанные с участием в капитале юридических лиц</t>
  </si>
  <si>
    <t>Доходы от реализации активов</t>
  </si>
  <si>
    <t>Доходы от операций с аффинированными драгоценными металлами</t>
  </si>
  <si>
    <t>Доходы от операций с производными финансовыми инструментами</t>
  </si>
  <si>
    <t xml:space="preserve">  по сделкам фьючерс</t>
  </si>
  <si>
    <t>10.1</t>
  </si>
  <si>
    <t xml:space="preserve">  по сделкам форвард</t>
  </si>
  <si>
    <t>10.2</t>
  </si>
  <si>
    <t xml:space="preserve">  по сделкам опцион</t>
  </si>
  <si>
    <t>10.3</t>
  </si>
  <si>
    <t xml:space="preserve">  по сделкам своп</t>
  </si>
  <si>
    <t>10.4</t>
  </si>
  <si>
    <t>Доходы от восстановления резервов по ценным бумагам, вкладам, дебиторской задолженности и условным обязательствам</t>
  </si>
  <si>
    <t xml:space="preserve"> Прочие доходы</t>
  </si>
  <si>
    <t>Итого доходов (сумма строк с 1 по 12)</t>
  </si>
  <si>
    <t>Расходы, связанные с выплатой вознаграждения</t>
  </si>
  <si>
    <t xml:space="preserve">   по полученным займам</t>
  </si>
  <si>
    <t>14.1</t>
  </si>
  <si>
    <t xml:space="preserve">   по выпущенным ценным бумагам</t>
  </si>
  <si>
    <t>14.2</t>
  </si>
  <si>
    <t xml:space="preserve">   по операциям «РЕПО»</t>
  </si>
  <si>
    <t>14.3</t>
  </si>
  <si>
    <t xml:space="preserve">   прочие расходы, связанные с выплатой вознаграждения</t>
  </si>
  <si>
    <t>14.4</t>
  </si>
  <si>
    <t>Комиссионные расходы</t>
  </si>
  <si>
    <t xml:space="preserve">   управляющему агенту</t>
  </si>
  <si>
    <t xml:space="preserve">   за кастодиальное обслуживание</t>
  </si>
  <si>
    <t xml:space="preserve">   за услуги фондовой биржи</t>
  </si>
  <si>
    <t xml:space="preserve">   за услуги регистратора</t>
  </si>
  <si>
    <t xml:space="preserve">  за брокерские услуги</t>
  </si>
  <si>
    <t xml:space="preserve">  за прочие услуги</t>
  </si>
  <si>
    <t xml:space="preserve"> Расходы от деятельности, не связанной с выплатой вознаграждения</t>
  </si>
  <si>
    <t xml:space="preserve">   от переводных операций</t>
  </si>
  <si>
    <t xml:space="preserve">   от клиринговых операций</t>
  </si>
  <si>
    <t xml:space="preserve">   от кассовых операций</t>
  </si>
  <si>
    <t xml:space="preserve">   от сейфовых операций </t>
  </si>
  <si>
    <t xml:space="preserve">   от инкассации</t>
  </si>
  <si>
    <t>16.5</t>
  </si>
  <si>
    <t>Расходы от купли-продажи финансовых активов</t>
  </si>
  <si>
    <t>Расходы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</si>
  <si>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Расходы от операций иностранной валюты</t>
  </si>
  <si>
    <t>Расходы от переоценки иностранной валюты</t>
  </si>
  <si>
    <t>Расходы, связанные с участием в капитале юридических лиц</t>
  </si>
  <si>
    <t>21</t>
  </si>
  <si>
    <t>Расходы от реализации или безвозмездной передачи активов</t>
  </si>
  <si>
    <t>Расходы от операций с аффинированными драгоценными металлами</t>
  </si>
  <si>
    <t>Расходы от операций с производными финансовыми инструментами</t>
  </si>
  <si>
    <t xml:space="preserve">   по сделкам фьючерс</t>
  </si>
  <si>
    <t>24.1</t>
  </si>
  <si>
    <t xml:space="preserve">   по сделкам форвард</t>
  </si>
  <si>
    <t>24.2</t>
  </si>
  <si>
    <t xml:space="preserve">   по сделкам опцион</t>
  </si>
  <si>
    <t>24.3</t>
  </si>
  <si>
    <t xml:space="preserve">   по сделкам своп</t>
  </si>
  <si>
    <t>24.4</t>
  </si>
  <si>
    <t>Расходы от создания резервов по ценным бумагам, размещенным вкладам, дебиторской задолженности и условным обязательствам</t>
  </si>
  <si>
    <t>Операционные расходы</t>
  </si>
  <si>
    <t xml:space="preserve">   расходы на оплату труда и командировочные</t>
  </si>
  <si>
    <t>26.1</t>
  </si>
  <si>
    <t xml:space="preserve">   общехозяйственные расходы</t>
  </si>
  <si>
    <t>26.2</t>
  </si>
  <si>
    <t xml:space="preserve">   транспортные расходы</t>
  </si>
  <si>
    <t>26.3</t>
  </si>
  <si>
    <t xml:space="preserve">   административные расходы</t>
  </si>
  <si>
    <t>26.4</t>
  </si>
  <si>
    <t xml:space="preserve">   амортизационные отчисления</t>
  </si>
  <si>
    <t>26.5</t>
  </si>
  <si>
    <t xml:space="preserve">   расходы по выплате налогов и других обязательных платежей в бюджет, за исключением налога на прибыль</t>
  </si>
  <si>
    <t>26.6</t>
  </si>
  <si>
    <t xml:space="preserve">   неустойка (штраф, пеня)</t>
  </si>
  <si>
    <t>26.7</t>
  </si>
  <si>
    <t>Прочие расходы</t>
  </si>
  <si>
    <t>Итого расходов (сумма строк с 14 по 27)</t>
  </si>
  <si>
    <t>Чистая прибыль (убыток) до уплаты корпоративного подоходного налога (стр. 13-стр.28)</t>
  </si>
  <si>
    <t>Корпоративный подоходный налог</t>
  </si>
  <si>
    <t>Чистая прибыль (убыток) после уплаты корпоративного подоходного налога (стр.29-стр.30)</t>
  </si>
  <si>
    <t>Прибыль (убыток) от прекращенной деятельности</t>
  </si>
  <si>
    <t>Итого чистая прибыль (убыток) за период (стр.22+/- стр.23-стр.24)</t>
  </si>
  <si>
    <t xml:space="preserve">          В графе 2 указываются номера примечаний по статьям, отраженным в пояснительной записке.
          Статья «Доля меньшинства» заполняется при составлении консолидированной финансовой отчетности.</t>
  </si>
  <si>
    <t>Главный бухгалтер    ______________________Шаймерден Е.В.</t>
  </si>
  <si>
    <t>Акционерное Общество "Halyk Finance"</t>
  </si>
  <si>
    <t>Анализ счета 5610 за Январь 2015 г. - Июнь 2015 г.</t>
  </si>
  <si>
    <t>Анализ счета 5610 за Январь 2016 г. - Июнь 2016 г.</t>
  </si>
  <si>
    <t>Выводимые данные:</t>
  </si>
  <si>
    <t>БУ (данные бухгалтерского учета)</t>
  </si>
  <si>
    <t>Счет</t>
  </si>
  <si>
    <t>Кор. Счет</t>
  </si>
  <si>
    <t>Дебет</t>
  </si>
  <si>
    <t>Кредит</t>
  </si>
  <si>
    <t>Начальное сальдо</t>
  </si>
  <si>
    <t>6110.01</t>
  </si>
  <si>
    <t>6110.03</t>
  </si>
  <si>
    <t>6110.04</t>
  </si>
  <si>
    <t>6110.30</t>
  </si>
  <si>
    <t>6110.81</t>
  </si>
  <si>
    <t>6110.82</t>
  </si>
  <si>
    <t>6150.01</t>
  </si>
  <si>
    <t>6150.03</t>
  </si>
  <si>
    <t>6240.01</t>
  </si>
  <si>
    <t>6240.03</t>
  </si>
  <si>
    <t>6250.01</t>
  </si>
  <si>
    <t>6250.02</t>
  </si>
  <si>
    <t>6280.07</t>
  </si>
  <si>
    <t>6280.09</t>
  </si>
  <si>
    <t>6290.09</t>
  </si>
  <si>
    <t>7220.01</t>
  </si>
  <si>
    <t>7220.02</t>
  </si>
  <si>
    <t>7220.03</t>
  </si>
  <si>
    <t>7220.05</t>
  </si>
  <si>
    <t>7310.02</t>
  </si>
  <si>
    <t>7310.04</t>
  </si>
  <si>
    <t>7310.24</t>
  </si>
  <si>
    <t>7430.01</t>
  </si>
  <si>
    <t>7430.02</t>
  </si>
  <si>
    <t>7440.01</t>
  </si>
  <si>
    <t>7440.03</t>
  </si>
  <si>
    <t>7470.03</t>
  </si>
  <si>
    <t>7470.05</t>
  </si>
  <si>
    <t>7470.06</t>
  </si>
  <si>
    <t>7470.10</t>
  </si>
  <si>
    <t>7470.21</t>
  </si>
  <si>
    <t>7470.23</t>
  </si>
  <si>
    <t>7470.27</t>
  </si>
  <si>
    <t>7470.81</t>
  </si>
  <si>
    <t>7470.83</t>
  </si>
  <si>
    <t>7470.84</t>
  </si>
  <si>
    <t>7470.43</t>
  </si>
  <si>
    <t>7480.09</t>
  </si>
  <si>
    <t>Оборот</t>
  </si>
  <si>
    <t>Конечное сальдо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</si>
</sst>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.0_р_._-;\-* #,##0.0_р_._-;_-* &quot;-&quot;??_р_._-;_-@_-"/>
  </numFmts>
  <fonts count="20" x14ac:knownFonts="1">
    <font>
      <sz val="10"/>
      <name val="Arial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</font>
    <font>
      <sz val="8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Times New Roman"/>
      <family val="1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  <charset val="1"/>
    </font>
    <font>
      <b/>
      <sz val="12"/>
      <name val="Arial"/>
      <family val="2"/>
      <charset val="1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0"/>
      </top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7" fillId="0" borderId="0">
      <alignment horizontal="left" vertical="top"/>
    </xf>
    <xf numFmtId="0" fontId="8" fillId="0" borderId="0">
      <alignment horizontal="center" vertical="top"/>
    </xf>
    <xf numFmtId="0" fontId="11" fillId="0" borderId="0"/>
    <xf numFmtId="0" fontId="7" fillId="0" borderId="0">
      <alignment horizontal="center" vertical="top"/>
    </xf>
    <xf numFmtId="0" fontId="15" fillId="0" borderId="0"/>
    <xf numFmtId="0" fontId="15" fillId="0" borderId="0"/>
  </cellStyleXfs>
  <cellXfs count="116">
    <xf numFmtId="0" fontId="0" fillId="0" borderId="0" xfId="0"/>
    <xf numFmtId="0" fontId="2" fillId="0" borderId="0" xfId="1" applyFont="1" applyFill="1" applyProtection="1">
      <protection locked="0"/>
    </xf>
    <xf numFmtId="0" fontId="3" fillId="0" borderId="0" xfId="1" applyFont="1" applyFill="1" applyAlignment="1" applyProtection="1">
      <alignment wrapText="1"/>
      <protection locked="0"/>
    </xf>
    <xf numFmtId="0" fontId="3" fillId="0" borderId="0" xfId="1" applyFont="1" applyFill="1" applyAlignment="1">
      <alignment wrapText="1"/>
    </xf>
    <xf numFmtId="0" fontId="3" fillId="0" borderId="0" xfId="1" applyFont="1" applyFill="1" applyAlignment="1">
      <alignment horizontal="justify" shrinkToFit="1"/>
    </xf>
    <xf numFmtId="0" fontId="4" fillId="0" borderId="0" xfId="1" applyFont="1" applyFill="1" applyAlignment="1" applyProtection="1">
      <alignment horizontal="right" wrapText="1"/>
    </xf>
    <xf numFmtId="0" fontId="4" fillId="0" borderId="0" xfId="1" applyFont="1" applyFill="1" applyAlignment="1" applyProtection="1">
      <alignment horizontal="center"/>
      <protection locked="0"/>
    </xf>
    <xf numFmtId="0" fontId="2" fillId="0" borderId="0" xfId="1" applyFont="1" applyFill="1" applyAlignment="1" applyProtection="1">
      <alignment horizontal="center"/>
      <protection locked="0"/>
    </xf>
    <xf numFmtId="0" fontId="5" fillId="0" borderId="0" xfId="1" applyFont="1" applyFill="1" applyAlignment="1" applyProtection="1">
      <alignment horizontal="center"/>
      <protection locked="0"/>
    </xf>
    <xf numFmtId="0" fontId="2" fillId="0" borderId="0" xfId="1" applyFont="1" applyFill="1" applyProtection="1"/>
    <xf numFmtId="0" fontId="2" fillId="0" borderId="0" xfId="1" applyFont="1" applyFill="1" applyAlignment="1" applyProtection="1">
      <alignment horizontal="right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3" fontId="2" fillId="0" borderId="0" xfId="1" applyNumberFormat="1" applyFont="1" applyFill="1" applyProtection="1">
      <protection locked="0"/>
    </xf>
    <xf numFmtId="0" fontId="2" fillId="0" borderId="0" xfId="1" applyFont="1" applyFill="1" applyBorder="1" applyProtection="1">
      <protection locked="0"/>
    </xf>
    <xf numFmtId="0" fontId="2" fillId="0" borderId="1" xfId="1" applyFont="1" applyFill="1" applyBorder="1" applyAlignment="1" applyProtection="1">
      <alignment horizontal="center"/>
      <protection locked="0"/>
    </xf>
    <xf numFmtId="0" fontId="4" fillId="0" borderId="1" xfId="1" applyFont="1" applyFill="1" applyBorder="1" applyAlignment="1" applyProtection="1">
      <alignment horizontal="left"/>
    </xf>
    <xf numFmtId="0" fontId="4" fillId="0" borderId="1" xfId="1" applyFont="1" applyFill="1" applyBorder="1" applyAlignment="1" applyProtection="1">
      <alignment horizontal="center"/>
      <protection locked="0"/>
    </xf>
    <xf numFmtId="3" fontId="6" fillId="0" borderId="1" xfId="2" applyNumberFormat="1" applyFont="1" applyFill="1" applyBorder="1" applyAlignment="1" applyProtection="1">
      <alignment vertical="top" wrapText="1"/>
      <protection locked="0"/>
    </xf>
    <xf numFmtId="164" fontId="2" fillId="0" borderId="1" xfId="3" applyNumberFormat="1" applyFont="1" applyFill="1" applyBorder="1" applyProtection="1">
      <protection locked="0"/>
    </xf>
    <xf numFmtId="0" fontId="2" fillId="0" borderId="1" xfId="1" applyFont="1" applyFill="1" applyBorder="1" applyAlignment="1" applyProtection="1">
      <alignment wrapText="1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3" fontId="6" fillId="0" borderId="1" xfId="0" applyNumberFormat="1" applyFont="1" applyFill="1" applyBorder="1" applyAlignment="1" applyProtection="1">
      <alignment vertical="top" wrapText="1"/>
      <protection locked="0"/>
    </xf>
    <xf numFmtId="0" fontId="7" fillId="0" borderId="2" xfId="4" quotePrefix="1" applyBorder="1" applyAlignment="1">
      <alignment horizontal="left" vertical="top" wrapText="1"/>
    </xf>
    <xf numFmtId="0" fontId="8" fillId="0" borderId="3" xfId="5" quotePrefix="1" applyBorder="1" applyAlignment="1">
      <alignment horizontal="center" vertical="top" wrapText="1"/>
    </xf>
    <xf numFmtId="0" fontId="4" fillId="0" borderId="1" xfId="1" applyFont="1" applyFill="1" applyBorder="1" applyAlignment="1" applyProtection="1">
      <alignment wrapText="1"/>
    </xf>
    <xf numFmtId="3" fontId="4" fillId="0" borderId="1" xfId="2" applyNumberFormat="1" applyFont="1" applyFill="1" applyBorder="1" applyAlignment="1" applyProtection="1">
      <alignment horizontal="right"/>
    </xf>
    <xf numFmtId="0" fontId="4" fillId="0" borderId="1" xfId="1" applyFont="1" applyFill="1" applyBorder="1" applyAlignment="1" applyProtection="1">
      <alignment horizontal="left" wrapText="1"/>
    </xf>
    <xf numFmtId="3" fontId="9" fillId="0" borderId="1" xfId="2" applyNumberFormat="1" applyFont="1" applyFill="1" applyBorder="1" applyAlignment="1" applyProtection="1">
      <alignment horizontal="right"/>
    </xf>
    <xf numFmtId="0" fontId="2" fillId="0" borderId="1" xfId="1" applyFont="1" applyFill="1" applyBorder="1" applyAlignment="1" applyProtection="1">
      <alignment horizontal="justify" wrapText="1"/>
    </xf>
    <xf numFmtId="0" fontId="8" fillId="0" borderId="4" xfId="5" quotePrefix="1" applyBorder="1" applyAlignment="1">
      <alignment horizontal="center" vertical="top" wrapText="1"/>
    </xf>
    <xf numFmtId="0" fontId="8" fillId="0" borderId="5" xfId="5" quotePrefix="1" applyBorder="1" applyAlignment="1">
      <alignment horizontal="center" vertical="top" wrapText="1"/>
    </xf>
    <xf numFmtId="0" fontId="2" fillId="0" borderId="1" xfId="1" applyFont="1" applyFill="1" applyBorder="1" applyAlignment="1" applyProtection="1">
      <alignment horizontal="center" vertical="center"/>
      <protection locked="0"/>
    </xf>
    <xf numFmtId="3" fontId="4" fillId="0" borderId="0" xfId="1" applyNumberFormat="1" applyFont="1" applyFill="1" applyProtection="1">
      <protection locked="0"/>
    </xf>
    <xf numFmtId="0" fontId="10" fillId="0" borderId="0" xfId="1" applyFont="1" applyFill="1" applyAlignment="1">
      <alignment horizontal="left"/>
    </xf>
    <xf numFmtId="49" fontId="2" fillId="0" borderId="0" xfId="6" applyNumberFormat="1" applyFont="1" applyFill="1" applyProtection="1">
      <protection locked="0"/>
    </xf>
    <xf numFmtId="0" fontId="2" fillId="0" borderId="0" xfId="1" applyFont="1" applyFill="1" applyBorder="1" applyAlignment="1" applyProtection="1">
      <alignment wrapText="1"/>
      <protection locked="0"/>
    </xf>
    <xf numFmtId="0" fontId="6" fillId="0" borderId="0" xfId="0" applyFont="1" applyAlignment="1" applyProtection="1">
      <alignment vertical="top"/>
      <protection locked="0"/>
    </xf>
    <xf numFmtId="0" fontId="2" fillId="0" borderId="0" xfId="1" applyFont="1" applyFill="1" applyAlignment="1" applyProtection="1">
      <alignment wrapText="1"/>
      <protection locked="0"/>
    </xf>
    <xf numFmtId="49" fontId="2" fillId="0" borderId="0" xfId="1" applyNumberFormat="1" applyFont="1" applyFill="1" applyProtection="1">
      <protection locked="0"/>
    </xf>
    <xf numFmtId="0" fontId="2" fillId="0" borderId="0" xfId="1" applyFont="1" applyFill="1" applyAlignment="1">
      <alignment wrapText="1"/>
    </xf>
    <xf numFmtId="0" fontId="2" fillId="0" borderId="0" xfId="1" applyFont="1" applyFill="1" applyAlignment="1" applyProtection="1">
      <alignment horizontal="center" wrapText="1"/>
    </xf>
    <xf numFmtId="49" fontId="2" fillId="0" borderId="0" xfId="1" applyNumberFormat="1" applyFont="1" applyFill="1" applyAlignment="1" applyProtection="1">
      <alignment horizontal="center"/>
    </xf>
    <xf numFmtId="3" fontId="2" fillId="0" borderId="0" xfId="1" applyNumberFormat="1" applyFont="1" applyFill="1" applyAlignment="1" applyProtection="1">
      <alignment horizontal="center"/>
    </xf>
    <xf numFmtId="3" fontId="2" fillId="0" borderId="0" xfId="1" applyNumberFormat="1" applyFont="1" applyFill="1" applyProtection="1"/>
    <xf numFmtId="0" fontId="2" fillId="0" borderId="0" xfId="1" applyFont="1" applyFill="1" applyAlignment="1" applyProtection="1">
      <alignment horizontal="center"/>
    </xf>
    <xf numFmtId="0" fontId="2" fillId="0" borderId="0" xfId="1" applyFont="1" applyFill="1" applyAlignment="1" applyProtection="1">
      <alignment wrapText="1"/>
    </xf>
    <xf numFmtId="49" fontId="2" fillId="0" borderId="0" xfId="1" applyNumberFormat="1" applyFont="1" applyFill="1" applyProtection="1"/>
    <xf numFmtId="49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6" xfId="1" applyFont="1" applyFill="1" applyBorder="1" applyAlignment="1" applyProtection="1">
      <alignment horizontal="center"/>
      <protection locked="0"/>
    </xf>
    <xf numFmtId="0" fontId="2" fillId="0" borderId="0" xfId="1" applyFont="1" applyFill="1" applyAlignment="1" applyProtection="1">
      <alignment horizontal="center"/>
      <protection locked="0"/>
    </xf>
    <xf numFmtId="0" fontId="2" fillId="0" borderId="1" xfId="1" applyFont="1" applyFill="1" applyBorder="1" applyAlignment="1" applyProtection="1">
      <alignment horizontal="center" wrapText="1"/>
      <protection locked="0"/>
    </xf>
    <xf numFmtId="49" fontId="2" fillId="0" borderId="1" xfId="1" applyNumberFormat="1" applyFont="1" applyFill="1" applyBorder="1" applyAlignment="1" applyProtection="1">
      <alignment horizontal="center"/>
      <protection locked="0"/>
    </xf>
    <xf numFmtId="0" fontId="4" fillId="0" borderId="1" xfId="1" applyFont="1" applyFill="1" applyBorder="1" applyAlignment="1" applyProtection="1">
      <alignment vertical="top" wrapText="1"/>
    </xf>
    <xf numFmtId="49" fontId="4" fillId="0" borderId="2" xfId="1" applyNumberFormat="1" applyFont="1" applyFill="1" applyBorder="1" applyAlignment="1" applyProtection="1">
      <alignment horizontal="center" vertical="top" wrapText="1"/>
      <protection locked="0"/>
    </xf>
    <xf numFmtId="3" fontId="4" fillId="0" borderId="2" xfId="1" applyNumberFormat="1" applyFont="1" applyFill="1" applyBorder="1" applyAlignment="1" applyProtection="1">
      <alignment horizontal="center" vertical="top" wrapText="1"/>
      <protection locked="0"/>
    </xf>
    <xf numFmtId="3" fontId="4" fillId="0" borderId="1" xfId="3" applyNumberFormat="1" applyFont="1" applyFill="1" applyBorder="1" applyProtection="1">
      <protection locked="0"/>
    </xf>
    <xf numFmtId="0" fontId="2" fillId="0" borderId="7" xfId="1" applyFont="1" applyFill="1" applyBorder="1" applyAlignment="1" applyProtection="1">
      <alignment vertical="top" wrapText="1"/>
    </xf>
    <xf numFmtId="49" fontId="2" fillId="0" borderId="2" xfId="1" applyNumberFormat="1" applyFont="1" applyFill="1" applyBorder="1" applyAlignment="1" applyProtection="1">
      <alignment horizontal="center" vertical="top" wrapText="1"/>
      <protection locked="0"/>
    </xf>
    <xf numFmtId="3" fontId="2" fillId="0" borderId="2" xfId="1" applyNumberFormat="1" applyFont="1" applyFill="1" applyBorder="1" applyAlignment="1" applyProtection="1">
      <alignment horizontal="center" vertical="top" wrapText="1"/>
      <protection locked="0"/>
    </xf>
    <xf numFmtId="0" fontId="5" fillId="0" borderId="0" xfId="1" applyFont="1" applyFill="1" applyAlignment="1" applyProtection="1">
      <alignment wrapText="1" shrinkToFit="1"/>
      <protection locked="0"/>
    </xf>
    <xf numFmtId="0" fontId="10" fillId="0" borderId="8" xfId="7" quotePrefix="1" applyFont="1" applyBorder="1" applyAlignment="1">
      <alignment horizontal="center" vertical="top" wrapText="1"/>
    </xf>
    <xf numFmtId="3" fontId="10" fillId="0" borderId="8" xfId="7" quotePrefix="1" applyNumberFormat="1" applyFont="1" applyBorder="1" applyAlignment="1">
      <alignment horizontal="center" vertical="top" wrapText="1"/>
    </xf>
    <xf numFmtId="0" fontId="12" fillId="0" borderId="7" xfId="1" applyFont="1" applyFill="1" applyBorder="1" applyAlignment="1" applyProtection="1">
      <alignment vertical="top" wrapText="1"/>
    </xf>
    <xf numFmtId="49" fontId="12" fillId="0" borderId="2" xfId="1" applyNumberFormat="1" applyFont="1" applyFill="1" applyBorder="1" applyAlignment="1" applyProtection="1">
      <alignment horizontal="center" vertical="top" wrapText="1"/>
      <protection locked="0"/>
    </xf>
    <xf numFmtId="3" fontId="12" fillId="0" borderId="2" xfId="1" applyNumberFormat="1" applyFont="1" applyFill="1" applyBorder="1" applyAlignment="1" applyProtection="1">
      <alignment horizontal="center" vertical="top" wrapText="1"/>
      <protection locked="0"/>
    </xf>
    <xf numFmtId="3" fontId="2" fillId="0" borderId="1" xfId="3" applyNumberFormat="1" applyFont="1" applyFill="1" applyBorder="1" applyProtection="1">
      <protection locked="0"/>
    </xf>
    <xf numFmtId="0" fontId="4" fillId="0" borderId="7" xfId="1" applyFont="1" applyFill="1" applyBorder="1" applyAlignment="1" applyProtection="1">
      <alignment vertical="top" wrapText="1"/>
    </xf>
    <xf numFmtId="3" fontId="12" fillId="0" borderId="1" xfId="3" applyNumberFormat="1" applyFont="1" applyFill="1" applyBorder="1" applyProtection="1">
      <protection locked="0"/>
    </xf>
    <xf numFmtId="49" fontId="4" fillId="0" borderId="9" xfId="1" applyNumberFormat="1" applyFont="1" applyFill="1" applyBorder="1" applyAlignment="1" applyProtection="1">
      <alignment horizontal="center" vertical="top" wrapText="1"/>
      <protection locked="0"/>
    </xf>
    <xf numFmtId="3" fontId="4" fillId="0" borderId="9" xfId="1" applyNumberFormat="1" applyFont="1" applyFill="1" applyBorder="1" applyAlignment="1" applyProtection="1">
      <alignment horizontal="center" vertical="top" wrapText="1"/>
      <protection locked="0"/>
    </xf>
    <xf numFmtId="49" fontId="2" fillId="0" borderId="9" xfId="1" applyNumberFormat="1" applyFont="1" applyFill="1" applyBorder="1" applyAlignment="1" applyProtection="1">
      <alignment horizontal="center" vertical="top" wrapText="1"/>
      <protection locked="0"/>
    </xf>
    <xf numFmtId="3" fontId="2" fillId="0" borderId="9" xfId="1" applyNumberFormat="1" applyFont="1" applyFill="1" applyBorder="1" applyAlignment="1" applyProtection="1">
      <alignment horizontal="center" vertical="top" wrapText="1"/>
      <protection locked="0"/>
    </xf>
    <xf numFmtId="0" fontId="10" fillId="0" borderId="4" xfId="7" quotePrefix="1" applyFont="1" applyBorder="1" applyAlignment="1">
      <alignment horizontal="center" vertical="top" wrapText="1"/>
    </xf>
    <xf numFmtId="3" fontId="10" fillId="0" borderId="4" xfId="7" quotePrefix="1" applyNumberFormat="1" applyFont="1" applyBorder="1" applyAlignment="1">
      <alignment horizontal="center" vertical="top" wrapText="1"/>
    </xf>
    <xf numFmtId="0" fontId="13" fillId="0" borderId="4" xfId="7" quotePrefix="1" applyFont="1" applyBorder="1" applyAlignment="1">
      <alignment horizontal="center" vertical="top" wrapText="1"/>
    </xf>
    <xf numFmtId="3" fontId="13" fillId="0" borderId="4" xfId="7" quotePrefix="1" applyNumberFormat="1" applyFont="1" applyBorder="1" applyAlignment="1">
      <alignment horizontal="center" vertical="top" wrapText="1"/>
    </xf>
    <xf numFmtId="3" fontId="2" fillId="0" borderId="1" xfId="1" applyNumberFormat="1" applyFont="1" applyFill="1" applyBorder="1" applyAlignment="1" applyProtection="1">
      <alignment horizontal="center"/>
      <protection locked="0"/>
    </xf>
    <xf numFmtId="0" fontId="14" fillId="0" borderId="4" xfId="7" quotePrefix="1" applyFont="1" applyBorder="1" applyAlignment="1">
      <alignment horizontal="center" vertical="top" wrapText="1"/>
    </xf>
    <xf numFmtId="3" fontId="14" fillId="0" borderId="4" xfId="7" quotePrefix="1" applyNumberFormat="1" applyFont="1" applyBorder="1" applyAlignment="1">
      <alignment horizontal="center" vertical="top" wrapText="1"/>
    </xf>
    <xf numFmtId="4" fontId="4" fillId="0" borderId="1" xfId="3" applyNumberFormat="1" applyFont="1" applyFill="1" applyBorder="1" applyProtection="1">
      <protection locked="0"/>
    </xf>
    <xf numFmtId="4" fontId="2" fillId="0" borderId="0" xfId="1" applyNumberFormat="1" applyFont="1" applyFill="1" applyProtection="1">
      <protection locked="0"/>
    </xf>
    <xf numFmtId="4" fontId="12" fillId="0" borderId="1" xfId="3" applyNumberFormat="1" applyFont="1" applyFill="1" applyBorder="1" applyProtection="1">
      <protection locked="0"/>
    </xf>
    <xf numFmtId="4" fontId="2" fillId="0" borderId="1" xfId="1" applyNumberFormat="1" applyFont="1" applyFill="1" applyBorder="1" applyAlignment="1" applyProtection="1">
      <alignment horizontal="center"/>
      <protection locked="0"/>
    </xf>
    <xf numFmtId="49" fontId="4" fillId="0" borderId="1" xfId="1" applyNumberFormat="1" applyFont="1" applyFill="1" applyBorder="1" applyAlignment="1" applyProtection="1">
      <alignment horizontal="center"/>
      <protection locked="0"/>
    </xf>
    <xf numFmtId="3" fontId="4" fillId="0" borderId="1" xfId="1" applyNumberFormat="1" applyFont="1" applyFill="1" applyBorder="1" applyAlignment="1" applyProtection="1">
      <alignment horizontal="center"/>
      <protection locked="0"/>
    </xf>
    <xf numFmtId="49" fontId="2" fillId="0" borderId="0" xfId="1" applyNumberFormat="1" applyFont="1" applyFill="1" applyAlignment="1" applyProtection="1">
      <alignment horizontal="center"/>
      <protection locked="0"/>
    </xf>
    <xf numFmtId="3" fontId="2" fillId="0" borderId="0" xfId="1" applyNumberFormat="1" applyFont="1" applyFill="1" applyAlignment="1" applyProtection="1">
      <alignment horizontal="center"/>
      <protection locked="0"/>
    </xf>
    <xf numFmtId="0" fontId="10" fillId="0" borderId="10" xfId="7" quotePrefix="1" applyFont="1" applyBorder="1" applyAlignment="1">
      <alignment horizontal="center" vertical="top" wrapText="1"/>
    </xf>
    <xf numFmtId="3" fontId="10" fillId="0" borderId="10" xfId="7" quotePrefix="1" applyNumberFormat="1" applyFont="1" applyBorder="1" applyAlignment="1">
      <alignment horizontal="center" vertical="top" wrapText="1"/>
    </xf>
    <xf numFmtId="0" fontId="2" fillId="0" borderId="1" xfId="1" applyFont="1" applyFill="1" applyBorder="1" applyAlignment="1" applyProtection="1">
      <alignment vertical="top" wrapText="1"/>
    </xf>
    <xf numFmtId="0" fontId="2" fillId="0" borderId="0" xfId="1" applyFont="1" applyFill="1" applyAlignment="1" applyProtection="1">
      <alignment horizontal="left" wrapText="1"/>
      <protection locked="0"/>
    </xf>
    <xf numFmtId="3" fontId="2" fillId="0" borderId="0" xfId="1" applyNumberFormat="1" applyFont="1" applyFill="1" applyBorder="1" applyProtection="1">
      <protection locked="0"/>
    </xf>
    <xf numFmtId="4" fontId="16" fillId="0" borderId="0" xfId="8" applyNumberFormat="1" applyFont="1" applyBorder="1" applyAlignment="1">
      <alignment horizontal="right" vertical="top" wrapText="1"/>
    </xf>
    <xf numFmtId="49" fontId="2" fillId="0" borderId="0" xfId="6" applyNumberFormat="1" applyFont="1" applyFill="1" applyAlignment="1" applyProtection="1">
      <alignment wrapText="1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17" fillId="0" borderId="0" xfId="8" applyFont="1" applyAlignment="1">
      <alignment horizontal="left"/>
    </xf>
    <xf numFmtId="0" fontId="15" fillId="0" borderId="0" xfId="8"/>
    <xf numFmtId="0" fontId="18" fillId="0" borderId="0" xfId="8" applyFont="1" applyAlignment="1">
      <alignment horizontal="left"/>
    </xf>
    <xf numFmtId="0" fontId="15" fillId="0" borderId="0" xfId="8" applyAlignment="1">
      <alignment horizontal="left"/>
    </xf>
    <xf numFmtId="0" fontId="19" fillId="2" borderId="11" xfId="8" applyNumberFormat="1" applyFont="1" applyFill="1" applyBorder="1" applyAlignment="1">
      <alignment horizontal="left" vertical="center" wrapText="1"/>
    </xf>
    <xf numFmtId="0" fontId="19" fillId="2" borderId="11" xfId="8" applyNumberFormat="1" applyFont="1" applyFill="1" applyBorder="1" applyAlignment="1">
      <alignment horizontal="center" vertical="center" wrapText="1"/>
    </xf>
    <xf numFmtId="0" fontId="19" fillId="0" borderId="0" xfId="9" applyNumberFormat="1" applyFont="1"/>
    <xf numFmtId="1" fontId="16" fillId="3" borderId="11" xfId="8" applyNumberFormat="1" applyFont="1" applyFill="1" applyBorder="1" applyAlignment="1">
      <alignment horizontal="left" vertical="top"/>
    </xf>
    <xf numFmtId="0" fontId="16" fillId="3" borderId="11" xfId="8" applyNumberFormat="1" applyFont="1" applyFill="1" applyBorder="1" applyAlignment="1">
      <alignment horizontal="left" vertical="top" wrapText="1"/>
    </xf>
    <xf numFmtId="0" fontId="16" fillId="3" borderId="11" xfId="8" applyNumberFormat="1" applyFont="1" applyFill="1" applyBorder="1" applyAlignment="1">
      <alignment horizontal="right" vertical="top" wrapText="1"/>
    </xf>
    <xf numFmtId="0" fontId="16" fillId="0" borderId="0" xfId="9" applyNumberFormat="1" applyFont="1"/>
    <xf numFmtId="0" fontId="16" fillId="0" borderId="11" xfId="8" applyNumberFormat="1" applyFont="1" applyBorder="1" applyAlignment="1">
      <alignment horizontal="left" vertical="top" indent="2"/>
    </xf>
    <xf numFmtId="1" fontId="16" fillId="0" borderId="11" xfId="8" applyNumberFormat="1" applyFont="1" applyBorder="1" applyAlignment="1">
      <alignment horizontal="left" vertical="top"/>
    </xf>
    <xf numFmtId="4" fontId="16" fillId="0" borderId="11" xfId="8" applyNumberFormat="1" applyFont="1" applyBorder="1" applyAlignment="1">
      <alignment horizontal="right" vertical="top" wrapText="1"/>
    </xf>
    <xf numFmtId="0" fontId="16" fillId="0" borderId="11" xfId="8" applyNumberFormat="1" applyFont="1" applyBorder="1" applyAlignment="1">
      <alignment horizontal="right" vertical="top" wrapText="1"/>
    </xf>
    <xf numFmtId="0" fontId="16" fillId="0" borderId="11" xfId="8" applyNumberFormat="1" applyFont="1" applyBorder="1" applyAlignment="1">
      <alignment horizontal="left" vertical="top" indent="4"/>
    </xf>
    <xf numFmtId="4" fontId="16" fillId="0" borderId="0" xfId="9" applyNumberFormat="1" applyFont="1"/>
    <xf numFmtId="0" fontId="16" fillId="0" borderId="11" xfId="8" applyNumberFormat="1" applyFont="1" applyBorder="1" applyAlignment="1">
      <alignment horizontal="left" vertical="top" indent="6"/>
    </xf>
    <xf numFmtId="0" fontId="16" fillId="0" borderId="11" xfId="8" applyNumberFormat="1" applyFont="1" applyBorder="1" applyAlignment="1">
      <alignment horizontal="left" vertical="top"/>
    </xf>
    <xf numFmtId="0" fontId="16" fillId="3" borderId="11" xfId="8" applyNumberFormat="1" applyFont="1" applyFill="1" applyBorder="1" applyAlignment="1">
      <alignment horizontal="left" vertical="top"/>
    </xf>
    <xf numFmtId="4" fontId="16" fillId="3" borderId="11" xfId="8" applyNumberFormat="1" applyFont="1" applyFill="1" applyBorder="1" applyAlignment="1">
      <alignment horizontal="right" vertical="top" wrapText="1"/>
    </xf>
  </cellXfs>
  <cellStyles count="10">
    <cellStyle name="S0" xfId="4"/>
    <cellStyle name="S4" xfId="5"/>
    <cellStyle name="S6" xfId="7"/>
    <cellStyle name="Обычный" xfId="0" builtinId="0"/>
    <cellStyle name="Обычный_I0000609Айнаш" xfId="2"/>
    <cellStyle name="Обычный_I0000709" xfId="1"/>
    <cellStyle name="Обычный_Лист1" xfId="9"/>
    <cellStyle name="Обычный_Приложения к Правилам по ИК_рус" xfId="6"/>
    <cellStyle name="Обычный_Ф2" xfId="8"/>
    <cellStyle name="Финансовый_I000070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.ismailova.HALYKFINANCE.000/AppData/Local/Microsoft/Windows/Temporary%20Internet%20Files/Content.Outlook/5YK85FZO/y01407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086;&#1088;&#1084;&#1099;&#1048;&#1054;1.09.08/Documents%20and%20Settings/UAF_Zhanar/&#1052;&#1086;&#1080;%20&#1076;&#1086;&#1082;&#1091;&#1084;&#1077;&#1085;&#1090;&#1099;/&#1060;&#1057;/&#1059;&#1090;&#1074;&#1077;&#1088;&#1078;&#1076;.&#1074;&#1072;&#1088;&#1080;&#1072;&#1085;&#1090;%20&#1060;&#1057;/&#1056;&#1091;&#1089;&#1089;&#1082;&#1080;&#1081;%20&#1074;&#1072;&#1088;&#1080;&#1072;&#1085;&#1090;/WINDOWS/EXCEL/MY_PROG/DWR_PR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ring\exchange\Documents%20and%20Settings\UAF_Zhanar\&#1052;&#1086;&#1080;%20&#1076;&#1086;&#1082;&#1091;&#1084;&#1077;&#1085;&#1090;&#1099;\&#1060;&#1057;\&#1059;&#1090;&#1074;&#1077;&#1088;&#1078;&#1076;.&#1074;&#1072;&#1088;&#1080;&#1072;&#1085;&#1090;%20&#1060;&#1057;\&#1056;&#1091;&#1089;&#1089;&#1082;&#1080;&#1081;%20&#1074;&#1072;&#1088;&#1080;&#1072;&#1085;&#1090;\WINDOWS\EXCEL\MY_PROG\DWR_PR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notes6030C8/Documents%20and%20Settings/UAF_Zhanar/&#1052;&#1086;&#1080;%20&#1076;&#1086;&#1082;&#1091;&#1084;&#1077;&#1085;&#1090;&#1099;/&#1060;&#1057;/&#1059;&#1090;&#1074;&#1077;&#1088;&#1078;&#1076;.&#1074;&#1072;&#1088;&#1080;&#1072;&#1085;&#1090;%20&#1060;&#1057;/&#1056;&#1091;&#1089;&#1089;&#1082;&#1080;&#1081;%20&#1074;&#1072;&#1088;&#1080;&#1072;&#1085;&#1090;/WINDOWS/EXCEL/MY_PROG/DWR_PR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4"/>
      <sheetName val="Ф3"/>
      <sheetName val="Ф1"/>
      <sheetName val="Ф2"/>
      <sheetName val="Пр1"/>
      <sheetName val="Пр2"/>
      <sheetName val="Пр3"/>
      <sheetName val="Пр4"/>
      <sheetName val="Доп сведения"/>
      <sheetName val="ПН "/>
    </sheetNames>
    <sheetDataSet>
      <sheetData sheetId="0"/>
      <sheetData sheetId="1"/>
      <sheetData sheetId="2"/>
      <sheetData sheetId="3"/>
      <sheetData sheetId="4">
        <row r="1814">
          <cell r="M1814">
            <v>21956517</v>
          </cell>
          <cell r="N1814">
            <v>254887</v>
          </cell>
          <cell r="Q1814">
            <v>1720584</v>
          </cell>
          <cell r="R1814">
            <v>24294</v>
          </cell>
        </row>
      </sheetData>
      <sheetData sheetId="5">
        <row r="13">
          <cell r="L13">
            <v>2000000</v>
          </cell>
        </row>
      </sheetData>
      <sheetData sheetId="6">
        <row r="9">
          <cell r="J9">
            <v>971229</v>
          </cell>
        </row>
        <row r="19">
          <cell r="L19">
            <v>4459389</v>
          </cell>
          <cell r="M19">
            <v>35061</v>
          </cell>
        </row>
        <row r="25">
          <cell r="J25">
            <v>244938</v>
          </cell>
        </row>
      </sheetData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132"/>
  <sheetViews>
    <sheetView view="pageBreakPreview" topLeftCell="A109" zoomScaleNormal="100" zoomScaleSheetLayoutView="100" workbookViewId="0">
      <selection activeCell="C124" sqref="C124"/>
    </sheetView>
  </sheetViews>
  <sheetFormatPr defaultRowHeight="12.75" x14ac:dyDescent="0.2"/>
  <cols>
    <col min="1" max="1" width="55.42578125" style="1" customWidth="1"/>
    <col min="2" max="2" width="6.85546875" style="1" customWidth="1"/>
    <col min="3" max="3" width="15.85546875" style="1" customWidth="1"/>
    <col min="4" max="4" width="17.7109375" style="1" customWidth="1"/>
    <col min="5" max="5" width="19" style="1" customWidth="1"/>
    <col min="6" max="6" width="13.5703125" style="1" customWidth="1"/>
    <col min="7" max="16384" width="9.140625" style="1"/>
  </cols>
  <sheetData>
    <row r="1" spans="1:7" ht="48.75" customHeight="1" x14ac:dyDescent="0.2">
      <c r="C1" s="2" t="s">
        <v>0</v>
      </c>
      <c r="D1" s="3"/>
    </row>
    <row r="2" spans="1:7" ht="21" customHeight="1" x14ac:dyDescent="0.2">
      <c r="C2" s="4"/>
      <c r="D2" s="5" t="s">
        <v>1</v>
      </c>
    </row>
    <row r="3" spans="1:7" x14ac:dyDescent="0.2">
      <c r="A3" s="6" t="s">
        <v>2</v>
      </c>
      <c r="B3" s="6"/>
      <c r="C3" s="6"/>
      <c r="D3" s="6"/>
    </row>
    <row r="4" spans="1:7" x14ac:dyDescent="0.2">
      <c r="A4" s="7"/>
      <c r="B4" s="7"/>
      <c r="C4" s="7"/>
      <c r="D4" s="7"/>
    </row>
    <row r="5" spans="1:7" x14ac:dyDescent="0.2">
      <c r="A5" s="8" t="s">
        <v>3</v>
      </c>
      <c r="B5" s="8"/>
      <c r="C5" s="8"/>
      <c r="D5" s="8"/>
    </row>
    <row r="6" spans="1:7" x14ac:dyDescent="0.2">
      <c r="A6" s="7" t="s">
        <v>4</v>
      </c>
      <c r="B6" s="7"/>
      <c r="C6" s="7"/>
      <c r="D6" s="7"/>
    </row>
    <row r="7" spans="1:7" s="9" customFormat="1" x14ac:dyDescent="0.2">
      <c r="D7" s="10" t="s">
        <v>5</v>
      </c>
      <c r="G7" s="1"/>
    </row>
    <row r="8" spans="1:7" ht="38.25" x14ac:dyDescent="0.2">
      <c r="A8" s="11" t="s">
        <v>6</v>
      </c>
      <c r="B8" s="11" t="s">
        <v>7</v>
      </c>
      <c r="C8" s="11" t="s">
        <v>8</v>
      </c>
      <c r="D8" s="11" t="s">
        <v>9</v>
      </c>
      <c r="E8" s="12"/>
      <c r="F8" s="13"/>
    </row>
    <row r="9" spans="1:7" x14ac:dyDescent="0.2">
      <c r="A9" s="14">
        <v>1</v>
      </c>
      <c r="B9" s="14">
        <v>2</v>
      </c>
      <c r="C9" s="14">
        <v>3</v>
      </c>
      <c r="D9" s="14">
        <v>4</v>
      </c>
      <c r="E9" s="12"/>
      <c r="F9" s="13"/>
    </row>
    <row r="10" spans="1:7" x14ac:dyDescent="0.2">
      <c r="A10" s="15" t="s">
        <v>10</v>
      </c>
      <c r="B10" s="16"/>
      <c r="C10" s="17"/>
      <c r="D10" s="18"/>
      <c r="F10" s="13"/>
    </row>
    <row r="11" spans="1:7" x14ac:dyDescent="0.2">
      <c r="A11" s="19" t="s">
        <v>11</v>
      </c>
      <c r="B11" s="20" t="s">
        <v>12</v>
      </c>
      <c r="C11" s="17">
        <f>SUM(C13:C14)</f>
        <v>1216167</v>
      </c>
      <c r="D11" s="17">
        <f>SUM(D13:D14)</f>
        <v>1649399</v>
      </c>
      <c r="F11" s="13"/>
    </row>
    <row r="12" spans="1:7" x14ac:dyDescent="0.2">
      <c r="A12" s="19" t="s">
        <v>13</v>
      </c>
      <c r="B12" s="20" t="s">
        <v>14</v>
      </c>
      <c r="C12" s="17"/>
      <c r="D12" s="18"/>
      <c r="F12" s="13"/>
    </row>
    <row r="13" spans="1:7" x14ac:dyDescent="0.2">
      <c r="A13" s="19" t="s">
        <v>15</v>
      </c>
      <c r="B13" s="20" t="s">
        <v>16</v>
      </c>
      <c r="C13" s="17"/>
      <c r="D13" s="18"/>
      <c r="F13" s="13"/>
    </row>
    <row r="14" spans="1:7" ht="25.5" x14ac:dyDescent="0.2">
      <c r="A14" s="19" t="s">
        <v>17</v>
      </c>
      <c r="B14" s="20" t="s">
        <v>18</v>
      </c>
      <c r="C14" s="21">
        <f>[1]Пр3!J9+[1]Пр3!J25</f>
        <v>1216167</v>
      </c>
      <c r="D14" s="21">
        <v>1649399</v>
      </c>
      <c r="E14" s="12"/>
      <c r="F14" s="12"/>
    </row>
    <row r="15" spans="1:7" x14ac:dyDescent="0.2">
      <c r="A15" s="19" t="s">
        <v>19</v>
      </c>
      <c r="B15" s="20">
        <v>2</v>
      </c>
      <c r="C15" s="21">
        <v>0</v>
      </c>
      <c r="D15" s="21">
        <v>0</v>
      </c>
      <c r="F15" s="13"/>
    </row>
    <row r="16" spans="1:7" x14ac:dyDescent="0.2">
      <c r="A16" s="19" t="s">
        <v>20</v>
      </c>
      <c r="B16" s="20" t="s">
        <v>21</v>
      </c>
      <c r="C16" s="21">
        <f>[1]Пр3!L19</f>
        <v>4459389</v>
      </c>
      <c r="D16" s="21">
        <v>596025</v>
      </c>
      <c r="F16" s="13"/>
    </row>
    <row r="17" spans="1:6" x14ac:dyDescent="0.2">
      <c r="A17" s="19" t="s">
        <v>13</v>
      </c>
      <c r="B17" s="20" t="s">
        <v>14</v>
      </c>
      <c r="C17" s="21"/>
      <c r="D17" s="21"/>
      <c r="F17" s="13"/>
    </row>
    <row r="18" spans="1:6" x14ac:dyDescent="0.2">
      <c r="A18" s="19" t="s">
        <v>22</v>
      </c>
      <c r="B18" s="20" t="s">
        <v>23</v>
      </c>
      <c r="C18" s="21">
        <f>[1]Пр3!M19</f>
        <v>35061</v>
      </c>
      <c r="D18" s="21">
        <v>2705</v>
      </c>
      <c r="F18" s="13"/>
    </row>
    <row r="19" spans="1:6" x14ac:dyDescent="0.2">
      <c r="A19" s="19" t="s">
        <v>24</v>
      </c>
      <c r="B19" s="20" t="s">
        <v>25</v>
      </c>
      <c r="C19" s="21">
        <f>[1]Пр2!L13</f>
        <v>2000000</v>
      </c>
      <c r="D19" s="21">
        <v>270592</v>
      </c>
      <c r="F19" s="13"/>
    </row>
    <row r="20" spans="1:6" x14ac:dyDescent="0.2">
      <c r="A20" s="19" t="s">
        <v>13</v>
      </c>
      <c r="B20" s="20" t="s">
        <v>14</v>
      </c>
      <c r="C20" s="21"/>
      <c r="D20" s="21"/>
      <c r="F20" s="13"/>
    </row>
    <row r="21" spans="1:6" x14ac:dyDescent="0.2">
      <c r="A21" s="19" t="s">
        <v>22</v>
      </c>
      <c r="B21" s="20" t="s">
        <v>26</v>
      </c>
      <c r="C21" s="21">
        <v>0</v>
      </c>
      <c r="D21" s="21">
        <v>592</v>
      </c>
      <c r="F21" s="13"/>
    </row>
    <row r="22" spans="1:6" ht="25.5" x14ac:dyDescent="0.2">
      <c r="A22" s="19" t="s">
        <v>27</v>
      </c>
      <c r="B22" s="20" t="s">
        <v>28</v>
      </c>
      <c r="C22" s="21">
        <f>[1]Пр1!Q1814</f>
        <v>1720584</v>
      </c>
      <c r="D22" s="21">
        <v>1936525</v>
      </c>
      <c r="F22" s="13"/>
    </row>
    <row r="23" spans="1:6" x14ac:dyDescent="0.2">
      <c r="A23" s="19" t="s">
        <v>13</v>
      </c>
      <c r="B23" s="20"/>
      <c r="C23" s="21"/>
      <c r="D23" s="21"/>
      <c r="F23" s="13"/>
    </row>
    <row r="24" spans="1:6" x14ac:dyDescent="0.2">
      <c r="A24" s="19" t="s">
        <v>22</v>
      </c>
      <c r="B24" s="20" t="s">
        <v>29</v>
      </c>
      <c r="C24" s="21">
        <f>[1]Пр1!R1814</f>
        <v>24294</v>
      </c>
      <c r="D24" s="21">
        <v>27300</v>
      </c>
      <c r="F24" s="13"/>
    </row>
    <row r="25" spans="1:6" ht="25.5" x14ac:dyDescent="0.2">
      <c r="A25" s="19" t="s">
        <v>30</v>
      </c>
      <c r="B25" s="20" t="s">
        <v>31</v>
      </c>
      <c r="C25" s="21">
        <f>[1]Пр1!M1814</f>
        <v>21956517</v>
      </c>
      <c r="D25" s="21">
        <v>26746687</v>
      </c>
      <c r="F25" s="13"/>
    </row>
    <row r="26" spans="1:6" x14ac:dyDescent="0.2">
      <c r="A26" s="19" t="s">
        <v>13</v>
      </c>
      <c r="B26" s="20" t="s">
        <v>14</v>
      </c>
      <c r="C26" s="21"/>
      <c r="D26" s="21"/>
      <c r="F26" s="13"/>
    </row>
    <row r="27" spans="1:6" x14ac:dyDescent="0.2">
      <c r="A27" s="19" t="s">
        <v>32</v>
      </c>
      <c r="B27" s="20" t="s">
        <v>33</v>
      </c>
      <c r="C27" s="21">
        <f>[1]Пр1!N1814</f>
        <v>254887</v>
      </c>
      <c r="D27" s="21">
        <v>387799</v>
      </c>
      <c r="F27" s="13"/>
    </row>
    <row r="28" spans="1:6" ht="25.5" x14ac:dyDescent="0.2">
      <c r="A28" s="19" t="s">
        <v>34</v>
      </c>
      <c r="B28" s="20" t="s">
        <v>35</v>
      </c>
      <c r="C28" s="21"/>
      <c r="D28" s="21"/>
      <c r="F28" s="13"/>
    </row>
    <row r="29" spans="1:6" x14ac:dyDescent="0.2">
      <c r="A29" s="19" t="s">
        <v>13</v>
      </c>
      <c r="B29" s="20" t="s">
        <v>14</v>
      </c>
      <c r="C29" s="21"/>
      <c r="D29" s="21"/>
      <c r="F29" s="13"/>
    </row>
    <row r="30" spans="1:6" x14ac:dyDescent="0.2">
      <c r="A30" s="19" t="s">
        <v>32</v>
      </c>
      <c r="B30" s="20" t="s">
        <v>36</v>
      </c>
      <c r="C30" s="21"/>
      <c r="D30" s="21"/>
      <c r="F30" s="13"/>
    </row>
    <row r="31" spans="1:6" x14ac:dyDescent="0.2">
      <c r="A31" s="19" t="s">
        <v>37</v>
      </c>
      <c r="B31" s="20" t="s">
        <v>38</v>
      </c>
      <c r="C31" s="21"/>
      <c r="D31" s="21"/>
      <c r="F31" s="13"/>
    </row>
    <row r="32" spans="1:6" ht="25.5" x14ac:dyDescent="0.2">
      <c r="A32" s="19" t="s">
        <v>39</v>
      </c>
      <c r="B32" s="20" t="s">
        <v>40</v>
      </c>
      <c r="C32" s="21"/>
      <c r="D32" s="21"/>
      <c r="F32" s="13"/>
    </row>
    <row r="33" spans="1:6" x14ac:dyDescent="0.2">
      <c r="A33" s="19" t="s">
        <v>41</v>
      </c>
      <c r="B33" s="20" t="s">
        <v>42</v>
      </c>
      <c r="C33" s="21">
        <v>1825</v>
      </c>
      <c r="D33" s="21">
        <v>1597</v>
      </c>
      <c r="F33" s="13"/>
    </row>
    <row r="34" spans="1:6" ht="25.5" x14ac:dyDescent="0.2">
      <c r="A34" s="19" t="s">
        <v>43</v>
      </c>
      <c r="B34" s="20" t="s">
        <v>44</v>
      </c>
      <c r="C34" s="21"/>
      <c r="D34" s="21"/>
      <c r="F34" s="13"/>
    </row>
    <row r="35" spans="1:6" ht="25.5" x14ac:dyDescent="0.2">
      <c r="A35" s="19" t="s">
        <v>45</v>
      </c>
      <c r="B35" s="20" t="s">
        <v>46</v>
      </c>
      <c r="C35" s="21">
        <v>309413</v>
      </c>
      <c r="D35" s="21">
        <v>326602</v>
      </c>
      <c r="F35" s="13"/>
    </row>
    <row r="36" spans="1:6" ht="25.5" x14ac:dyDescent="0.2">
      <c r="A36" s="19" t="s">
        <v>47</v>
      </c>
      <c r="B36" s="20" t="s">
        <v>48</v>
      </c>
      <c r="C36" s="21">
        <v>8035</v>
      </c>
      <c r="D36" s="21">
        <v>10138</v>
      </c>
      <c r="F36" s="13"/>
    </row>
    <row r="37" spans="1:6" x14ac:dyDescent="0.2">
      <c r="A37" s="19" t="s">
        <v>49</v>
      </c>
      <c r="B37" s="20" t="s">
        <v>50</v>
      </c>
      <c r="C37" s="21">
        <f>600753+5</f>
        <v>600758</v>
      </c>
      <c r="D37" s="21">
        <f>86138-19869</f>
        <v>66269</v>
      </c>
      <c r="F37" s="13"/>
    </row>
    <row r="38" spans="1:6" x14ac:dyDescent="0.2">
      <c r="A38" s="19" t="s">
        <v>51</v>
      </c>
      <c r="B38" s="20" t="s">
        <v>52</v>
      </c>
      <c r="C38" s="21">
        <f>SUM(C42:C48)</f>
        <v>788147</v>
      </c>
      <c r="D38" s="21">
        <v>1530960</v>
      </c>
      <c r="F38" s="13"/>
    </row>
    <row r="39" spans="1:6" x14ac:dyDescent="0.2">
      <c r="A39" s="19" t="s">
        <v>13</v>
      </c>
      <c r="B39" s="20" t="s">
        <v>14</v>
      </c>
      <c r="C39" s="21"/>
      <c r="D39" s="21"/>
      <c r="F39" s="13"/>
    </row>
    <row r="40" spans="1:6" x14ac:dyDescent="0.2">
      <c r="A40" s="19" t="s">
        <v>53</v>
      </c>
      <c r="B40" s="20" t="s">
        <v>54</v>
      </c>
      <c r="C40" s="21"/>
      <c r="D40" s="21"/>
      <c r="F40" s="13"/>
    </row>
    <row r="41" spans="1:6" x14ac:dyDescent="0.2">
      <c r="A41" s="19" t="s">
        <v>55</v>
      </c>
      <c r="B41" s="20" t="s">
        <v>56</v>
      </c>
      <c r="C41" s="21"/>
      <c r="D41" s="21"/>
      <c r="F41" s="13"/>
    </row>
    <row r="42" spans="1:6" x14ac:dyDescent="0.2">
      <c r="A42" s="19" t="s">
        <v>57</v>
      </c>
      <c r="B42" s="20" t="s">
        <v>58</v>
      </c>
      <c r="C42" s="21"/>
      <c r="D42" s="21"/>
      <c r="F42" s="13"/>
    </row>
    <row r="43" spans="1:6" x14ac:dyDescent="0.2">
      <c r="A43" s="19" t="s">
        <v>59</v>
      </c>
      <c r="B43" s="20" t="s">
        <v>60</v>
      </c>
      <c r="C43" s="21">
        <v>540</v>
      </c>
      <c r="D43" s="21">
        <f>450+180</f>
        <v>630</v>
      </c>
      <c r="F43" s="13"/>
    </row>
    <row r="44" spans="1:6" x14ac:dyDescent="0.2">
      <c r="A44" s="19" t="s">
        <v>61</v>
      </c>
      <c r="B44" s="20" t="s">
        <v>62</v>
      </c>
      <c r="C44" s="21">
        <v>0</v>
      </c>
      <c r="D44" s="21">
        <v>0</v>
      </c>
      <c r="F44" s="13"/>
    </row>
    <row r="45" spans="1:6" x14ac:dyDescent="0.2">
      <c r="A45" s="19" t="s">
        <v>63</v>
      </c>
      <c r="B45" s="20" t="s">
        <v>64</v>
      </c>
      <c r="C45" s="21">
        <v>765214</v>
      </c>
      <c r="D45" s="21">
        <v>17914</v>
      </c>
      <c r="F45" s="13"/>
    </row>
    <row r="46" spans="1:6" x14ac:dyDescent="0.2">
      <c r="A46" s="19" t="s">
        <v>65</v>
      </c>
      <c r="B46" s="20" t="s">
        <v>66</v>
      </c>
      <c r="C46" s="21">
        <v>13727</v>
      </c>
      <c r="D46" s="21">
        <v>1503114</v>
      </c>
      <c r="F46" s="13"/>
    </row>
    <row r="47" spans="1:6" x14ac:dyDescent="0.2">
      <c r="A47" s="19" t="s">
        <v>67</v>
      </c>
      <c r="B47" s="20" t="s">
        <v>68</v>
      </c>
      <c r="C47" s="21">
        <v>8666</v>
      </c>
      <c r="D47" s="21">
        <f>3300+2445+2482+300+775</f>
        <v>9302</v>
      </c>
      <c r="F47" s="13"/>
    </row>
    <row r="48" spans="1:6" x14ac:dyDescent="0.2">
      <c r="A48" s="19" t="s">
        <v>69</v>
      </c>
      <c r="B48" s="20" t="s">
        <v>70</v>
      </c>
      <c r="C48" s="21">
        <v>0</v>
      </c>
      <c r="D48" s="21">
        <v>0</v>
      </c>
      <c r="F48" s="13"/>
    </row>
    <row r="49" spans="1:6" x14ac:dyDescent="0.2">
      <c r="A49" s="19" t="s">
        <v>71</v>
      </c>
      <c r="B49" s="20" t="s">
        <v>72</v>
      </c>
      <c r="C49" s="21">
        <v>0</v>
      </c>
      <c r="D49" s="21">
        <v>0</v>
      </c>
      <c r="F49" s="13"/>
    </row>
    <row r="50" spans="1:6" x14ac:dyDescent="0.2">
      <c r="A50" s="19" t="s">
        <v>73</v>
      </c>
      <c r="B50" s="20" t="s">
        <v>74</v>
      </c>
      <c r="C50" s="21"/>
      <c r="D50" s="21"/>
      <c r="F50" s="13"/>
    </row>
    <row r="51" spans="1:6" x14ac:dyDescent="0.2">
      <c r="A51" s="19" t="s">
        <v>75</v>
      </c>
      <c r="B51" s="20" t="s">
        <v>76</v>
      </c>
      <c r="C51" s="21">
        <v>0</v>
      </c>
      <c r="D51" s="21">
        <v>0</v>
      </c>
      <c r="F51" s="13"/>
    </row>
    <row r="52" spans="1:6" x14ac:dyDescent="0.2">
      <c r="A52" s="19" t="s">
        <v>13</v>
      </c>
      <c r="B52" s="20" t="s">
        <v>14</v>
      </c>
      <c r="C52" s="21"/>
      <c r="D52" s="21"/>
      <c r="F52" s="13"/>
    </row>
    <row r="53" spans="1:6" x14ac:dyDescent="0.2">
      <c r="A53" s="19" t="s">
        <v>77</v>
      </c>
      <c r="B53" s="20" t="s">
        <v>78</v>
      </c>
      <c r="C53" s="21"/>
      <c r="D53" s="21"/>
      <c r="F53" s="13"/>
    </row>
    <row r="54" spans="1:6" x14ac:dyDescent="0.2">
      <c r="A54" s="19" t="s">
        <v>79</v>
      </c>
      <c r="B54" s="20" t="s">
        <v>80</v>
      </c>
      <c r="C54" s="21"/>
      <c r="D54" s="21"/>
      <c r="F54" s="13"/>
    </row>
    <row r="55" spans="1:6" x14ac:dyDescent="0.2">
      <c r="A55" s="19" t="s">
        <v>81</v>
      </c>
      <c r="B55" s="20" t="s">
        <v>82</v>
      </c>
      <c r="C55" s="21"/>
      <c r="D55" s="21"/>
      <c r="F55" s="13"/>
    </row>
    <row r="56" spans="1:6" x14ac:dyDescent="0.2">
      <c r="A56" s="19" t="s">
        <v>83</v>
      </c>
      <c r="B56" s="20" t="s">
        <v>84</v>
      </c>
      <c r="C56" s="21"/>
      <c r="D56" s="21"/>
      <c r="F56" s="13"/>
    </row>
    <row r="57" spans="1:6" x14ac:dyDescent="0.2">
      <c r="A57" s="19" t="s">
        <v>85</v>
      </c>
      <c r="B57" s="20" t="s">
        <v>86</v>
      </c>
      <c r="C57" s="21">
        <f>309891-C58</f>
        <v>271386</v>
      </c>
      <c r="D57" s="21">
        <v>1143</v>
      </c>
      <c r="F57" s="13"/>
    </row>
    <row r="58" spans="1:6" x14ac:dyDescent="0.2">
      <c r="A58" s="19" t="s">
        <v>87</v>
      </c>
      <c r="B58" s="20" t="s">
        <v>88</v>
      </c>
      <c r="C58" s="21">
        <v>38505</v>
      </c>
      <c r="D58" s="21">
        <v>90414</v>
      </c>
      <c r="F58" s="13"/>
    </row>
    <row r="59" spans="1:6" x14ac:dyDescent="0.2">
      <c r="A59" s="19" t="s">
        <v>89</v>
      </c>
      <c r="B59" s="20" t="s">
        <v>90</v>
      </c>
      <c r="C59" s="21">
        <v>32313</v>
      </c>
      <c r="D59" s="21">
        <v>19869</v>
      </c>
      <c r="F59" s="13"/>
    </row>
    <row r="60" spans="1:6" x14ac:dyDescent="0.2">
      <c r="A60" s="19" t="s">
        <v>91</v>
      </c>
      <c r="B60" s="20" t="s">
        <v>92</v>
      </c>
      <c r="C60" s="21"/>
      <c r="D60" s="21"/>
      <c r="F60" s="13"/>
    </row>
    <row r="61" spans="1:6" x14ac:dyDescent="0.2">
      <c r="A61" s="22"/>
      <c r="B61" s="23"/>
      <c r="C61" s="21"/>
      <c r="D61" s="21"/>
      <c r="F61" s="13"/>
    </row>
    <row r="62" spans="1:6" x14ac:dyDescent="0.2">
      <c r="A62" s="19"/>
      <c r="B62" s="20"/>
      <c r="C62" s="21"/>
      <c r="D62" s="18"/>
    </row>
    <row r="63" spans="1:6" x14ac:dyDescent="0.2">
      <c r="A63" s="24" t="s">
        <v>93</v>
      </c>
      <c r="B63" s="20">
        <v>21</v>
      </c>
      <c r="C63" s="25">
        <f>C11+C15+C16+C19+C22+C25+C28+C31+C32+C33+C34+C35+C36+C37+C38+C51+C57+C58+C59+C60</f>
        <v>33403039</v>
      </c>
      <c r="D63" s="25">
        <f>D11+D15+D16+D19+D22+D25+D28+D31+D32+D33+D34+D35+D36+D37+D38+D51+D57+D58+D59+D60</f>
        <v>33246220</v>
      </c>
      <c r="E63" s="12"/>
    </row>
    <row r="64" spans="1:6" x14ac:dyDescent="0.2">
      <c r="A64" s="19"/>
      <c r="B64" s="20"/>
      <c r="C64" s="18"/>
      <c r="D64" s="18"/>
      <c r="E64" s="12"/>
    </row>
    <row r="65" spans="1:4" x14ac:dyDescent="0.2">
      <c r="A65" s="26" t="s">
        <v>94</v>
      </c>
      <c r="B65" s="20"/>
      <c r="C65" s="18"/>
      <c r="D65" s="18"/>
    </row>
    <row r="66" spans="1:4" x14ac:dyDescent="0.2">
      <c r="A66" s="26"/>
      <c r="B66" s="20"/>
      <c r="C66" s="18"/>
      <c r="D66" s="18"/>
    </row>
    <row r="67" spans="1:4" x14ac:dyDescent="0.2">
      <c r="A67" s="19" t="s">
        <v>95</v>
      </c>
      <c r="B67" s="20" t="s">
        <v>96</v>
      </c>
      <c r="C67" s="18"/>
      <c r="D67" s="18"/>
    </row>
    <row r="68" spans="1:4" x14ac:dyDescent="0.2">
      <c r="A68" s="19" t="s">
        <v>97</v>
      </c>
      <c r="B68" s="20" t="s">
        <v>98</v>
      </c>
      <c r="C68" s="18"/>
      <c r="D68" s="18"/>
    </row>
    <row r="69" spans="1:4" x14ac:dyDescent="0.2">
      <c r="A69" s="19" t="s">
        <v>99</v>
      </c>
      <c r="B69" s="20" t="s">
        <v>100</v>
      </c>
      <c r="C69" s="21">
        <v>16924241</v>
      </c>
      <c r="D69" s="21">
        <v>16123333</v>
      </c>
    </row>
    <row r="70" spans="1:4" x14ac:dyDescent="0.2">
      <c r="A70" s="19" t="s">
        <v>101</v>
      </c>
      <c r="B70" s="20" t="s">
        <v>102</v>
      </c>
      <c r="C70" s="21"/>
      <c r="D70" s="18"/>
    </row>
    <row r="71" spans="1:4" x14ac:dyDescent="0.2">
      <c r="A71" s="19" t="s">
        <v>103</v>
      </c>
      <c r="B71" s="20" t="s">
        <v>104</v>
      </c>
      <c r="C71" s="21"/>
      <c r="D71" s="18"/>
    </row>
    <row r="72" spans="1:4" x14ac:dyDescent="0.2">
      <c r="A72" s="19" t="s">
        <v>105</v>
      </c>
      <c r="B72" s="20" t="s">
        <v>106</v>
      </c>
      <c r="C72" s="21">
        <v>1000006</v>
      </c>
      <c r="D72" s="21">
        <v>10</v>
      </c>
    </row>
    <row r="73" spans="1:4" x14ac:dyDescent="0.2">
      <c r="A73" s="19" t="s">
        <v>107</v>
      </c>
      <c r="B73" s="20" t="s">
        <v>108</v>
      </c>
      <c r="C73" s="21">
        <f>3157+199221+6259</f>
        <v>208637</v>
      </c>
      <c r="D73" s="21">
        <f>178524-1834</f>
        <v>176690</v>
      </c>
    </row>
    <row r="74" spans="1:4" x14ac:dyDescent="0.2">
      <c r="A74" s="19" t="s">
        <v>109</v>
      </c>
      <c r="B74" s="20" t="s">
        <v>110</v>
      </c>
      <c r="C74" s="21">
        <f>SUM(C82:C86)</f>
        <v>751005</v>
      </c>
      <c r="D74" s="21">
        <f>SUM(D82:D85)</f>
        <v>1834</v>
      </c>
    </row>
    <row r="75" spans="1:4" x14ac:dyDescent="0.2">
      <c r="A75" s="19" t="s">
        <v>13</v>
      </c>
      <c r="B75" s="20" t="s">
        <v>14</v>
      </c>
      <c r="C75" s="21"/>
      <c r="D75" s="18"/>
    </row>
    <row r="76" spans="1:4" x14ac:dyDescent="0.2">
      <c r="A76" s="19" t="s">
        <v>111</v>
      </c>
      <c r="B76" s="20" t="s">
        <v>112</v>
      </c>
      <c r="C76" s="21"/>
      <c r="D76" s="18"/>
    </row>
    <row r="77" spans="1:4" x14ac:dyDescent="0.2">
      <c r="A77" s="19" t="s">
        <v>113</v>
      </c>
      <c r="B77" s="20" t="s">
        <v>114</v>
      </c>
      <c r="C77" s="21"/>
      <c r="D77" s="18"/>
    </row>
    <row r="78" spans="1:4" x14ac:dyDescent="0.2">
      <c r="A78" s="19" t="s">
        <v>115</v>
      </c>
      <c r="B78" s="20" t="s">
        <v>116</v>
      </c>
      <c r="C78" s="21"/>
      <c r="D78" s="18"/>
    </row>
    <row r="79" spans="1:4" x14ac:dyDescent="0.2">
      <c r="A79" s="19" t="s">
        <v>117</v>
      </c>
      <c r="B79" s="20" t="s">
        <v>118</v>
      </c>
      <c r="C79" s="21"/>
      <c r="D79" s="18"/>
    </row>
    <row r="80" spans="1:4" x14ac:dyDescent="0.2">
      <c r="A80" s="19" t="s">
        <v>119</v>
      </c>
      <c r="B80" s="20" t="s">
        <v>120</v>
      </c>
      <c r="C80" s="21"/>
      <c r="D80" s="18"/>
    </row>
    <row r="81" spans="1:4" x14ac:dyDescent="0.2">
      <c r="A81" s="19" t="s">
        <v>121</v>
      </c>
      <c r="B81" s="20" t="s">
        <v>122</v>
      </c>
      <c r="C81" s="21"/>
      <c r="D81" s="18"/>
    </row>
    <row r="82" spans="1:4" x14ac:dyDescent="0.2">
      <c r="A82" s="19" t="s">
        <v>123</v>
      </c>
      <c r="B82" s="20" t="s">
        <v>124</v>
      </c>
      <c r="C82" s="21">
        <v>1690</v>
      </c>
      <c r="D82" s="21">
        <v>324</v>
      </c>
    </row>
    <row r="83" spans="1:4" x14ac:dyDescent="0.2">
      <c r="A83" s="19" t="s">
        <v>125</v>
      </c>
      <c r="B83" s="20" t="s">
        <v>126</v>
      </c>
      <c r="C83" s="21">
        <v>747967</v>
      </c>
      <c r="D83" s="21">
        <v>1362</v>
      </c>
    </row>
    <row r="84" spans="1:4" x14ac:dyDescent="0.2">
      <c r="A84" s="19" t="s">
        <v>127</v>
      </c>
      <c r="B84" s="20" t="s">
        <v>128</v>
      </c>
      <c r="C84" s="21"/>
      <c r="D84" s="21"/>
    </row>
    <row r="85" spans="1:4" x14ac:dyDescent="0.2">
      <c r="A85" s="19" t="s">
        <v>129</v>
      </c>
      <c r="B85" s="20" t="s">
        <v>130</v>
      </c>
      <c r="C85" s="21">
        <v>1140</v>
      </c>
      <c r="D85" s="21">
        <v>148</v>
      </c>
    </row>
    <row r="86" spans="1:4" x14ac:dyDescent="0.2">
      <c r="A86" s="19" t="s">
        <v>131</v>
      </c>
      <c r="B86" s="20" t="s">
        <v>132</v>
      </c>
      <c r="C86" s="21">
        <v>208</v>
      </c>
      <c r="D86" s="18"/>
    </row>
    <row r="87" spans="1:4" ht="25.5" x14ac:dyDescent="0.2">
      <c r="A87" s="19" t="s">
        <v>133</v>
      </c>
      <c r="B87" s="20" t="s">
        <v>134</v>
      </c>
      <c r="C87" s="21"/>
      <c r="D87" s="18"/>
    </row>
    <row r="88" spans="1:4" x14ac:dyDescent="0.2">
      <c r="A88" s="19" t="s">
        <v>75</v>
      </c>
      <c r="B88" s="20" t="s">
        <v>135</v>
      </c>
      <c r="C88" s="21"/>
      <c r="D88" s="18"/>
    </row>
    <row r="89" spans="1:4" x14ac:dyDescent="0.2">
      <c r="A89" s="19" t="s">
        <v>13</v>
      </c>
      <c r="B89" s="20" t="s">
        <v>14</v>
      </c>
      <c r="C89" s="21"/>
      <c r="D89" s="18"/>
    </row>
    <row r="90" spans="1:4" x14ac:dyDescent="0.2">
      <c r="A90" s="19" t="s">
        <v>136</v>
      </c>
      <c r="B90" s="20" t="s">
        <v>137</v>
      </c>
      <c r="C90" s="21"/>
      <c r="D90" s="18"/>
    </row>
    <row r="91" spans="1:4" x14ac:dyDescent="0.2">
      <c r="A91" s="19" t="s">
        <v>138</v>
      </c>
      <c r="B91" s="20" t="s">
        <v>139</v>
      </c>
      <c r="C91" s="21"/>
      <c r="D91" s="18"/>
    </row>
    <row r="92" spans="1:4" x14ac:dyDescent="0.2">
      <c r="A92" s="19" t="s">
        <v>140</v>
      </c>
      <c r="B92" s="20" t="s">
        <v>141</v>
      </c>
      <c r="C92" s="21"/>
      <c r="D92" s="18"/>
    </row>
    <row r="93" spans="1:4" x14ac:dyDescent="0.2">
      <c r="A93" s="19" t="s">
        <v>142</v>
      </c>
      <c r="B93" s="20" t="s">
        <v>143</v>
      </c>
      <c r="C93" s="21"/>
      <c r="D93" s="18"/>
    </row>
    <row r="94" spans="1:4" x14ac:dyDescent="0.2">
      <c r="A94" s="19" t="s">
        <v>144</v>
      </c>
      <c r="B94" s="20" t="s">
        <v>145</v>
      </c>
      <c r="C94" s="21">
        <v>18</v>
      </c>
      <c r="D94" s="21">
        <f>156072-32410</f>
        <v>123662</v>
      </c>
    </row>
    <row r="95" spans="1:4" x14ac:dyDescent="0.2">
      <c r="A95" s="19" t="s">
        <v>146</v>
      </c>
      <c r="B95" s="20" t="s">
        <v>147</v>
      </c>
      <c r="C95" s="18"/>
      <c r="D95" s="18"/>
    </row>
    <row r="96" spans="1:4" x14ac:dyDescent="0.2">
      <c r="A96" s="19" t="s">
        <v>148</v>
      </c>
      <c r="B96" s="20" t="s">
        <v>149</v>
      </c>
      <c r="C96" s="18"/>
      <c r="D96" s="18"/>
    </row>
    <row r="97" spans="1:7" x14ac:dyDescent="0.2">
      <c r="A97" s="19" t="s">
        <v>150</v>
      </c>
      <c r="B97" s="20" t="s">
        <v>151</v>
      </c>
      <c r="C97" s="18"/>
      <c r="D97" s="18"/>
    </row>
    <row r="98" spans="1:7" x14ac:dyDescent="0.2">
      <c r="A98" s="19" t="s">
        <v>152</v>
      </c>
      <c r="B98" s="20" t="s">
        <v>153</v>
      </c>
      <c r="C98" s="18"/>
      <c r="D98" s="18"/>
    </row>
    <row r="99" spans="1:7" x14ac:dyDescent="0.2">
      <c r="A99" s="19"/>
      <c r="B99" s="20"/>
      <c r="C99" s="18"/>
      <c r="D99" s="18"/>
    </row>
    <row r="100" spans="1:7" x14ac:dyDescent="0.2">
      <c r="A100" s="24" t="s">
        <v>154</v>
      </c>
      <c r="B100" s="20" t="s">
        <v>155</v>
      </c>
      <c r="C100" s="27">
        <f>SUM(C67:C98)-SUM(C76:C87)-SUM(C90:C93)</f>
        <v>18883907</v>
      </c>
      <c r="D100" s="27">
        <f>SUM(D67:D98)-SUM(D76:D87)-SUM(D90:D93)</f>
        <v>16425529</v>
      </c>
    </row>
    <row r="101" spans="1:7" x14ac:dyDescent="0.2">
      <c r="A101" s="24"/>
      <c r="B101" s="20"/>
      <c r="C101" s="18"/>
      <c r="D101" s="18"/>
    </row>
    <row r="102" spans="1:7" x14ac:dyDescent="0.2">
      <c r="A102" s="24" t="s">
        <v>156</v>
      </c>
      <c r="B102" s="20"/>
      <c r="C102" s="18"/>
      <c r="D102" s="18"/>
    </row>
    <row r="103" spans="1:7" x14ac:dyDescent="0.2">
      <c r="A103" s="19" t="s">
        <v>157</v>
      </c>
      <c r="B103" s="20">
        <v>37</v>
      </c>
      <c r="C103" s="21">
        <f>SUM(C105:C106)</f>
        <v>11240188</v>
      </c>
      <c r="D103" s="21">
        <f>SUM(D105:D106)</f>
        <v>11240188</v>
      </c>
      <c r="E103" s="1" t="b">
        <f>C103&gt;=C105+C106</f>
        <v>1</v>
      </c>
      <c r="F103" s="1" t="b">
        <f>D103&gt;=D105+D106</f>
        <v>1</v>
      </c>
    </row>
    <row r="104" spans="1:7" x14ac:dyDescent="0.2">
      <c r="A104" s="19" t="s">
        <v>13</v>
      </c>
      <c r="B104" s="20"/>
      <c r="C104" s="21"/>
      <c r="D104" s="21"/>
    </row>
    <row r="105" spans="1:7" x14ac:dyDescent="0.2">
      <c r="A105" s="28" t="s">
        <v>158</v>
      </c>
      <c r="B105" s="29" t="s">
        <v>159</v>
      </c>
      <c r="C105" s="21">
        <v>4099259</v>
      </c>
      <c r="D105" s="21">
        <v>4099259</v>
      </c>
    </row>
    <row r="106" spans="1:7" x14ac:dyDescent="0.2">
      <c r="A106" s="19" t="s">
        <v>160</v>
      </c>
      <c r="B106" s="29" t="s">
        <v>161</v>
      </c>
      <c r="C106" s="21">
        <v>7140929</v>
      </c>
      <c r="D106" s="21">
        <v>7140929</v>
      </c>
    </row>
    <row r="107" spans="1:7" x14ac:dyDescent="0.2">
      <c r="A107" s="19" t="s">
        <v>162</v>
      </c>
      <c r="B107" s="20">
        <v>38</v>
      </c>
      <c r="C107" s="21"/>
      <c r="D107" s="21"/>
    </row>
    <row r="108" spans="1:7" x14ac:dyDescent="0.2">
      <c r="A108" s="19" t="s">
        <v>163</v>
      </c>
      <c r="B108" s="20">
        <v>39</v>
      </c>
      <c r="C108" s="21"/>
      <c r="D108" s="21"/>
    </row>
    <row r="109" spans="1:7" x14ac:dyDescent="0.2">
      <c r="A109" s="19" t="s">
        <v>164</v>
      </c>
      <c r="B109" s="20">
        <v>40</v>
      </c>
      <c r="C109" s="21">
        <f>SUM(C111:C112)</f>
        <v>462440</v>
      </c>
      <c r="D109" s="12">
        <f>SUM(D111:D112)</f>
        <v>739854</v>
      </c>
      <c r="F109" s="12"/>
      <c r="G109" s="12"/>
    </row>
    <row r="110" spans="1:7" x14ac:dyDescent="0.2">
      <c r="A110" s="19" t="s">
        <v>13</v>
      </c>
      <c r="B110" s="30" t="s">
        <v>14</v>
      </c>
      <c r="C110" s="21"/>
      <c r="D110" s="21"/>
      <c r="F110" s="12"/>
      <c r="G110" s="12"/>
    </row>
    <row r="111" spans="1:7" ht="25.5" x14ac:dyDescent="0.2">
      <c r="A111" s="19" t="s">
        <v>165</v>
      </c>
      <c r="B111" s="20" t="s">
        <v>166</v>
      </c>
      <c r="C111" s="21">
        <v>431493</v>
      </c>
      <c r="D111" s="21">
        <v>707489</v>
      </c>
      <c r="F111" s="12"/>
      <c r="G111" s="12"/>
    </row>
    <row r="112" spans="1:7" x14ac:dyDescent="0.2">
      <c r="A112" s="19" t="s">
        <v>167</v>
      </c>
      <c r="B112" s="20" t="s">
        <v>168</v>
      </c>
      <c r="C112" s="21">
        <v>30947</v>
      </c>
      <c r="D112" s="21">
        <v>32365</v>
      </c>
      <c r="F112" s="12"/>
      <c r="G112" s="12"/>
    </row>
    <row r="113" spans="1:7" x14ac:dyDescent="0.2">
      <c r="A113" s="19" t="s">
        <v>169</v>
      </c>
      <c r="B113" s="20">
        <v>41</v>
      </c>
      <c r="C113" s="21"/>
    </row>
    <row r="114" spans="1:7" x14ac:dyDescent="0.2">
      <c r="A114" s="19" t="s">
        <v>170</v>
      </c>
      <c r="B114" s="31">
        <v>42</v>
      </c>
      <c r="C114" s="21">
        <f>C116+C117</f>
        <v>2816504</v>
      </c>
      <c r="D114" s="21">
        <f>D116+D117</f>
        <v>4840649</v>
      </c>
    </row>
    <row r="115" spans="1:7" x14ac:dyDescent="0.2">
      <c r="A115" s="19" t="s">
        <v>13</v>
      </c>
      <c r="B115" s="31"/>
      <c r="C115" s="21"/>
      <c r="D115" s="21"/>
    </row>
    <row r="116" spans="1:7" ht="12.75" customHeight="1" x14ac:dyDescent="0.2">
      <c r="A116" s="1" t="s">
        <v>171</v>
      </c>
      <c r="B116" s="31" t="s">
        <v>172</v>
      </c>
      <c r="C116" s="21">
        <v>1840658</v>
      </c>
      <c r="D116" s="21">
        <v>1581235</v>
      </c>
    </row>
    <row r="117" spans="1:7" x14ac:dyDescent="0.2">
      <c r="A117" s="19" t="s">
        <v>173</v>
      </c>
      <c r="B117" s="31" t="s">
        <v>174</v>
      </c>
      <c r="C117" s="21">
        <v>975846</v>
      </c>
      <c r="D117" s="21">
        <v>3259414</v>
      </c>
      <c r="E117" s="12"/>
    </row>
    <row r="118" spans="1:7" x14ac:dyDescent="0.2">
      <c r="A118" s="19"/>
      <c r="B118" s="31"/>
      <c r="C118" s="21"/>
      <c r="D118" s="21"/>
      <c r="E118" s="12"/>
    </row>
    <row r="119" spans="1:7" x14ac:dyDescent="0.2">
      <c r="A119" s="24" t="s">
        <v>175</v>
      </c>
      <c r="B119" s="31">
        <v>43</v>
      </c>
      <c r="C119" s="27">
        <f>C103+C107-C108+C109+C114</f>
        <v>14519132</v>
      </c>
      <c r="D119" s="27">
        <f>D103+D107-D108+D109+D114</f>
        <v>16820691</v>
      </c>
      <c r="E119" s="12"/>
      <c r="F119" s="12"/>
      <c r="G119" s="12"/>
    </row>
    <row r="120" spans="1:7" x14ac:dyDescent="0.2">
      <c r="A120" s="24" t="s">
        <v>176</v>
      </c>
      <c r="B120" s="31">
        <v>44</v>
      </c>
      <c r="C120" s="27">
        <f>C119+C100</f>
        <v>33403039</v>
      </c>
      <c r="D120" s="27">
        <f>D119+D100</f>
        <v>33246220</v>
      </c>
      <c r="E120" s="12"/>
    </row>
    <row r="121" spans="1:7" x14ac:dyDescent="0.2">
      <c r="C121" s="32"/>
      <c r="D121" s="32"/>
    </row>
    <row r="122" spans="1:7" x14ac:dyDescent="0.2">
      <c r="A122" s="33" t="s">
        <v>177</v>
      </c>
      <c r="B122" s="33"/>
      <c r="C122" s="33"/>
      <c r="D122" s="33"/>
      <c r="F122" s="12"/>
    </row>
    <row r="123" spans="1:7" x14ac:dyDescent="0.2">
      <c r="A123" s="12" t="s">
        <v>178</v>
      </c>
      <c r="B123" s="12"/>
      <c r="C123" s="12"/>
      <c r="D123" s="12"/>
    </row>
    <row r="124" spans="1:7" x14ac:dyDescent="0.2">
      <c r="A124" s="34"/>
      <c r="C124" s="12"/>
      <c r="D124" s="12"/>
    </row>
    <row r="125" spans="1:7" ht="20.25" customHeight="1" x14ac:dyDescent="0.2">
      <c r="A125" s="34" t="s">
        <v>179</v>
      </c>
      <c r="B125" s="1" t="s">
        <v>180</v>
      </c>
      <c r="C125" s="12"/>
      <c r="D125" s="12"/>
    </row>
    <row r="126" spans="1:7" ht="25.5" customHeight="1" x14ac:dyDescent="0.2">
      <c r="A126" s="35" t="s">
        <v>181</v>
      </c>
      <c r="B126" s="1" t="s">
        <v>180</v>
      </c>
      <c r="C126" s="12"/>
    </row>
    <row r="127" spans="1:7" ht="20.25" customHeight="1" x14ac:dyDescent="0.2">
      <c r="A127" s="34" t="s">
        <v>182</v>
      </c>
      <c r="B127" s="1" t="s">
        <v>180</v>
      </c>
    </row>
    <row r="128" spans="1:7" x14ac:dyDescent="0.2">
      <c r="A128" s="34"/>
    </row>
    <row r="129" spans="1:3" x14ac:dyDescent="0.2">
      <c r="A129" s="36" t="s">
        <v>183</v>
      </c>
      <c r="C129" s="12"/>
    </row>
    <row r="130" spans="1:3" x14ac:dyDescent="0.2">
      <c r="A130" s="34" t="s">
        <v>184</v>
      </c>
    </row>
    <row r="131" spans="1:3" x14ac:dyDescent="0.2">
      <c r="A131" s="34"/>
    </row>
    <row r="132" spans="1:3" x14ac:dyDescent="0.2">
      <c r="A132" s="34"/>
    </row>
  </sheetData>
  <mergeCells count="6">
    <mergeCell ref="C1:D1"/>
    <mergeCell ref="A3:D3"/>
    <mergeCell ref="A4:D4"/>
    <mergeCell ref="A5:D5"/>
    <mergeCell ref="A6:D6"/>
    <mergeCell ref="A122:D122"/>
  </mergeCells>
  <pageMargins left="0.15748031496062992" right="0" top="0.31496062992125984" bottom="0.39370078740157483" header="0.23622047244094491" footer="0.23622047244094491"/>
  <pageSetup paperSize="9" scale="85" fitToHeight="2" orientation="portrait" r:id="rId1"/>
  <headerFooter alignWithMargins="0">
    <oddFooter>&amp;CСтраница №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197"/>
  <sheetViews>
    <sheetView tabSelected="1" view="pageBreakPreview" topLeftCell="A106" zoomScaleNormal="100" zoomScaleSheetLayoutView="100" workbookViewId="0">
      <selection activeCell="A124" sqref="A124"/>
    </sheetView>
  </sheetViews>
  <sheetFormatPr defaultRowHeight="12.75" x14ac:dyDescent="0.2"/>
  <cols>
    <col min="1" max="1" width="57.85546875" style="37" customWidth="1"/>
    <col min="2" max="2" width="10.85546875" style="38" customWidth="1"/>
    <col min="3" max="4" width="15.85546875" style="1" bestFit="1" customWidth="1"/>
    <col min="5" max="5" width="16" style="1" customWidth="1"/>
    <col min="6" max="6" width="17.42578125" style="1" customWidth="1"/>
    <col min="7" max="7" width="15.42578125" style="1" hidden="1" customWidth="1"/>
    <col min="8" max="8" width="0" style="1" hidden="1" customWidth="1"/>
    <col min="9" max="10" width="14.85546875" style="1" hidden="1" customWidth="1"/>
    <col min="11" max="11" width="9.140625" style="1"/>
    <col min="12" max="12" width="15.42578125" style="1" customWidth="1"/>
    <col min="13" max="13" width="9.140625" style="1"/>
    <col min="14" max="14" width="15.42578125" style="1" customWidth="1"/>
    <col min="15" max="15" width="14.85546875" style="1" bestFit="1" customWidth="1"/>
    <col min="16" max="16384" width="9.140625" style="1"/>
  </cols>
  <sheetData>
    <row r="1" spans="1:14" ht="48" customHeight="1" x14ac:dyDescent="0.2">
      <c r="E1" s="2" t="s">
        <v>185</v>
      </c>
      <c r="F1" s="39"/>
    </row>
    <row r="2" spans="1:14" ht="23.25" customHeight="1" x14ac:dyDescent="0.2">
      <c r="E2" s="4"/>
      <c r="F2" s="5"/>
    </row>
    <row r="3" spans="1:14" x14ac:dyDescent="0.2">
      <c r="A3" s="6" t="s">
        <v>186</v>
      </c>
      <c r="B3" s="6"/>
      <c r="C3" s="6"/>
      <c r="D3" s="6"/>
      <c r="E3" s="6"/>
      <c r="F3" s="6"/>
    </row>
    <row r="4" spans="1:14" x14ac:dyDescent="0.2">
      <c r="A4" s="7"/>
      <c r="B4" s="7"/>
      <c r="C4" s="7"/>
      <c r="D4" s="7"/>
      <c r="E4" s="7"/>
      <c r="F4" s="7"/>
    </row>
    <row r="5" spans="1:14" x14ac:dyDescent="0.2">
      <c r="A5" s="8" t="s">
        <v>3</v>
      </c>
      <c r="B5" s="8"/>
      <c r="C5" s="8"/>
      <c r="D5" s="8"/>
      <c r="E5" s="8"/>
      <c r="F5" s="8"/>
    </row>
    <row r="6" spans="1:14" x14ac:dyDescent="0.2">
      <c r="A6" s="7" t="s">
        <v>4</v>
      </c>
      <c r="B6" s="7"/>
      <c r="C6" s="7"/>
      <c r="D6" s="7"/>
      <c r="E6" s="7"/>
      <c r="F6" s="7"/>
    </row>
    <row r="7" spans="1:14" s="9" customFormat="1" x14ac:dyDescent="0.2">
      <c r="A7" s="40"/>
      <c r="B7" s="41"/>
      <c r="C7" s="42"/>
      <c r="D7" s="42"/>
      <c r="E7" s="42"/>
      <c r="F7" s="42"/>
      <c r="I7" s="1"/>
      <c r="J7" s="1"/>
      <c r="K7" s="1"/>
      <c r="L7" s="42"/>
      <c r="M7" s="43"/>
      <c r="N7" s="44"/>
    </row>
    <row r="8" spans="1:14" s="9" customFormat="1" x14ac:dyDescent="0.2">
      <c r="A8" s="45"/>
      <c r="B8" s="46"/>
      <c r="C8" s="42"/>
      <c r="D8" s="43"/>
      <c r="F8" s="10" t="s">
        <v>187</v>
      </c>
    </row>
    <row r="9" spans="1:14" ht="63.75" x14ac:dyDescent="0.2">
      <c r="A9" s="11" t="s">
        <v>6</v>
      </c>
      <c r="B9" s="47" t="s">
        <v>7</v>
      </c>
      <c r="C9" s="11" t="s">
        <v>188</v>
      </c>
      <c r="D9" s="11" t="s">
        <v>189</v>
      </c>
      <c r="E9" s="11" t="s">
        <v>190</v>
      </c>
      <c r="F9" s="11" t="s">
        <v>191</v>
      </c>
      <c r="G9" s="48"/>
      <c r="H9" s="49"/>
      <c r="L9" s="11"/>
      <c r="N9" s="11"/>
    </row>
    <row r="10" spans="1:14" x14ac:dyDescent="0.2">
      <c r="A10" s="50">
        <v>1</v>
      </c>
      <c r="B10" s="51">
        <v>2</v>
      </c>
      <c r="C10" s="14">
        <v>3</v>
      </c>
      <c r="D10" s="14">
        <v>4</v>
      </c>
      <c r="E10" s="14">
        <v>5</v>
      </c>
      <c r="F10" s="14">
        <v>6</v>
      </c>
      <c r="L10" s="14"/>
      <c r="N10" s="14"/>
    </row>
    <row r="11" spans="1:14" ht="15" customHeight="1" x14ac:dyDescent="0.2">
      <c r="A11" s="52" t="s">
        <v>192</v>
      </c>
      <c r="B11" s="53">
        <v>1</v>
      </c>
      <c r="C11" s="54">
        <f>C13+C14+C15+C25</f>
        <v>121811</v>
      </c>
      <c r="D11" s="54">
        <f>D13+D14+D15+D25</f>
        <v>1647572</v>
      </c>
      <c r="E11" s="54">
        <f>F11-N11</f>
        <v>240808</v>
      </c>
      <c r="F11" s="54">
        <f>F13+F14+F15+F25</f>
        <v>1614713</v>
      </c>
      <c r="G11" s="1" t="e">
        <f>C11&gt;=C13+C14+#REF!+#REF!+C15+C25</f>
        <v>#REF!</v>
      </c>
      <c r="H11" s="1" t="e">
        <f>D11&gt;=D13+D14+#REF!+#REF!+D15+D25</f>
        <v>#REF!</v>
      </c>
      <c r="I11" s="1" t="e">
        <f>E11&gt;=E13+E14+#REF!+#REF!+E15+E25</f>
        <v>#REF!</v>
      </c>
      <c r="J11" s="1" t="e">
        <f>F11&gt;=F13+F14+#REF!+#REF!+F15+F25</f>
        <v>#REF!</v>
      </c>
      <c r="K11" s="12"/>
      <c r="L11" s="55">
        <v>1525761</v>
      </c>
      <c r="M11" s="12"/>
      <c r="N11" s="55">
        <v>1373905</v>
      </c>
    </row>
    <row r="12" spans="1:14" ht="15.75" customHeight="1" x14ac:dyDescent="0.2">
      <c r="A12" s="56" t="s">
        <v>13</v>
      </c>
      <c r="B12" s="57"/>
      <c r="C12" s="58"/>
      <c r="D12" s="58"/>
      <c r="E12" s="58"/>
      <c r="F12" s="58"/>
      <c r="G12" s="59"/>
      <c r="H12" s="12"/>
      <c r="K12" s="12"/>
      <c r="L12" s="55"/>
      <c r="M12" s="12"/>
      <c r="N12" s="55"/>
    </row>
    <row r="13" spans="1:14" x14ac:dyDescent="0.2">
      <c r="A13" s="56" t="s">
        <v>193</v>
      </c>
      <c r="B13" s="57" t="s">
        <v>16</v>
      </c>
      <c r="C13" s="58">
        <f>D13-L13</f>
        <v>0</v>
      </c>
      <c r="D13" s="58">
        <v>0</v>
      </c>
      <c r="E13" s="58">
        <f>F13-N13</f>
        <v>0</v>
      </c>
      <c r="F13" s="58">
        <v>0</v>
      </c>
      <c r="K13" s="12"/>
      <c r="L13" s="55">
        <v>0</v>
      </c>
      <c r="M13" s="12"/>
      <c r="N13" s="55">
        <v>0</v>
      </c>
    </row>
    <row r="14" spans="1:14" x14ac:dyDescent="0.2">
      <c r="A14" s="56" t="s">
        <v>194</v>
      </c>
      <c r="B14" s="57" t="s">
        <v>18</v>
      </c>
      <c r="C14" s="58">
        <f>D14-L14</f>
        <v>35061</v>
      </c>
      <c r="D14" s="58">
        <f>ROUND(D145/1000,0)</f>
        <v>86200</v>
      </c>
      <c r="E14" s="58">
        <f>F14-N14</f>
        <v>152</v>
      </c>
      <c r="F14" s="58">
        <f>ROUND(O144/1000,0)</f>
        <v>2107</v>
      </c>
      <c r="K14" s="12"/>
      <c r="L14" s="55">
        <v>51139</v>
      </c>
      <c r="M14" s="12"/>
      <c r="N14" s="55">
        <v>1955</v>
      </c>
    </row>
    <row r="15" spans="1:14" x14ac:dyDescent="0.2">
      <c r="A15" s="56" t="s">
        <v>195</v>
      </c>
      <c r="B15" s="57" t="s">
        <v>196</v>
      </c>
      <c r="C15" s="58">
        <f>D15-L15</f>
        <v>57403</v>
      </c>
      <c r="D15" s="58">
        <f>ROUND((D143+D142-C172+D148)/1000,0)</f>
        <v>1436549</v>
      </c>
      <c r="E15" s="58">
        <f>F15-N15</f>
        <v>240538</v>
      </c>
      <c r="F15" s="58">
        <f>ROUND((O141+O142+O147-N170)/1000,0)</f>
        <v>1606243</v>
      </c>
      <c r="G15" s="59"/>
      <c r="H15" s="12"/>
      <c r="K15" s="12"/>
      <c r="L15" s="55">
        <v>1379146</v>
      </c>
      <c r="M15" s="12"/>
      <c r="N15" s="55">
        <v>1365705</v>
      </c>
    </row>
    <row r="16" spans="1:14" ht="12.75" customHeight="1" x14ac:dyDescent="0.2">
      <c r="A16" s="56" t="s">
        <v>197</v>
      </c>
      <c r="B16" s="60" t="s">
        <v>14</v>
      </c>
      <c r="C16" s="61"/>
      <c r="D16" s="61"/>
      <c r="E16" s="61"/>
      <c r="F16" s="61"/>
      <c r="G16" s="59"/>
      <c r="H16" s="12"/>
      <c r="K16" s="12"/>
      <c r="L16" s="55"/>
      <c r="M16" s="12"/>
      <c r="N16" s="55"/>
    </row>
    <row r="17" spans="1:14" ht="25.5" x14ac:dyDescent="0.2">
      <c r="A17" s="62" t="s">
        <v>198</v>
      </c>
      <c r="B17" s="63" t="s">
        <v>199</v>
      </c>
      <c r="C17" s="64">
        <f t="shared" ref="C17:C24" si="0">D17-L17</f>
        <v>45302</v>
      </c>
      <c r="D17" s="64">
        <f>D15-D20</f>
        <v>1373098</v>
      </c>
      <c r="E17" s="64">
        <f t="shared" ref="E17:E24" si="1">F17-N17</f>
        <v>74328</v>
      </c>
      <c r="F17" s="64">
        <f>F15-F20-F23</f>
        <v>777569</v>
      </c>
      <c r="G17" s="59"/>
      <c r="H17" s="12"/>
      <c r="K17" s="12"/>
      <c r="L17" s="55">
        <v>1327796</v>
      </c>
      <c r="M17" s="12"/>
      <c r="N17" s="55">
        <v>703241</v>
      </c>
    </row>
    <row r="18" spans="1:14" ht="25.5" x14ac:dyDescent="0.2">
      <c r="A18" s="62" t="s">
        <v>200</v>
      </c>
      <c r="B18" s="63" t="s">
        <v>201</v>
      </c>
      <c r="C18" s="64">
        <f t="shared" si="0"/>
        <v>312</v>
      </c>
      <c r="D18" s="64">
        <f>ROUND(D148/1000,0)-D21</f>
        <v>211820</v>
      </c>
      <c r="E18" s="64">
        <f t="shared" si="1"/>
        <v>0</v>
      </c>
      <c r="F18" s="64">
        <f>ROUND(O147/1000,0)-F21</f>
        <v>346241</v>
      </c>
      <c r="K18" s="12"/>
      <c r="L18" s="65">
        <v>211508</v>
      </c>
      <c r="M18" s="12"/>
      <c r="N18" s="65">
        <v>346241</v>
      </c>
    </row>
    <row r="19" spans="1:14" ht="25.5" x14ac:dyDescent="0.2">
      <c r="A19" s="62" t="s">
        <v>202</v>
      </c>
      <c r="B19" s="63" t="s">
        <v>203</v>
      </c>
      <c r="C19" s="64">
        <f t="shared" si="0"/>
        <v>86805</v>
      </c>
      <c r="D19" s="64">
        <v>523477</v>
      </c>
      <c r="E19" s="64">
        <f t="shared" si="1"/>
        <v>96859</v>
      </c>
      <c r="F19" s="64">
        <v>178109</v>
      </c>
      <c r="G19" s="59"/>
      <c r="H19" s="12"/>
      <c r="K19" s="12"/>
      <c r="L19" s="55">
        <v>436672</v>
      </c>
      <c r="M19" s="12"/>
      <c r="N19" s="55">
        <v>81250</v>
      </c>
    </row>
    <row r="20" spans="1:14" ht="25.5" x14ac:dyDescent="0.2">
      <c r="A20" s="62" t="s">
        <v>204</v>
      </c>
      <c r="B20" s="63" t="s">
        <v>205</v>
      </c>
      <c r="C20" s="64">
        <f t="shared" si="0"/>
        <v>12101</v>
      </c>
      <c r="D20" s="64">
        <f>56388+D21+D22</f>
        <v>63451</v>
      </c>
      <c r="E20" s="64">
        <f t="shared" si="1"/>
        <v>16820</v>
      </c>
      <c r="F20" s="64">
        <f>51317+F21+F22</f>
        <v>89544</v>
      </c>
      <c r="G20" s="59"/>
      <c r="H20" s="12"/>
      <c r="K20" s="12"/>
      <c r="L20" s="55">
        <v>51350</v>
      </c>
      <c r="M20" s="12"/>
      <c r="N20" s="55">
        <v>72724</v>
      </c>
    </row>
    <row r="21" spans="1:14" ht="38.25" x14ac:dyDescent="0.2">
      <c r="A21" s="62" t="s">
        <v>206</v>
      </c>
      <c r="B21" s="63" t="s">
        <v>207</v>
      </c>
      <c r="C21" s="64">
        <f t="shared" si="0"/>
        <v>0</v>
      </c>
      <c r="D21" s="64">
        <v>1</v>
      </c>
      <c r="E21" s="64">
        <f t="shared" si="1"/>
        <v>4696</v>
      </c>
      <c r="F21" s="64">
        <f>26635+4696</f>
        <v>31331</v>
      </c>
      <c r="G21" s="59"/>
      <c r="H21" s="12"/>
      <c r="K21" s="12"/>
      <c r="L21" s="55">
        <v>1</v>
      </c>
      <c r="M21" s="12"/>
      <c r="N21" s="55">
        <v>26635</v>
      </c>
    </row>
    <row r="22" spans="1:14" ht="25.5" x14ac:dyDescent="0.2">
      <c r="A22" s="62" t="s">
        <v>208</v>
      </c>
      <c r="B22" s="63" t="s">
        <v>209</v>
      </c>
      <c r="C22" s="64">
        <f t="shared" si="0"/>
        <v>3523</v>
      </c>
      <c r="D22" s="64">
        <v>7062</v>
      </c>
      <c r="E22" s="64">
        <f t="shared" si="1"/>
        <v>3765</v>
      </c>
      <c r="F22" s="64">
        <v>6896</v>
      </c>
      <c r="G22" s="59"/>
      <c r="H22" s="12"/>
      <c r="K22" s="12"/>
      <c r="L22" s="55">
        <v>3539</v>
      </c>
      <c r="M22" s="12"/>
      <c r="N22" s="55">
        <v>3131</v>
      </c>
    </row>
    <row r="23" spans="1:14" ht="25.5" x14ac:dyDescent="0.2">
      <c r="A23" s="62" t="s">
        <v>210</v>
      </c>
      <c r="B23" s="63" t="s">
        <v>211</v>
      </c>
      <c r="C23" s="64">
        <f t="shared" si="0"/>
        <v>0</v>
      </c>
      <c r="D23" s="64">
        <v>0</v>
      </c>
      <c r="E23" s="64">
        <f t="shared" si="1"/>
        <v>149390</v>
      </c>
      <c r="F23" s="64">
        <f>301594+F24</f>
        <v>739130</v>
      </c>
      <c r="G23" s="59"/>
      <c r="H23" s="12"/>
      <c r="K23" s="12"/>
      <c r="L23" s="55">
        <v>0</v>
      </c>
      <c r="M23" s="12"/>
      <c r="N23" s="55">
        <v>589740</v>
      </c>
    </row>
    <row r="24" spans="1:14" ht="25.5" x14ac:dyDescent="0.2">
      <c r="A24" s="62" t="s">
        <v>212</v>
      </c>
      <c r="B24" s="63" t="s">
        <v>213</v>
      </c>
      <c r="C24" s="64">
        <f t="shared" si="0"/>
        <v>0</v>
      </c>
      <c r="D24" s="64">
        <v>0</v>
      </c>
      <c r="E24" s="64">
        <f t="shared" si="1"/>
        <v>101220</v>
      </c>
      <c r="F24" s="64">
        <v>437536</v>
      </c>
      <c r="G24" s="59"/>
      <c r="H24" s="12"/>
      <c r="K24" s="12"/>
      <c r="L24" s="55">
        <v>0</v>
      </c>
      <c r="M24" s="12"/>
      <c r="N24" s="55">
        <v>336316</v>
      </c>
    </row>
    <row r="25" spans="1:14" x14ac:dyDescent="0.2">
      <c r="A25" s="56" t="s">
        <v>214</v>
      </c>
      <c r="B25" s="57" t="s">
        <v>215</v>
      </c>
      <c r="C25" s="58">
        <f>D25-L25</f>
        <v>29347</v>
      </c>
      <c r="D25" s="58">
        <f>ROUND(D144/1000,0)</f>
        <v>124823</v>
      </c>
      <c r="E25" s="58">
        <f>F25-N25</f>
        <v>118</v>
      </c>
      <c r="F25" s="58">
        <f>ROUND(O143/1000,0)</f>
        <v>6363</v>
      </c>
      <c r="K25" s="12"/>
      <c r="L25" s="55">
        <v>95476</v>
      </c>
      <c r="M25" s="12"/>
      <c r="N25" s="55">
        <v>6245</v>
      </c>
    </row>
    <row r="26" spans="1:14" x14ac:dyDescent="0.2">
      <c r="A26" s="56" t="s">
        <v>216</v>
      </c>
      <c r="B26" s="57" t="s">
        <v>217</v>
      </c>
      <c r="C26" s="58">
        <f>D26-L26</f>
        <v>0</v>
      </c>
      <c r="D26" s="58">
        <v>0</v>
      </c>
      <c r="E26" s="58">
        <f>F26-N26</f>
        <v>0</v>
      </c>
      <c r="F26" s="58">
        <v>0</v>
      </c>
      <c r="K26" s="12"/>
      <c r="L26" s="55">
        <v>0</v>
      </c>
      <c r="M26" s="12"/>
      <c r="N26" s="55">
        <v>0</v>
      </c>
    </row>
    <row r="27" spans="1:14" x14ac:dyDescent="0.2">
      <c r="A27" s="66" t="s">
        <v>218</v>
      </c>
      <c r="B27" s="53" t="s">
        <v>219</v>
      </c>
      <c r="C27" s="54">
        <f>D27-L27</f>
        <v>27606</v>
      </c>
      <c r="D27" s="54">
        <f>ROUND((D147+D146)/1000,0)</f>
        <v>188208</v>
      </c>
      <c r="E27" s="54">
        <f>F27-N27</f>
        <v>468266</v>
      </c>
      <c r="F27" s="54">
        <f>ROUND((O145+O146)/1000,0)</f>
        <v>681803</v>
      </c>
      <c r="G27" s="1" t="b">
        <f>C27&gt;=C53+C54</f>
        <v>0</v>
      </c>
      <c r="H27" s="1" t="b">
        <f>D27&gt;=D53+D54</f>
        <v>0</v>
      </c>
      <c r="I27" s="1" t="b">
        <f>E27&gt;=E53+E54</f>
        <v>1</v>
      </c>
      <c r="J27" s="1" t="b">
        <f>F27&gt;=F53+F54</f>
        <v>1</v>
      </c>
      <c r="K27" s="12"/>
      <c r="L27" s="55">
        <v>160602</v>
      </c>
      <c r="M27" s="12"/>
      <c r="N27" s="55">
        <v>213537</v>
      </c>
    </row>
    <row r="28" spans="1:14" x14ac:dyDescent="0.2">
      <c r="A28" s="62" t="s">
        <v>13</v>
      </c>
      <c r="B28" s="63" t="s">
        <v>14</v>
      </c>
      <c r="C28" s="64"/>
      <c r="D28" s="64"/>
      <c r="E28" s="64"/>
      <c r="F28" s="64"/>
      <c r="K28" s="12"/>
      <c r="L28" s="55"/>
      <c r="M28" s="12"/>
      <c r="N28" s="55"/>
    </row>
    <row r="29" spans="1:14" x14ac:dyDescent="0.2">
      <c r="A29" s="62" t="s">
        <v>220</v>
      </c>
      <c r="B29" s="63" t="s">
        <v>221</v>
      </c>
      <c r="C29" s="64">
        <f t="shared" ref="C29:C40" si="2">D29-L29</f>
        <v>0</v>
      </c>
      <c r="D29" s="64">
        <v>0</v>
      </c>
      <c r="E29" s="64">
        <f t="shared" ref="E29:E40" si="3">F29-N29</f>
        <v>0</v>
      </c>
      <c r="F29" s="64">
        <v>113</v>
      </c>
      <c r="K29" s="12"/>
      <c r="L29" s="55">
        <v>0</v>
      </c>
      <c r="M29" s="12"/>
      <c r="N29" s="65">
        <v>113</v>
      </c>
    </row>
    <row r="30" spans="1:14" x14ac:dyDescent="0.2">
      <c r="A30" s="62" t="s">
        <v>13</v>
      </c>
      <c r="B30" s="63" t="s">
        <v>14</v>
      </c>
      <c r="C30" s="64"/>
      <c r="D30" s="64"/>
      <c r="E30" s="64"/>
      <c r="F30" s="64"/>
      <c r="K30" s="12"/>
      <c r="L30" s="55"/>
      <c r="M30" s="12"/>
      <c r="N30" s="65"/>
    </row>
    <row r="31" spans="1:14" x14ac:dyDescent="0.2">
      <c r="A31" s="62" t="s">
        <v>222</v>
      </c>
      <c r="B31" s="63" t="s">
        <v>223</v>
      </c>
      <c r="C31" s="64">
        <f t="shared" si="2"/>
        <v>0</v>
      </c>
      <c r="D31" s="64"/>
      <c r="E31" s="64">
        <f t="shared" si="3"/>
        <v>0</v>
      </c>
      <c r="F31" s="64">
        <v>0</v>
      </c>
      <c r="K31" s="12"/>
      <c r="L31" s="55"/>
      <c r="M31" s="12"/>
      <c r="N31" s="67">
        <v>0</v>
      </c>
    </row>
    <row r="32" spans="1:14" x14ac:dyDescent="0.2">
      <c r="A32" s="62" t="s">
        <v>224</v>
      </c>
      <c r="B32" s="63" t="s">
        <v>225</v>
      </c>
      <c r="C32" s="64">
        <f t="shared" si="2"/>
        <v>0</v>
      </c>
      <c r="D32" s="64"/>
      <c r="E32" s="64">
        <f t="shared" si="3"/>
        <v>0</v>
      </c>
      <c r="F32" s="64">
        <v>113</v>
      </c>
      <c r="K32" s="12"/>
      <c r="L32" s="55"/>
      <c r="M32" s="12"/>
      <c r="N32" s="67">
        <v>113</v>
      </c>
    </row>
    <row r="33" spans="1:16" x14ac:dyDescent="0.2">
      <c r="A33" s="62" t="s">
        <v>226</v>
      </c>
      <c r="B33" s="63" t="s">
        <v>227</v>
      </c>
      <c r="C33" s="64">
        <f t="shared" si="2"/>
        <v>-240</v>
      </c>
      <c r="D33" s="64">
        <v>3300</v>
      </c>
      <c r="E33" s="64">
        <f t="shared" si="3"/>
        <v>1410</v>
      </c>
      <c r="F33" s="64">
        <v>2588</v>
      </c>
      <c r="K33" s="12"/>
      <c r="L33" s="67">
        <v>3540</v>
      </c>
      <c r="M33" s="12"/>
      <c r="N33" s="67">
        <v>1178</v>
      </c>
    </row>
    <row r="34" spans="1:16" x14ac:dyDescent="0.2">
      <c r="A34" s="62" t="s">
        <v>228</v>
      </c>
      <c r="B34" s="63" t="s">
        <v>229</v>
      </c>
      <c r="C34" s="64">
        <f t="shared" si="2"/>
        <v>0</v>
      </c>
      <c r="D34" s="64">
        <v>7505</v>
      </c>
      <c r="E34" s="64">
        <f t="shared" si="3"/>
        <v>1266</v>
      </c>
      <c r="F34" s="64">
        <v>7069</v>
      </c>
      <c r="K34" s="12"/>
      <c r="L34" s="67">
        <v>7505</v>
      </c>
      <c r="M34" s="12"/>
      <c r="N34" s="67">
        <v>5803</v>
      </c>
    </row>
    <row r="35" spans="1:16" x14ac:dyDescent="0.2">
      <c r="A35" s="62" t="s">
        <v>230</v>
      </c>
      <c r="B35" s="63" t="s">
        <v>231</v>
      </c>
      <c r="C35" s="64">
        <f t="shared" si="2"/>
        <v>13059.270519999991</v>
      </c>
      <c r="D35" s="64">
        <f>D147/1000</f>
        <v>80835.270519999991</v>
      </c>
      <c r="E35" s="64">
        <f t="shared" si="3"/>
        <v>9712.6169000000082</v>
      </c>
      <c r="F35" s="64">
        <f>O146/1000</f>
        <v>83873.616900000008</v>
      </c>
      <c r="K35" s="12"/>
      <c r="L35" s="67">
        <v>67776</v>
      </c>
      <c r="M35" s="12"/>
      <c r="N35" s="67">
        <v>74161</v>
      </c>
    </row>
    <row r="36" spans="1:16" x14ac:dyDescent="0.2">
      <c r="A36" s="62" t="s">
        <v>232</v>
      </c>
      <c r="B36" s="63" t="s">
        <v>233</v>
      </c>
      <c r="C36" s="64">
        <f t="shared" si="2"/>
        <v>6636</v>
      </c>
      <c r="D36" s="64">
        <v>42788</v>
      </c>
      <c r="E36" s="64">
        <f t="shared" si="3"/>
        <v>13465</v>
      </c>
      <c r="F36" s="64">
        <v>51570</v>
      </c>
      <c r="K36" s="12"/>
      <c r="L36" s="67">
        <v>36152</v>
      </c>
      <c r="M36" s="12"/>
      <c r="N36" s="67">
        <v>38105</v>
      </c>
    </row>
    <row r="37" spans="1:16" x14ac:dyDescent="0.2">
      <c r="A37" s="62" t="s">
        <v>234</v>
      </c>
      <c r="B37" s="63" t="s">
        <v>235</v>
      </c>
      <c r="C37" s="64">
        <f t="shared" si="2"/>
        <v>7517</v>
      </c>
      <c r="D37" s="64">
        <v>37591</v>
      </c>
      <c r="E37" s="64">
        <f t="shared" si="3"/>
        <v>12173</v>
      </c>
      <c r="F37" s="64">
        <v>63912</v>
      </c>
      <c r="K37" s="12"/>
      <c r="L37" s="67">
        <v>30074</v>
      </c>
      <c r="M37" s="12"/>
      <c r="N37" s="67">
        <v>51739</v>
      </c>
    </row>
    <row r="38" spans="1:16" x14ac:dyDescent="0.2">
      <c r="A38" s="62" t="s">
        <v>236</v>
      </c>
      <c r="B38" s="63" t="s">
        <v>237</v>
      </c>
      <c r="C38" s="64">
        <f t="shared" si="2"/>
        <v>633.72948000000906</v>
      </c>
      <c r="D38" s="64">
        <f>D27-D32-D33-D34-D35-D36-D37</f>
        <v>16188.729480000009</v>
      </c>
      <c r="E38" s="64">
        <f t="shared" si="3"/>
        <v>430239.38309999998</v>
      </c>
      <c r="F38" s="64">
        <f>F27-F32-F33-F34-F35-F36-F37</f>
        <v>472677.38309999998</v>
      </c>
      <c r="K38" s="12"/>
      <c r="L38" s="67">
        <v>15555</v>
      </c>
      <c r="M38" s="12"/>
      <c r="N38" s="67">
        <v>42438</v>
      </c>
    </row>
    <row r="39" spans="1:16" x14ac:dyDescent="0.2">
      <c r="A39" s="62" t="s">
        <v>238</v>
      </c>
      <c r="B39" s="63" t="s">
        <v>239</v>
      </c>
      <c r="C39" s="64">
        <f t="shared" si="2"/>
        <v>0</v>
      </c>
      <c r="D39" s="64">
        <v>0</v>
      </c>
      <c r="E39" s="64">
        <f t="shared" si="3"/>
        <v>0</v>
      </c>
      <c r="F39" s="64">
        <v>0</v>
      </c>
      <c r="K39" s="12"/>
      <c r="L39" s="55">
        <v>0</v>
      </c>
      <c r="M39" s="12"/>
      <c r="N39" s="55">
        <v>0</v>
      </c>
    </row>
    <row r="40" spans="1:16" x14ac:dyDescent="0.2">
      <c r="A40" s="62" t="s">
        <v>71</v>
      </c>
      <c r="B40" s="63" t="s">
        <v>240</v>
      </c>
      <c r="C40" s="64">
        <f t="shared" si="2"/>
        <v>0</v>
      </c>
      <c r="D40" s="64">
        <v>0</v>
      </c>
      <c r="E40" s="64">
        <f t="shared" si="3"/>
        <v>0</v>
      </c>
      <c r="F40" s="64">
        <v>0</v>
      </c>
      <c r="K40" s="12"/>
      <c r="L40" s="55">
        <v>0</v>
      </c>
      <c r="M40" s="12"/>
      <c r="N40" s="55">
        <v>0</v>
      </c>
    </row>
    <row r="41" spans="1:16" x14ac:dyDescent="0.2">
      <c r="A41" s="66" t="s">
        <v>241</v>
      </c>
      <c r="B41" s="53" t="s">
        <v>21</v>
      </c>
      <c r="C41" s="54">
        <f>D41-L41</f>
        <v>172667</v>
      </c>
      <c r="D41" s="54">
        <f>ROUND((D151+D160)/1000,0)</f>
        <v>954361</v>
      </c>
      <c r="E41" s="54">
        <f>F41-N41</f>
        <v>30577</v>
      </c>
      <c r="F41" s="54">
        <f>ROUND((O150+O160)/1000,0)</f>
        <v>115287</v>
      </c>
      <c r="K41" s="12"/>
      <c r="L41" s="55">
        <v>781694</v>
      </c>
      <c r="M41" s="12"/>
      <c r="N41" s="55">
        <v>84710</v>
      </c>
      <c r="O41" s="12"/>
    </row>
    <row r="42" spans="1:16" ht="38.25" x14ac:dyDescent="0.2">
      <c r="A42" s="66" t="s">
        <v>242</v>
      </c>
      <c r="B42" s="53" t="s">
        <v>25</v>
      </c>
      <c r="C42" s="54">
        <f>D42-L42</f>
        <v>63430</v>
      </c>
      <c r="D42" s="54">
        <f>ROUND((D150)/1000,0)</f>
        <v>324625</v>
      </c>
      <c r="E42" s="54">
        <f>F42-N42</f>
        <v>91208</v>
      </c>
      <c r="F42" s="54">
        <f>ROUND((O149)/1000,0)</f>
        <v>358632</v>
      </c>
      <c r="K42" s="12"/>
      <c r="L42" s="55">
        <v>261195</v>
      </c>
      <c r="M42" s="12"/>
      <c r="N42" s="55">
        <v>267424</v>
      </c>
      <c r="O42" s="12"/>
    </row>
    <row r="43" spans="1:16" x14ac:dyDescent="0.2">
      <c r="A43" s="66" t="s">
        <v>243</v>
      </c>
      <c r="B43" s="53" t="s">
        <v>28</v>
      </c>
      <c r="C43" s="54"/>
      <c r="D43" s="54"/>
      <c r="E43" s="54"/>
      <c r="F43" s="54"/>
      <c r="K43" s="12"/>
      <c r="L43" s="55"/>
      <c r="M43" s="12"/>
      <c r="N43" s="55"/>
    </row>
    <row r="44" spans="1:16" x14ac:dyDescent="0.2">
      <c r="A44" s="66" t="s">
        <v>244</v>
      </c>
      <c r="B44" s="53" t="s">
        <v>31</v>
      </c>
      <c r="C44" s="54">
        <f>D44-L44</f>
        <v>750350</v>
      </c>
      <c r="D44" s="54">
        <f>ROUND((D156)/1000,0)</f>
        <v>11362056</v>
      </c>
      <c r="E44" s="54">
        <f>F44-N44</f>
        <v>25879</v>
      </c>
      <c r="F44" s="54">
        <f>ROUND((O155)/1000,0)</f>
        <v>375933</v>
      </c>
      <c r="K44" s="12"/>
      <c r="L44" s="55">
        <v>10611706</v>
      </c>
      <c r="M44" s="12"/>
      <c r="N44" s="55">
        <v>350054</v>
      </c>
      <c r="O44" s="12"/>
      <c r="P44" s="12"/>
    </row>
    <row r="45" spans="1:16" x14ac:dyDescent="0.2">
      <c r="A45" s="66" t="s">
        <v>245</v>
      </c>
      <c r="B45" s="53" t="s">
        <v>35</v>
      </c>
      <c r="C45" s="54"/>
      <c r="D45" s="54"/>
      <c r="E45" s="54"/>
      <c r="F45" s="54"/>
      <c r="K45" s="12"/>
      <c r="L45" s="55"/>
      <c r="M45" s="12"/>
      <c r="N45" s="55"/>
    </row>
    <row r="46" spans="1:16" x14ac:dyDescent="0.2">
      <c r="A46" s="66" t="s">
        <v>246</v>
      </c>
      <c r="B46" s="53" t="s">
        <v>38</v>
      </c>
      <c r="C46" s="54"/>
      <c r="D46" s="54"/>
      <c r="E46" s="54"/>
      <c r="F46" s="54"/>
      <c r="K46" s="12"/>
      <c r="L46" s="55"/>
      <c r="M46" s="12"/>
      <c r="N46" s="55"/>
    </row>
    <row r="47" spans="1:16" ht="25.5" x14ac:dyDescent="0.2">
      <c r="A47" s="66" t="s">
        <v>247</v>
      </c>
      <c r="B47" s="53" t="s">
        <v>40</v>
      </c>
      <c r="C47" s="54"/>
      <c r="D47" s="54"/>
      <c r="E47" s="54"/>
      <c r="F47" s="54"/>
      <c r="K47" s="12"/>
      <c r="L47" s="55"/>
      <c r="M47" s="12"/>
      <c r="N47" s="55"/>
    </row>
    <row r="48" spans="1:16" x14ac:dyDescent="0.2">
      <c r="A48" s="66" t="s">
        <v>248</v>
      </c>
      <c r="B48" s="53" t="s">
        <v>42</v>
      </c>
      <c r="C48" s="54">
        <v>0</v>
      </c>
      <c r="D48" s="54">
        <f>D50</f>
        <v>8</v>
      </c>
      <c r="E48" s="54">
        <v>0</v>
      </c>
      <c r="F48" s="54">
        <v>0</v>
      </c>
      <c r="K48" s="12"/>
      <c r="L48" s="55">
        <v>8</v>
      </c>
      <c r="M48" s="12"/>
      <c r="N48" s="55">
        <v>0</v>
      </c>
    </row>
    <row r="49" spans="1:16" x14ac:dyDescent="0.2">
      <c r="A49" s="56" t="s">
        <v>13</v>
      </c>
      <c r="B49" s="57" t="s">
        <v>14</v>
      </c>
      <c r="C49" s="58"/>
      <c r="D49" s="58"/>
      <c r="E49" s="58"/>
      <c r="F49" s="58"/>
      <c r="K49" s="12"/>
      <c r="L49" s="55"/>
      <c r="M49" s="12"/>
      <c r="N49" s="55"/>
    </row>
    <row r="50" spans="1:16" x14ac:dyDescent="0.2">
      <c r="A50" s="56" t="s">
        <v>249</v>
      </c>
      <c r="B50" s="57" t="s">
        <v>250</v>
      </c>
      <c r="C50" s="58">
        <f>D50-L50</f>
        <v>0</v>
      </c>
      <c r="D50" s="58">
        <f>ROUND(D161/1000,0)</f>
        <v>8</v>
      </c>
      <c r="E50" s="58">
        <v>0</v>
      </c>
      <c r="F50" s="58">
        <v>0</v>
      </c>
      <c r="K50" s="12"/>
      <c r="L50" s="55">
        <v>8</v>
      </c>
      <c r="M50" s="12"/>
      <c r="N50" s="55">
        <v>0</v>
      </c>
    </row>
    <row r="51" spans="1:16" x14ac:dyDescent="0.2">
      <c r="A51" s="56" t="s">
        <v>251</v>
      </c>
      <c r="B51" s="57" t="s">
        <v>252</v>
      </c>
      <c r="C51" s="58"/>
      <c r="D51" s="58"/>
      <c r="E51" s="58"/>
      <c r="F51" s="58"/>
      <c r="K51" s="12"/>
      <c r="L51" s="55"/>
      <c r="M51" s="12"/>
      <c r="N51" s="55"/>
    </row>
    <row r="52" spans="1:16" x14ac:dyDescent="0.2">
      <c r="A52" s="56" t="s">
        <v>253</v>
      </c>
      <c r="B52" s="57" t="s">
        <v>254</v>
      </c>
      <c r="C52" s="58"/>
      <c r="D52" s="58"/>
      <c r="E52" s="58"/>
      <c r="F52" s="58"/>
      <c r="K52" s="12"/>
      <c r="L52" s="55"/>
      <c r="M52" s="12"/>
      <c r="N52" s="55"/>
    </row>
    <row r="53" spans="1:16" x14ac:dyDescent="0.2">
      <c r="A53" s="56" t="s">
        <v>255</v>
      </c>
      <c r="B53" s="57" t="s">
        <v>256</v>
      </c>
      <c r="C53" s="58"/>
      <c r="D53" s="58"/>
      <c r="E53" s="58"/>
      <c r="F53" s="58"/>
      <c r="K53" s="12"/>
      <c r="L53" s="55"/>
      <c r="M53" s="12"/>
      <c r="N53" s="55"/>
    </row>
    <row r="54" spans="1:16" ht="25.5" x14ac:dyDescent="0.2">
      <c r="A54" s="66" t="s">
        <v>257</v>
      </c>
      <c r="B54" s="53" t="s">
        <v>44</v>
      </c>
      <c r="C54" s="54">
        <f>D54-L54</f>
        <v>117583</v>
      </c>
      <c r="D54" s="54">
        <f>ROUND((D153)/1000,0)-1</f>
        <v>367368</v>
      </c>
      <c r="E54" s="54">
        <f>F54-N54</f>
        <v>24647</v>
      </c>
      <c r="F54" s="54">
        <f>ROUND((O152)/1000,0)</f>
        <v>24766</v>
      </c>
      <c r="K54" s="12"/>
      <c r="L54" s="55">
        <v>249785</v>
      </c>
      <c r="M54" s="12"/>
      <c r="N54" s="55">
        <v>119</v>
      </c>
      <c r="P54" s="12"/>
    </row>
    <row r="55" spans="1:16" x14ac:dyDescent="0.2">
      <c r="A55" s="66" t="s">
        <v>258</v>
      </c>
      <c r="B55" s="53" t="s">
        <v>46</v>
      </c>
      <c r="C55" s="54">
        <f>D55-L55</f>
        <v>235</v>
      </c>
      <c r="D55" s="54">
        <f>944+236+236-1</f>
        <v>1415</v>
      </c>
      <c r="E55" s="54">
        <f>F55-N55</f>
        <v>236</v>
      </c>
      <c r="F55" s="54">
        <f>5052+236</f>
        <v>5288</v>
      </c>
      <c r="K55" s="12"/>
      <c r="L55" s="55">
        <v>1180</v>
      </c>
      <c r="M55" s="12"/>
      <c r="N55" s="55">
        <v>5052</v>
      </c>
    </row>
    <row r="56" spans="1:16" x14ac:dyDescent="0.2">
      <c r="A56" s="66" t="s">
        <v>259</v>
      </c>
      <c r="B56" s="68" t="s">
        <v>42</v>
      </c>
      <c r="C56" s="69">
        <f>C11+C27+C41+C42+C44+C45+C46+C47+C48+C54+C55</f>
        <v>1253682</v>
      </c>
      <c r="D56" s="69">
        <f>D11+D27+D41+D42+D44+D45+D46+D47+D48+D54+D55</f>
        <v>14845613</v>
      </c>
      <c r="E56" s="69">
        <f>E11+E27+E41+E42+E44+E45+E46+E47+E48+E54+E55</f>
        <v>881621</v>
      </c>
      <c r="F56" s="69">
        <f>F11+F27+F41+F42+F44+F45+F46+F47+F48+F54+F55</f>
        <v>3176422</v>
      </c>
      <c r="K56" s="12"/>
      <c r="L56" s="55">
        <v>13591931</v>
      </c>
      <c r="M56" s="12"/>
      <c r="N56" s="55">
        <v>2294801</v>
      </c>
    </row>
    <row r="57" spans="1:16" x14ac:dyDescent="0.2">
      <c r="A57" s="66"/>
      <c r="B57" s="70"/>
      <c r="C57" s="71"/>
      <c r="D57" s="71"/>
      <c r="E57" s="71"/>
      <c r="F57" s="71"/>
      <c r="K57" s="12"/>
      <c r="L57" s="55"/>
      <c r="M57" s="12"/>
      <c r="N57" s="55"/>
    </row>
    <row r="58" spans="1:16" x14ac:dyDescent="0.2">
      <c r="A58" s="66" t="s">
        <v>260</v>
      </c>
      <c r="B58" s="68" t="s">
        <v>50</v>
      </c>
      <c r="C58" s="69">
        <f>SUM(C60:C62)</f>
        <v>62448</v>
      </c>
      <c r="D58" s="69">
        <f>SUM(D60:D62)</f>
        <v>365364</v>
      </c>
      <c r="E58" s="69">
        <f>SUM(E60:E62)</f>
        <v>32526.888390000007</v>
      </c>
      <c r="F58" s="69">
        <f>SUM(F60:F62)</f>
        <v>207052.92986999999</v>
      </c>
      <c r="G58" s="1" t="e">
        <f>C58&gt;=#REF!+C60+#REF!+C61+C62</f>
        <v>#REF!</v>
      </c>
      <c r="H58" s="1" t="e">
        <f>D58&gt;=#REF!+D60+#REF!+D61+D62</f>
        <v>#REF!</v>
      </c>
      <c r="I58" s="1" t="e">
        <f>E58&gt;=#REF!+E60+#REF!+E61+E62</f>
        <v>#REF!</v>
      </c>
      <c r="J58" s="1" t="e">
        <f>F58&gt;=#REF!+F60+#REF!+F61+F62</f>
        <v>#REF!</v>
      </c>
      <c r="K58" s="12"/>
      <c r="L58" s="55">
        <v>302916</v>
      </c>
      <c r="M58" s="12"/>
      <c r="N58" s="55">
        <v>174526.04147999999</v>
      </c>
    </row>
    <row r="59" spans="1:16" x14ac:dyDescent="0.2">
      <c r="A59" s="56" t="s">
        <v>13</v>
      </c>
      <c r="B59" s="70"/>
      <c r="C59" s="71"/>
      <c r="D59" s="71"/>
      <c r="E59" s="71"/>
      <c r="F59" s="71"/>
      <c r="K59" s="12"/>
      <c r="L59" s="55"/>
      <c r="M59" s="12"/>
      <c r="N59" s="55"/>
    </row>
    <row r="60" spans="1:16" x14ac:dyDescent="0.2">
      <c r="A60" s="56" t="s">
        <v>261</v>
      </c>
      <c r="B60" s="72" t="s">
        <v>262</v>
      </c>
      <c r="C60" s="73">
        <f t="shared" ref="C60:C67" si="4">D60-L60</f>
        <v>62448</v>
      </c>
      <c r="D60" s="73">
        <f>ROUND(C173/1000,0)</f>
        <v>365364</v>
      </c>
      <c r="E60" s="73">
        <f>F60-N60</f>
        <v>32526.888390000007</v>
      </c>
      <c r="F60" s="73">
        <f>N172/1000</f>
        <v>205959.89496000001</v>
      </c>
      <c r="K60" s="12"/>
      <c r="L60" s="55">
        <v>302916</v>
      </c>
      <c r="M60" s="12"/>
      <c r="N60" s="55">
        <v>173433.00657</v>
      </c>
    </row>
    <row r="61" spans="1:16" x14ac:dyDescent="0.2">
      <c r="A61" s="56" t="s">
        <v>263</v>
      </c>
      <c r="B61" s="72" t="s">
        <v>264</v>
      </c>
      <c r="C61" s="73">
        <f t="shared" si="4"/>
        <v>0</v>
      </c>
      <c r="D61" s="73">
        <v>0</v>
      </c>
      <c r="E61" s="73">
        <f>F61-N61</f>
        <v>0</v>
      </c>
      <c r="F61" s="73">
        <v>0</v>
      </c>
      <c r="K61" s="12"/>
      <c r="L61" s="55">
        <v>0</v>
      </c>
      <c r="M61" s="12"/>
      <c r="N61" s="55">
        <v>0</v>
      </c>
    </row>
    <row r="62" spans="1:16" x14ac:dyDescent="0.2">
      <c r="A62" s="56" t="s">
        <v>265</v>
      </c>
      <c r="B62" s="72" t="s">
        <v>266</v>
      </c>
      <c r="C62" s="73">
        <f t="shared" si="4"/>
        <v>0</v>
      </c>
      <c r="D62" s="73">
        <v>0</v>
      </c>
      <c r="E62" s="73">
        <f>F62-N62</f>
        <v>0</v>
      </c>
      <c r="F62" s="73">
        <f>N171/1000</f>
        <v>1093.0349099999999</v>
      </c>
      <c r="K62" s="12"/>
      <c r="L62" s="55">
        <v>0</v>
      </c>
      <c r="M62" s="12"/>
      <c r="N62" s="55">
        <v>1093.0349099999999</v>
      </c>
    </row>
    <row r="63" spans="1:16" x14ac:dyDescent="0.2">
      <c r="A63" s="56" t="s">
        <v>267</v>
      </c>
      <c r="B63" s="72" t="s">
        <v>268</v>
      </c>
      <c r="C63" s="73">
        <f t="shared" si="4"/>
        <v>0</v>
      </c>
      <c r="D63" s="73">
        <v>0</v>
      </c>
      <c r="E63" s="73">
        <f>F63-N63</f>
        <v>0</v>
      </c>
      <c r="F63" s="73">
        <v>0</v>
      </c>
      <c r="K63" s="12"/>
      <c r="L63" s="55">
        <v>0</v>
      </c>
      <c r="M63" s="12"/>
      <c r="N63" s="55">
        <v>0</v>
      </c>
    </row>
    <row r="64" spans="1:16" x14ac:dyDescent="0.2">
      <c r="A64" s="66" t="s">
        <v>269</v>
      </c>
      <c r="B64" s="74" t="s">
        <v>52</v>
      </c>
      <c r="C64" s="75">
        <f t="shared" si="4"/>
        <v>12385</v>
      </c>
      <c r="D64" s="75">
        <f>ROUND(SUM(C186:C191)/1000,0)</f>
        <v>68034</v>
      </c>
      <c r="E64" s="75">
        <f>F64-N64</f>
        <v>445481</v>
      </c>
      <c r="F64" s="75">
        <f>ROUND(SUM(N185:N191)/1000,0)</f>
        <v>518129</v>
      </c>
      <c r="G64" s="1" t="b">
        <f>C64&gt;=C66+C67</f>
        <v>1</v>
      </c>
      <c r="H64" s="1" t="b">
        <f>D64&gt;=D66+D67</f>
        <v>1</v>
      </c>
      <c r="I64" s="1" t="b">
        <f>E64&gt;=E66+E67</f>
        <v>1</v>
      </c>
      <c r="J64" s="1" t="b">
        <f>F64&gt;=F66+F67</f>
        <v>1</v>
      </c>
      <c r="K64" s="12"/>
      <c r="L64" s="55">
        <v>55649</v>
      </c>
      <c r="M64" s="12"/>
      <c r="N64" s="55">
        <v>72648</v>
      </c>
    </row>
    <row r="65" spans="1:14" x14ac:dyDescent="0.2">
      <c r="A65" s="56" t="s">
        <v>13</v>
      </c>
      <c r="B65" s="51"/>
      <c r="C65" s="76">
        <f t="shared" si="4"/>
        <v>0</v>
      </c>
      <c r="D65" s="76"/>
      <c r="E65" s="76"/>
      <c r="F65" s="76"/>
      <c r="K65" s="12"/>
      <c r="L65" s="55"/>
      <c r="M65" s="12"/>
      <c r="N65" s="55"/>
    </row>
    <row r="66" spans="1:14" x14ac:dyDescent="0.2">
      <c r="A66" s="62" t="s">
        <v>270</v>
      </c>
      <c r="B66" s="77" t="s">
        <v>54</v>
      </c>
      <c r="C66" s="78">
        <f t="shared" si="4"/>
        <v>0</v>
      </c>
      <c r="D66" s="78">
        <v>0</v>
      </c>
      <c r="E66" s="78">
        <f t="shared" ref="E66:E71" si="5">F66-N66</f>
        <v>0</v>
      </c>
      <c r="F66" s="78">
        <v>0</v>
      </c>
      <c r="K66" s="12"/>
      <c r="L66" s="55">
        <v>0</v>
      </c>
      <c r="M66" s="12"/>
      <c r="N66" s="55">
        <v>0</v>
      </c>
    </row>
    <row r="67" spans="1:14" x14ac:dyDescent="0.2">
      <c r="A67" s="62" t="s">
        <v>271</v>
      </c>
      <c r="B67" s="77" t="s">
        <v>60</v>
      </c>
      <c r="C67" s="78">
        <f t="shared" si="4"/>
        <v>8584</v>
      </c>
      <c r="D67" s="78">
        <f>ROUND(C190/1000,0)</f>
        <v>47261</v>
      </c>
      <c r="E67" s="78">
        <f t="shared" si="5"/>
        <v>423099.91940000001</v>
      </c>
      <c r="F67" s="78">
        <f>N190/1000</f>
        <v>452384.98162999999</v>
      </c>
      <c r="K67" s="12"/>
      <c r="L67" s="79">
        <v>38677</v>
      </c>
      <c r="M67" s="80"/>
      <c r="N67" s="79">
        <v>29285.06223</v>
      </c>
    </row>
    <row r="68" spans="1:14" x14ac:dyDescent="0.2">
      <c r="A68" s="62" t="s">
        <v>272</v>
      </c>
      <c r="B68" s="77" t="s">
        <v>62</v>
      </c>
      <c r="C68" s="78">
        <f>D68-L68</f>
        <v>3323</v>
      </c>
      <c r="D68" s="78">
        <f>ROUND(C189/1000,0)</f>
        <v>16961</v>
      </c>
      <c r="E68" s="78">
        <f t="shared" si="5"/>
        <v>21400.954409999998</v>
      </c>
      <c r="F68" s="78">
        <f>N189/1000</f>
        <v>57537.809809999999</v>
      </c>
      <c r="K68" s="12"/>
      <c r="L68" s="81">
        <v>13638</v>
      </c>
      <c r="M68" s="80"/>
      <c r="N68" s="81">
        <v>36136.8554</v>
      </c>
    </row>
    <row r="69" spans="1:14" x14ac:dyDescent="0.2">
      <c r="A69" s="62" t="s">
        <v>273</v>
      </c>
      <c r="B69" s="77" t="s">
        <v>64</v>
      </c>
      <c r="C69" s="78">
        <f>D69-L69</f>
        <v>0</v>
      </c>
      <c r="D69" s="78">
        <v>356</v>
      </c>
      <c r="E69" s="78">
        <f t="shared" si="5"/>
        <v>0</v>
      </c>
      <c r="F69" s="78">
        <v>252</v>
      </c>
      <c r="K69" s="12"/>
      <c r="L69" s="81">
        <v>356</v>
      </c>
      <c r="M69" s="80"/>
      <c r="N69" s="81">
        <v>252</v>
      </c>
    </row>
    <row r="70" spans="1:14" x14ac:dyDescent="0.2">
      <c r="A70" s="62" t="s">
        <v>274</v>
      </c>
      <c r="B70" s="77" t="s">
        <v>66</v>
      </c>
      <c r="C70" s="78">
        <f>D70-L70</f>
        <v>0</v>
      </c>
      <c r="D70" s="78">
        <v>0</v>
      </c>
      <c r="E70" s="78">
        <f t="shared" si="5"/>
        <v>0</v>
      </c>
      <c r="F70" s="78">
        <v>0</v>
      </c>
      <c r="K70" s="12"/>
      <c r="L70" s="79">
        <v>0</v>
      </c>
      <c r="M70" s="80"/>
      <c r="N70" s="79">
        <v>0</v>
      </c>
    </row>
    <row r="71" spans="1:14" x14ac:dyDescent="0.2">
      <c r="A71" s="62" t="s">
        <v>275</v>
      </c>
      <c r="B71" s="77" t="s">
        <v>68</v>
      </c>
      <c r="C71" s="78">
        <f>D71-L71</f>
        <v>478</v>
      </c>
      <c r="D71" s="78">
        <f>D64-D67-D68-D69</f>
        <v>3456</v>
      </c>
      <c r="E71" s="78">
        <f t="shared" si="5"/>
        <v>980.12619000000268</v>
      </c>
      <c r="F71" s="78">
        <f>F64-F67-F68-F69</f>
        <v>7954.2085600000064</v>
      </c>
      <c r="K71" s="12"/>
      <c r="L71" s="81">
        <v>2978</v>
      </c>
      <c r="M71" s="80"/>
      <c r="N71" s="81">
        <v>6974.0823700000037</v>
      </c>
    </row>
    <row r="72" spans="1:14" x14ac:dyDescent="0.2">
      <c r="A72" s="56"/>
      <c r="B72" s="51"/>
      <c r="C72" s="82"/>
      <c r="D72" s="82"/>
      <c r="E72" s="82"/>
      <c r="F72" s="82"/>
      <c r="K72" s="12"/>
      <c r="L72" s="55"/>
      <c r="M72" s="12"/>
      <c r="N72" s="55"/>
    </row>
    <row r="73" spans="1:14" ht="25.5" x14ac:dyDescent="0.2">
      <c r="A73" s="66" t="s">
        <v>276</v>
      </c>
      <c r="B73" s="83" t="s">
        <v>76</v>
      </c>
      <c r="C73" s="84">
        <f t="shared" ref="C73:C85" si="6">D73-L73</f>
        <v>0</v>
      </c>
      <c r="D73" s="84">
        <f>SUM(D75:D79)</f>
        <v>0</v>
      </c>
      <c r="E73" s="84">
        <f>F73-N73</f>
        <v>0</v>
      </c>
      <c r="F73" s="84">
        <f>SUM(F75:F79)</f>
        <v>0</v>
      </c>
      <c r="G73" s="1" t="b">
        <f>C73&gt;=C75+C76+C77+C78+C79</f>
        <v>1</v>
      </c>
      <c r="H73" s="1" t="b">
        <f>D73&gt;=D75+D76+D77+D78+D79</f>
        <v>1</v>
      </c>
      <c r="I73" s="1" t="b">
        <f>E73&gt;=E75+E76+E77+E78+E79</f>
        <v>1</v>
      </c>
      <c r="J73" s="1" t="b">
        <f>F73&gt;=F75+F76+F77+F78+F79</f>
        <v>1</v>
      </c>
      <c r="K73" s="12"/>
      <c r="L73" s="55">
        <v>0</v>
      </c>
      <c r="M73" s="12"/>
      <c r="N73" s="55">
        <v>0</v>
      </c>
    </row>
    <row r="74" spans="1:14" x14ac:dyDescent="0.2">
      <c r="A74" s="56" t="s">
        <v>13</v>
      </c>
      <c r="B74" s="85"/>
      <c r="C74" s="86">
        <f t="shared" si="6"/>
        <v>0</v>
      </c>
      <c r="D74" s="86"/>
      <c r="E74" s="86"/>
      <c r="F74" s="86"/>
      <c r="K74" s="12"/>
      <c r="L74" s="55"/>
      <c r="M74" s="12"/>
      <c r="N74" s="55"/>
    </row>
    <row r="75" spans="1:14" x14ac:dyDescent="0.2">
      <c r="A75" s="56" t="s">
        <v>277</v>
      </c>
      <c r="B75" s="72" t="s">
        <v>78</v>
      </c>
      <c r="C75" s="73">
        <f t="shared" si="6"/>
        <v>0</v>
      </c>
      <c r="D75" s="73">
        <f>E75-K75</f>
        <v>0</v>
      </c>
      <c r="E75" s="73">
        <f>F75-N75</f>
        <v>0</v>
      </c>
      <c r="F75" s="73">
        <f>G75-M75</f>
        <v>0</v>
      </c>
      <c r="K75" s="12"/>
      <c r="L75" s="55">
        <v>0</v>
      </c>
      <c r="M75" s="12"/>
      <c r="N75" s="55">
        <v>0</v>
      </c>
    </row>
    <row r="76" spans="1:14" x14ac:dyDescent="0.2">
      <c r="A76" s="56" t="s">
        <v>278</v>
      </c>
      <c r="B76" s="72" t="s">
        <v>80</v>
      </c>
      <c r="C76" s="73">
        <f t="shared" si="6"/>
        <v>0</v>
      </c>
      <c r="D76" s="73">
        <f>E76-K76</f>
        <v>0</v>
      </c>
      <c r="E76" s="73">
        <f>F76-N76</f>
        <v>0</v>
      </c>
      <c r="F76" s="73">
        <f>G76-M76</f>
        <v>0</v>
      </c>
      <c r="K76" s="12"/>
      <c r="L76" s="55">
        <v>0</v>
      </c>
      <c r="M76" s="12"/>
      <c r="N76" s="55">
        <v>0</v>
      </c>
    </row>
    <row r="77" spans="1:14" x14ac:dyDescent="0.2">
      <c r="A77" s="56" t="s">
        <v>279</v>
      </c>
      <c r="B77" s="72" t="s">
        <v>82</v>
      </c>
      <c r="C77" s="73">
        <f t="shared" si="6"/>
        <v>0</v>
      </c>
      <c r="D77" s="73">
        <f>E77-K77</f>
        <v>0</v>
      </c>
      <c r="E77" s="73">
        <f>F77-N77</f>
        <v>0</v>
      </c>
      <c r="F77" s="73">
        <f>G77-M77</f>
        <v>0</v>
      </c>
      <c r="K77" s="12"/>
      <c r="L77" s="55">
        <v>0</v>
      </c>
      <c r="M77" s="12"/>
      <c r="N77" s="55">
        <v>0</v>
      </c>
    </row>
    <row r="78" spans="1:14" x14ac:dyDescent="0.2">
      <c r="A78" s="56" t="s">
        <v>280</v>
      </c>
      <c r="B78" s="72" t="s">
        <v>84</v>
      </c>
      <c r="C78" s="73">
        <f t="shared" si="6"/>
        <v>0</v>
      </c>
      <c r="D78" s="73">
        <f>E78-K78</f>
        <v>0</v>
      </c>
      <c r="E78" s="73">
        <f>F78-N78</f>
        <v>0</v>
      </c>
      <c r="F78" s="73">
        <f>G78-M78</f>
        <v>0</v>
      </c>
      <c r="K78" s="12"/>
      <c r="L78" s="55">
        <v>0</v>
      </c>
      <c r="M78" s="12"/>
      <c r="N78" s="55">
        <v>0</v>
      </c>
    </row>
    <row r="79" spans="1:14" x14ac:dyDescent="0.2">
      <c r="A79" s="56" t="s">
        <v>281</v>
      </c>
      <c r="B79" s="72" t="s">
        <v>282</v>
      </c>
      <c r="C79" s="73">
        <f t="shared" si="6"/>
        <v>0</v>
      </c>
      <c r="D79" s="73">
        <f>E79-K79</f>
        <v>0</v>
      </c>
      <c r="E79" s="73">
        <f>F79-N79</f>
        <v>0</v>
      </c>
      <c r="F79" s="73">
        <f>G79-M79</f>
        <v>0</v>
      </c>
      <c r="K79" s="12"/>
      <c r="L79" s="55">
        <v>0</v>
      </c>
      <c r="M79" s="12"/>
      <c r="N79" s="55">
        <v>0</v>
      </c>
    </row>
    <row r="80" spans="1:14" x14ac:dyDescent="0.2">
      <c r="A80" s="66" t="s">
        <v>283</v>
      </c>
      <c r="B80" s="74" t="s">
        <v>86</v>
      </c>
      <c r="C80" s="75">
        <f t="shared" si="6"/>
        <v>229288</v>
      </c>
      <c r="D80" s="75">
        <f>ROUND((C185+C184)/1000,0)</f>
        <v>469404</v>
      </c>
      <c r="E80" s="75">
        <f t="shared" ref="E80:E86" si="7">F80-N80</f>
        <v>90935</v>
      </c>
      <c r="F80" s="75">
        <f>ROUND((N183+N184)/1000,0)</f>
        <v>539214</v>
      </c>
      <c r="K80" s="12"/>
      <c r="L80" s="55">
        <v>240116</v>
      </c>
      <c r="M80" s="12"/>
      <c r="N80" s="55">
        <v>448279</v>
      </c>
    </row>
    <row r="81" spans="1:14" ht="38.25" x14ac:dyDescent="0.2">
      <c r="A81" s="66" t="s">
        <v>284</v>
      </c>
      <c r="B81" s="74" t="s">
        <v>88</v>
      </c>
      <c r="C81" s="75">
        <f t="shared" si="6"/>
        <v>51937</v>
      </c>
      <c r="D81" s="75">
        <f>ROUND((C183)/1000,0)</f>
        <v>279471</v>
      </c>
      <c r="E81" s="75">
        <f t="shared" si="7"/>
        <v>79102</v>
      </c>
      <c r="F81" s="75">
        <f>ROUND((N182+N181)/1000,0)</f>
        <v>368465</v>
      </c>
      <c r="K81" s="12"/>
      <c r="L81" s="55">
        <v>227534</v>
      </c>
      <c r="M81" s="12"/>
      <c r="N81" s="55">
        <v>289363</v>
      </c>
    </row>
    <row r="82" spans="1:14" x14ac:dyDescent="0.2">
      <c r="A82" s="66" t="s">
        <v>285</v>
      </c>
      <c r="B82" s="74" t="s">
        <v>90</v>
      </c>
      <c r="C82" s="75">
        <f t="shared" si="6"/>
        <v>0</v>
      </c>
      <c r="D82" s="75"/>
      <c r="E82" s="75">
        <f t="shared" si="7"/>
        <v>0</v>
      </c>
      <c r="F82" s="75"/>
      <c r="K82" s="12"/>
      <c r="L82" s="55"/>
      <c r="M82" s="12"/>
      <c r="N82" s="55"/>
    </row>
    <row r="83" spans="1:14" x14ac:dyDescent="0.2">
      <c r="A83" s="66" t="s">
        <v>286</v>
      </c>
      <c r="B83" s="74" t="s">
        <v>92</v>
      </c>
      <c r="C83" s="75">
        <f t="shared" si="6"/>
        <v>754291</v>
      </c>
      <c r="D83" s="75">
        <f>ROUND((C176)/1000,0)</f>
        <v>11517035</v>
      </c>
      <c r="E83" s="75">
        <f t="shared" si="7"/>
        <v>21147</v>
      </c>
      <c r="F83" s="75">
        <f>ROUND((N174)/1000,0)-1</f>
        <v>375193</v>
      </c>
      <c r="K83" s="12"/>
      <c r="L83" s="55">
        <v>10762744</v>
      </c>
      <c r="M83" s="12"/>
      <c r="N83" s="55">
        <v>354046</v>
      </c>
    </row>
    <row r="84" spans="1:14" x14ac:dyDescent="0.2">
      <c r="A84" s="66" t="s">
        <v>287</v>
      </c>
      <c r="B84" s="74" t="s">
        <v>288</v>
      </c>
      <c r="C84" s="75">
        <f t="shared" si="6"/>
        <v>0</v>
      </c>
      <c r="D84" s="75"/>
      <c r="E84" s="75">
        <f t="shared" si="7"/>
        <v>0</v>
      </c>
      <c r="F84" s="75"/>
      <c r="K84" s="12"/>
      <c r="L84" s="55"/>
      <c r="M84" s="12"/>
      <c r="N84" s="55"/>
    </row>
    <row r="85" spans="1:14" x14ac:dyDescent="0.2">
      <c r="A85" s="66" t="s">
        <v>289</v>
      </c>
      <c r="B85" s="74" t="s">
        <v>96</v>
      </c>
      <c r="C85" s="75">
        <f t="shared" si="6"/>
        <v>0</v>
      </c>
      <c r="D85" s="75"/>
      <c r="E85" s="75">
        <f t="shared" si="7"/>
        <v>0</v>
      </c>
      <c r="F85" s="75"/>
      <c r="K85" s="12"/>
      <c r="L85" s="55"/>
      <c r="M85" s="12"/>
      <c r="N85" s="55"/>
    </row>
    <row r="86" spans="1:14" ht="25.5" x14ac:dyDescent="0.2">
      <c r="A86" s="66" t="s">
        <v>290</v>
      </c>
      <c r="B86" s="74" t="s">
        <v>98</v>
      </c>
      <c r="C86" s="75">
        <f>D86-L86</f>
        <v>0</v>
      </c>
      <c r="D86" s="75"/>
      <c r="E86" s="75">
        <f t="shared" si="7"/>
        <v>0</v>
      </c>
      <c r="F86" s="75"/>
      <c r="K86" s="12"/>
      <c r="L86" s="55"/>
      <c r="M86" s="12"/>
      <c r="N86" s="55"/>
    </row>
    <row r="87" spans="1:14" ht="25.5" x14ac:dyDescent="0.2">
      <c r="A87" s="66" t="s">
        <v>291</v>
      </c>
      <c r="B87" s="74" t="s">
        <v>100</v>
      </c>
      <c r="C87" s="75">
        <f>SUM(C89:C92)</f>
        <v>0</v>
      </c>
      <c r="D87" s="75">
        <f>SUM(D89:D92)</f>
        <v>71</v>
      </c>
      <c r="E87" s="75">
        <f>SUM(E89:E92)</f>
        <v>0</v>
      </c>
      <c r="F87" s="75">
        <f>SUM(F89:F92)</f>
        <v>0</v>
      </c>
      <c r="K87" s="12"/>
      <c r="L87" s="55">
        <v>71</v>
      </c>
      <c r="M87" s="12"/>
      <c r="N87" s="55">
        <v>0</v>
      </c>
    </row>
    <row r="88" spans="1:14" x14ac:dyDescent="0.2">
      <c r="A88" s="56" t="s">
        <v>13</v>
      </c>
      <c r="B88" s="72" t="s">
        <v>14</v>
      </c>
      <c r="C88" s="73"/>
      <c r="D88" s="73"/>
      <c r="E88" s="73"/>
      <c r="F88" s="73"/>
      <c r="K88" s="12"/>
      <c r="L88" s="55"/>
      <c r="M88" s="12"/>
      <c r="N88" s="55"/>
    </row>
    <row r="89" spans="1:14" x14ac:dyDescent="0.2">
      <c r="A89" s="56" t="s">
        <v>292</v>
      </c>
      <c r="B89" s="72" t="s">
        <v>293</v>
      </c>
      <c r="C89" s="73">
        <v>0</v>
      </c>
      <c r="D89" s="73">
        <f>ROUND(C193/1000,0)+1</f>
        <v>71</v>
      </c>
      <c r="E89" s="73">
        <v>0</v>
      </c>
      <c r="F89" s="73">
        <v>0</v>
      </c>
      <c r="K89" s="12"/>
      <c r="L89" s="55">
        <v>71</v>
      </c>
      <c r="M89" s="12"/>
      <c r="N89" s="55">
        <v>0</v>
      </c>
    </row>
    <row r="90" spans="1:14" x14ac:dyDescent="0.2">
      <c r="A90" s="56" t="s">
        <v>294</v>
      </c>
      <c r="B90" s="72" t="s">
        <v>295</v>
      </c>
      <c r="C90" s="73"/>
      <c r="D90" s="73"/>
      <c r="E90" s="73"/>
      <c r="F90" s="73"/>
      <c r="K90" s="12"/>
      <c r="L90" s="55"/>
      <c r="M90" s="12"/>
      <c r="N90" s="55"/>
    </row>
    <row r="91" spans="1:14" x14ac:dyDescent="0.2">
      <c r="A91" s="56" t="s">
        <v>296</v>
      </c>
      <c r="B91" s="72" t="s">
        <v>297</v>
      </c>
      <c r="C91" s="73"/>
      <c r="D91" s="73"/>
      <c r="E91" s="73"/>
      <c r="F91" s="73"/>
      <c r="K91" s="12"/>
      <c r="L91" s="55"/>
      <c r="M91" s="12"/>
      <c r="N91" s="55"/>
    </row>
    <row r="92" spans="1:14" x14ac:dyDescent="0.2">
      <c r="A92" s="56" t="s">
        <v>298</v>
      </c>
      <c r="B92" s="72" t="s">
        <v>299</v>
      </c>
      <c r="C92" s="73"/>
      <c r="D92" s="73"/>
      <c r="E92" s="73"/>
      <c r="F92" s="73"/>
      <c r="K92" s="12"/>
      <c r="L92" s="55"/>
      <c r="M92" s="12"/>
      <c r="N92" s="55"/>
    </row>
    <row r="93" spans="1:14" ht="25.5" x14ac:dyDescent="0.2">
      <c r="A93" s="66" t="s">
        <v>300</v>
      </c>
      <c r="B93" s="74" t="s">
        <v>102</v>
      </c>
      <c r="C93" s="75">
        <f>D93-L93</f>
        <v>6925</v>
      </c>
      <c r="D93" s="75">
        <f>ROUND((C179)/1000,0)</f>
        <v>431249</v>
      </c>
      <c r="E93" s="75">
        <f>F93-N93</f>
        <v>126403</v>
      </c>
      <c r="F93" s="75">
        <f>ROUND((N177)/1000,0)-1</f>
        <v>657534</v>
      </c>
      <c r="K93" s="12"/>
      <c r="L93" s="55">
        <v>424324</v>
      </c>
      <c r="M93" s="12"/>
      <c r="N93" s="55">
        <v>531131</v>
      </c>
    </row>
    <row r="94" spans="1:14" x14ac:dyDescent="0.2">
      <c r="A94" s="66" t="s">
        <v>301</v>
      </c>
      <c r="B94" s="74" t="s">
        <v>104</v>
      </c>
      <c r="C94" s="75">
        <f>D94-L94</f>
        <v>70450</v>
      </c>
      <c r="D94" s="75">
        <f>ROUND((C165+C164)/1000,0)</f>
        <v>540603</v>
      </c>
      <c r="E94" s="75">
        <f>F94-N94</f>
        <v>63552</v>
      </c>
      <c r="F94" s="75">
        <f>ROUND((N162+N163+N192)/1000,0)</f>
        <v>342054</v>
      </c>
      <c r="G94" s="1" t="e">
        <f>C94&gt;=C96+C100+#REF!+C101</f>
        <v>#REF!</v>
      </c>
      <c r="H94" s="1" t="e">
        <f>D94&gt;=D96+D100+#REF!+D101</f>
        <v>#REF!</v>
      </c>
      <c r="I94" s="1" t="e">
        <f>E94&gt;=E96+E100+#REF!+E101</f>
        <v>#REF!</v>
      </c>
      <c r="J94" s="1" t="e">
        <f>F94&gt;=F96+F100+#REF!+F101</f>
        <v>#REF!</v>
      </c>
      <c r="K94" s="12"/>
      <c r="L94" s="55">
        <v>470153</v>
      </c>
      <c r="M94" s="12"/>
      <c r="N94" s="55">
        <v>278502</v>
      </c>
    </row>
    <row r="95" spans="1:14" x14ac:dyDescent="0.2">
      <c r="A95" s="56" t="s">
        <v>13</v>
      </c>
      <c r="B95" s="87" t="s">
        <v>14</v>
      </c>
      <c r="C95" s="88"/>
      <c r="D95" s="88"/>
      <c r="E95" s="88"/>
      <c r="F95" s="88"/>
      <c r="K95" s="12"/>
      <c r="L95" s="55"/>
      <c r="M95" s="12"/>
      <c r="N95" s="55"/>
    </row>
    <row r="96" spans="1:14" x14ac:dyDescent="0.2">
      <c r="A96" s="56" t="s">
        <v>302</v>
      </c>
      <c r="B96" s="72" t="s">
        <v>303</v>
      </c>
      <c r="C96" s="73">
        <f t="shared" ref="C96:C102" si="8">D96-L96</f>
        <v>54808</v>
      </c>
      <c r="D96" s="73">
        <v>416784</v>
      </c>
      <c r="E96" s="73">
        <f t="shared" ref="E96:E102" si="9">F96-N96</f>
        <v>44673</v>
      </c>
      <c r="F96" s="73">
        <v>234261</v>
      </c>
      <c r="K96" s="12"/>
      <c r="L96" s="55">
        <v>361976</v>
      </c>
      <c r="M96" s="12"/>
      <c r="N96" s="55">
        <v>189588</v>
      </c>
    </row>
    <row r="97" spans="1:14" x14ac:dyDescent="0.2">
      <c r="A97" s="56" t="s">
        <v>304</v>
      </c>
      <c r="B97" s="72" t="s">
        <v>305</v>
      </c>
      <c r="C97" s="73">
        <f t="shared" si="8"/>
        <v>0</v>
      </c>
      <c r="D97" s="73">
        <v>0</v>
      </c>
      <c r="E97" s="73">
        <f t="shared" si="9"/>
        <v>0</v>
      </c>
      <c r="F97" s="73">
        <v>0</v>
      </c>
      <c r="K97" s="12"/>
      <c r="L97" s="55">
        <v>0</v>
      </c>
      <c r="M97" s="12"/>
      <c r="N97" s="55">
        <v>0</v>
      </c>
    </row>
    <row r="98" spans="1:14" x14ac:dyDescent="0.2">
      <c r="A98" s="56" t="s">
        <v>306</v>
      </c>
      <c r="B98" s="72" t="s">
        <v>307</v>
      </c>
      <c r="C98" s="73">
        <f t="shared" si="8"/>
        <v>865</v>
      </c>
      <c r="D98" s="73">
        <v>3608</v>
      </c>
      <c r="E98" s="73">
        <f t="shared" si="9"/>
        <v>0</v>
      </c>
      <c r="F98" s="73">
        <v>2731</v>
      </c>
      <c r="K98" s="12"/>
      <c r="L98" s="55">
        <v>2743</v>
      </c>
      <c r="M98" s="12"/>
      <c r="N98" s="55">
        <v>2731</v>
      </c>
    </row>
    <row r="99" spans="1:14" x14ac:dyDescent="0.2">
      <c r="A99" s="56" t="s">
        <v>308</v>
      </c>
      <c r="B99" s="72" t="s">
        <v>309</v>
      </c>
      <c r="C99" s="73">
        <f t="shared" si="8"/>
        <v>9349</v>
      </c>
      <c r="D99" s="73">
        <f>D94-D96-D97-D98-D100-D101-D102</f>
        <v>59548</v>
      </c>
      <c r="E99" s="73">
        <f t="shared" si="9"/>
        <v>6765.8176200000016</v>
      </c>
      <c r="F99" s="73">
        <f>F94-F96-F97-F98-F100-F101-F102</f>
        <v>41023</v>
      </c>
      <c r="K99" s="12"/>
      <c r="L99" s="55">
        <v>50199</v>
      </c>
      <c r="M99" s="12"/>
      <c r="N99" s="55">
        <v>34257.182379999998</v>
      </c>
    </row>
    <row r="100" spans="1:14" x14ac:dyDescent="0.2">
      <c r="A100" s="56" t="s">
        <v>310</v>
      </c>
      <c r="B100" s="72" t="s">
        <v>311</v>
      </c>
      <c r="C100" s="73">
        <f t="shared" si="8"/>
        <v>2548</v>
      </c>
      <c r="D100" s="73">
        <v>18629</v>
      </c>
      <c r="E100" s="73">
        <f t="shared" si="9"/>
        <v>3234</v>
      </c>
      <c r="F100" s="73">
        <v>19838</v>
      </c>
      <c r="K100" s="12"/>
      <c r="L100" s="55">
        <v>16081</v>
      </c>
      <c r="M100" s="12"/>
      <c r="N100" s="55">
        <v>16604</v>
      </c>
    </row>
    <row r="101" spans="1:14" ht="25.5" x14ac:dyDescent="0.2">
      <c r="A101" s="56" t="s">
        <v>312</v>
      </c>
      <c r="B101" s="72" t="s">
        <v>313</v>
      </c>
      <c r="C101" s="73">
        <f t="shared" si="8"/>
        <v>2880</v>
      </c>
      <c r="D101" s="73">
        <f>ROUND(C165/1000,0)</f>
        <v>41981</v>
      </c>
      <c r="E101" s="73">
        <f t="shared" si="9"/>
        <v>2569.1823799999984</v>
      </c>
      <c r="F101" s="73">
        <v>31977</v>
      </c>
      <c r="K101" s="12"/>
      <c r="L101" s="55">
        <v>39101</v>
      </c>
      <c r="M101" s="12"/>
      <c r="N101" s="55">
        <v>29407.817620000002</v>
      </c>
    </row>
    <row r="102" spans="1:14" x14ac:dyDescent="0.2">
      <c r="A102" s="56" t="s">
        <v>314</v>
      </c>
      <c r="B102" s="72" t="s">
        <v>315</v>
      </c>
      <c r="C102" s="73">
        <f t="shared" si="8"/>
        <v>0</v>
      </c>
      <c r="D102" s="73">
        <v>53</v>
      </c>
      <c r="E102" s="73">
        <f t="shared" si="9"/>
        <v>6310</v>
      </c>
      <c r="F102" s="73">
        <v>12224</v>
      </c>
      <c r="K102" s="12"/>
      <c r="L102" s="55">
        <v>53</v>
      </c>
      <c r="M102" s="12"/>
      <c r="N102" s="55">
        <v>5914</v>
      </c>
    </row>
    <row r="103" spans="1:14" x14ac:dyDescent="0.2">
      <c r="A103" s="66" t="s">
        <v>316</v>
      </c>
      <c r="B103" s="74" t="s">
        <v>106</v>
      </c>
      <c r="C103" s="73">
        <f>D103-L103</f>
        <v>0</v>
      </c>
      <c r="D103" s="73">
        <v>0</v>
      </c>
      <c r="E103" s="73">
        <v>0</v>
      </c>
      <c r="F103" s="73">
        <v>0</v>
      </c>
      <c r="K103" s="12"/>
      <c r="L103" s="55">
        <v>0</v>
      </c>
      <c r="M103" s="12"/>
      <c r="N103" s="55">
        <v>0</v>
      </c>
    </row>
    <row r="104" spans="1:14" x14ac:dyDescent="0.2">
      <c r="A104" s="56"/>
      <c r="B104" s="72"/>
      <c r="C104" s="73"/>
      <c r="D104" s="73"/>
      <c r="E104" s="73"/>
      <c r="F104" s="73"/>
      <c r="K104" s="12"/>
      <c r="L104" s="55"/>
      <c r="M104" s="12"/>
      <c r="N104" s="55"/>
    </row>
    <row r="105" spans="1:14" x14ac:dyDescent="0.2">
      <c r="A105" s="66" t="s">
        <v>317</v>
      </c>
      <c r="B105" s="83" t="s">
        <v>108</v>
      </c>
      <c r="C105" s="84">
        <f>C58+C64+C73+C80+C81+C82+C83+C84+C85+C86+C87+C93+C94+C103</f>
        <v>1187724</v>
      </c>
      <c r="D105" s="84">
        <f>D58+D64+D73+D80+D81+D82+D83+D84+D85+D86+D87+D93+D94+D103</f>
        <v>13671231</v>
      </c>
      <c r="E105" s="84">
        <f>E58+E64+E73+E80+E81+E82+E83+E84+E85+E86+E87+E93+E94+E103</f>
        <v>859146.88838999998</v>
      </c>
      <c r="F105" s="84">
        <f>F58+F64+F73+F80+F81+F82+F83+F84+F85+F86+F87+F93+F94+F103</f>
        <v>3007641.9298700001</v>
      </c>
      <c r="K105" s="12"/>
      <c r="L105" s="55">
        <v>12483507</v>
      </c>
      <c r="M105" s="12"/>
      <c r="N105" s="55">
        <v>2148495.0414800001</v>
      </c>
    </row>
    <row r="106" spans="1:14" x14ac:dyDescent="0.2">
      <c r="A106" s="56"/>
      <c r="B106" s="51"/>
      <c r="C106" s="76"/>
      <c r="D106" s="76"/>
      <c r="E106" s="76"/>
      <c r="F106" s="76"/>
      <c r="K106" s="12"/>
      <c r="L106" s="55"/>
      <c r="M106" s="12"/>
      <c r="N106" s="55"/>
    </row>
    <row r="107" spans="1:14" ht="25.5" x14ac:dyDescent="0.2">
      <c r="A107" s="52" t="s">
        <v>318</v>
      </c>
      <c r="B107" s="51" t="s">
        <v>110</v>
      </c>
      <c r="C107" s="84">
        <f>C56-C105</f>
        <v>65958</v>
      </c>
      <c r="D107" s="84">
        <f>D56-D105</f>
        <v>1174382</v>
      </c>
      <c r="E107" s="84">
        <f>E56-E105</f>
        <v>22474.111610000022</v>
      </c>
      <c r="F107" s="84">
        <f>F56-F105</f>
        <v>168780.07012999989</v>
      </c>
      <c r="K107" s="12"/>
      <c r="L107" s="55">
        <v>1108424</v>
      </c>
      <c r="M107" s="12"/>
      <c r="N107" s="55">
        <v>146305.95851999987</v>
      </c>
    </row>
    <row r="108" spans="1:14" x14ac:dyDescent="0.2">
      <c r="A108" s="89"/>
      <c r="B108" s="51"/>
      <c r="C108" s="76"/>
      <c r="D108" s="76"/>
      <c r="E108" s="76"/>
      <c r="F108" s="76"/>
      <c r="K108" s="12"/>
      <c r="L108" s="55"/>
      <c r="M108" s="12"/>
      <c r="N108" s="55"/>
    </row>
    <row r="109" spans="1:14" x14ac:dyDescent="0.2">
      <c r="A109" s="89" t="s">
        <v>319</v>
      </c>
      <c r="B109" s="51" t="s">
        <v>135</v>
      </c>
      <c r="C109" s="76">
        <f>D109-L109</f>
        <v>3307</v>
      </c>
      <c r="D109" s="76">
        <f>ROUND(C195/1000,0)</f>
        <v>198536</v>
      </c>
      <c r="E109" s="76">
        <f>F109-N109</f>
        <v>56</v>
      </c>
      <c r="F109" s="76">
        <f>ROUND(N193/1000,0)</f>
        <v>85349</v>
      </c>
      <c r="K109" s="12"/>
      <c r="L109" s="55">
        <v>195229</v>
      </c>
      <c r="M109" s="12"/>
      <c r="N109" s="55">
        <v>85293</v>
      </c>
    </row>
    <row r="110" spans="1:14" x14ac:dyDescent="0.2">
      <c r="A110" s="89"/>
      <c r="B110" s="51"/>
      <c r="C110" s="76"/>
      <c r="D110" s="76"/>
      <c r="E110" s="76"/>
      <c r="F110" s="76"/>
      <c r="K110" s="12"/>
      <c r="L110" s="55"/>
      <c r="M110" s="12"/>
      <c r="N110" s="55"/>
    </row>
    <row r="111" spans="1:14" ht="25.5" x14ac:dyDescent="0.2">
      <c r="A111" s="52" t="s">
        <v>320</v>
      </c>
      <c r="B111" s="83" t="s">
        <v>145</v>
      </c>
      <c r="C111" s="84">
        <f>C107-C109</f>
        <v>62651</v>
      </c>
      <c r="D111" s="84">
        <f>D107-D109</f>
        <v>975846</v>
      </c>
      <c r="E111" s="84">
        <f>E107-E109</f>
        <v>22418.111610000022</v>
      </c>
      <c r="F111" s="84">
        <f>F107-F109</f>
        <v>83431.070129999891</v>
      </c>
      <c r="K111" s="12"/>
      <c r="L111" s="55">
        <v>913195</v>
      </c>
      <c r="M111" s="12"/>
      <c r="N111" s="55">
        <v>61012.958519999869</v>
      </c>
    </row>
    <row r="112" spans="1:14" x14ac:dyDescent="0.2">
      <c r="A112" s="89" t="s">
        <v>321</v>
      </c>
      <c r="B112" s="51" t="s">
        <v>147</v>
      </c>
      <c r="C112" s="76"/>
      <c r="D112" s="76"/>
      <c r="E112" s="76"/>
      <c r="F112" s="76"/>
      <c r="K112" s="12"/>
      <c r="L112" s="55"/>
      <c r="M112" s="12"/>
      <c r="N112" s="55"/>
    </row>
    <row r="113" spans="1:14" x14ac:dyDescent="0.2">
      <c r="A113" s="89"/>
      <c r="B113" s="51"/>
      <c r="C113" s="76"/>
      <c r="D113" s="76"/>
      <c r="E113" s="76"/>
      <c r="F113" s="76"/>
      <c r="K113" s="12"/>
      <c r="L113" s="55"/>
      <c r="M113" s="12"/>
      <c r="N113" s="55"/>
    </row>
    <row r="114" spans="1:14" x14ac:dyDescent="0.2">
      <c r="A114" s="89"/>
      <c r="B114" s="51"/>
      <c r="C114" s="76"/>
      <c r="D114" s="76"/>
      <c r="E114" s="76"/>
      <c r="F114" s="76"/>
      <c r="K114" s="12"/>
      <c r="L114" s="55"/>
      <c r="M114" s="12"/>
      <c r="N114" s="55"/>
    </row>
    <row r="115" spans="1:14" x14ac:dyDescent="0.2">
      <c r="A115" s="52" t="s">
        <v>322</v>
      </c>
      <c r="B115" s="83" t="s">
        <v>149</v>
      </c>
      <c r="C115" s="84">
        <f>C111</f>
        <v>62651</v>
      </c>
      <c r="D115" s="84">
        <f>D111</f>
        <v>975846</v>
      </c>
      <c r="E115" s="84">
        <f>E111</f>
        <v>22418.111610000022</v>
      </c>
      <c r="F115" s="84">
        <f>F111</f>
        <v>83431.070129999891</v>
      </c>
      <c r="K115" s="12"/>
      <c r="L115" s="55">
        <v>913195</v>
      </c>
      <c r="M115" s="12"/>
      <c r="N115" s="55">
        <v>61012.958519999869</v>
      </c>
    </row>
    <row r="117" spans="1:14" ht="28.5" customHeight="1" x14ac:dyDescent="0.2">
      <c r="A117" s="90" t="s">
        <v>323</v>
      </c>
      <c r="B117" s="90"/>
      <c r="C117" s="90"/>
      <c r="D117" s="90"/>
      <c r="E117" s="90"/>
      <c r="F117" s="90"/>
    </row>
    <row r="118" spans="1:14" x14ac:dyDescent="0.2">
      <c r="D118" s="91"/>
      <c r="E118" s="92"/>
    </row>
    <row r="119" spans="1:14" x14ac:dyDescent="0.2">
      <c r="C119" s="12"/>
      <c r="D119" s="91"/>
      <c r="E119" s="92"/>
      <c r="F119" s="12"/>
    </row>
    <row r="120" spans="1:14" ht="20.25" customHeight="1" x14ac:dyDescent="0.2">
      <c r="A120" s="93" t="s">
        <v>179</v>
      </c>
      <c r="B120" s="1" t="s">
        <v>180</v>
      </c>
      <c r="C120" s="12"/>
      <c r="D120" s="12"/>
      <c r="E120" s="12"/>
      <c r="F120" s="12"/>
    </row>
    <row r="121" spans="1:14" ht="25.5" customHeight="1" x14ac:dyDescent="0.2">
      <c r="A121" s="35" t="s">
        <v>324</v>
      </c>
      <c r="B121" s="1" t="s">
        <v>180</v>
      </c>
      <c r="C121" s="12"/>
      <c r="D121" s="12"/>
    </row>
    <row r="122" spans="1:14" ht="20.25" customHeight="1" x14ac:dyDescent="0.2">
      <c r="A122" s="93" t="s">
        <v>182</v>
      </c>
      <c r="B122" s="1" t="s">
        <v>180</v>
      </c>
    </row>
    <row r="123" spans="1:14" x14ac:dyDescent="0.2">
      <c r="A123" s="93"/>
    </row>
    <row r="124" spans="1:14" x14ac:dyDescent="0.2">
      <c r="A124" s="94" t="s">
        <v>183</v>
      </c>
    </row>
    <row r="126" spans="1:14" x14ac:dyDescent="0.2">
      <c r="A126" s="93" t="s">
        <v>184</v>
      </c>
    </row>
    <row r="127" spans="1:14" x14ac:dyDescent="0.2">
      <c r="A127" s="93"/>
    </row>
    <row r="128" spans="1:14" x14ac:dyDescent="0.2">
      <c r="A128" s="93"/>
    </row>
    <row r="129" spans="1:15" x14ac:dyDescent="0.2">
      <c r="A129" s="93"/>
    </row>
    <row r="133" spans="1:15" ht="15.75" x14ac:dyDescent="0.25">
      <c r="A133" s="95" t="s">
        <v>325</v>
      </c>
      <c r="B133" s="96"/>
      <c r="C133" s="96"/>
      <c r="D133" s="96"/>
      <c r="L133" s="97" t="s">
        <v>326</v>
      </c>
      <c r="M133" s="96"/>
      <c r="N133" s="96"/>
      <c r="O133" s="96"/>
    </row>
    <row r="134" spans="1:15" ht="15.75" x14ac:dyDescent="0.25">
      <c r="A134" s="97" t="s">
        <v>327</v>
      </c>
      <c r="B134" s="96"/>
      <c r="C134" s="96"/>
      <c r="D134" s="96"/>
      <c r="F134"/>
      <c r="L134" s="98" t="s">
        <v>328</v>
      </c>
      <c r="M134" s="98" t="s">
        <v>329</v>
      </c>
      <c r="N134" s="96"/>
      <c r="O134" s="96"/>
    </row>
    <row r="135" spans="1:15" x14ac:dyDescent="0.2">
      <c r="A135" s="98" t="s">
        <v>328</v>
      </c>
      <c r="B135" s="98" t="s">
        <v>329</v>
      </c>
      <c r="C135" s="96"/>
      <c r="D135" s="96"/>
      <c r="F135"/>
      <c r="L135" s="99" t="s">
        <v>330</v>
      </c>
      <c r="M135" s="100" t="s">
        <v>331</v>
      </c>
      <c r="N135" s="100" t="s">
        <v>332</v>
      </c>
      <c r="O135" s="100" t="s">
        <v>333</v>
      </c>
    </row>
    <row r="136" spans="1:15" ht="24" x14ac:dyDescent="0.2">
      <c r="A136" s="99" t="s">
        <v>330</v>
      </c>
      <c r="B136" s="100" t="s">
        <v>331</v>
      </c>
      <c r="C136" s="100" t="s">
        <v>332</v>
      </c>
      <c r="D136" s="100" t="s">
        <v>333</v>
      </c>
      <c r="F136" s="101"/>
      <c r="L136" s="102">
        <v>5610</v>
      </c>
      <c r="M136" s="103" t="s">
        <v>334</v>
      </c>
      <c r="N136" s="104"/>
      <c r="O136" s="104"/>
    </row>
    <row r="137" spans="1:15" ht="24" x14ac:dyDescent="0.2">
      <c r="A137" s="102">
        <v>5610</v>
      </c>
      <c r="B137" s="103" t="s">
        <v>334</v>
      </c>
      <c r="C137" s="104"/>
      <c r="D137" s="104"/>
      <c r="F137" s="105"/>
      <c r="L137" s="106"/>
      <c r="M137" s="107">
        <v>5500</v>
      </c>
      <c r="N137" s="108">
        <v>82348812.75</v>
      </c>
      <c r="O137" s="109"/>
    </row>
    <row r="138" spans="1:15" x14ac:dyDescent="0.2">
      <c r="A138" s="106"/>
      <c r="B138" s="107">
        <v>5500</v>
      </c>
      <c r="C138" s="108">
        <v>974429030.70000005</v>
      </c>
      <c r="D138" s="109"/>
      <c r="F138" s="105"/>
      <c r="L138" s="110"/>
      <c r="M138" s="107">
        <v>5510</v>
      </c>
      <c r="N138" s="108">
        <v>82348812.75</v>
      </c>
      <c r="O138" s="109"/>
    </row>
    <row r="139" spans="1:15" x14ac:dyDescent="0.2">
      <c r="A139" s="110"/>
      <c r="B139" s="107">
        <v>5510</v>
      </c>
      <c r="C139" s="108">
        <v>974429030.70000005</v>
      </c>
      <c r="D139" s="109"/>
      <c r="F139" s="105"/>
      <c r="L139" s="106"/>
      <c r="M139" s="107">
        <v>6100</v>
      </c>
      <c r="N139" s="109"/>
      <c r="O139" s="108">
        <v>2810575390.3499999</v>
      </c>
    </row>
    <row r="140" spans="1:15" x14ac:dyDescent="0.2">
      <c r="A140" s="106"/>
      <c r="B140" s="107">
        <v>6100</v>
      </c>
      <c r="C140" s="109"/>
      <c r="D140" s="108">
        <v>3105658955.8499999</v>
      </c>
      <c r="F140" s="111"/>
      <c r="L140" s="110"/>
      <c r="M140" s="107">
        <v>6110</v>
      </c>
      <c r="N140" s="109"/>
      <c r="O140" s="108">
        <v>2004630574.52</v>
      </c>
    </row>
    <row r="141" spans="1:15" x14ac:dyDescent="0.2">
      <c r="A141" s="110"/>
      <c r="B141" s="107">
        <v>6110</v>
      </c>
      <c r="C141" s="109"/>
      <c r="D141" s="108">
        <v>1664427598.4099998</v>
      </c>
      <c r="F141" s="111">
        <f>D141+D142-C171</f>
        <v>2110088056.01</v>
      </c>
      <c r="L141" s="112"/>
      <c r="M141" s="113" t="s">
        <v>335</v>
      </c>
      <c r="N141" s="109"/>
      <c r="O141" s="108">
        <v>691815909.20000005</v>
      </c>
    </row>
    <row r="142" spans="1:15" x14ac:dyDescent="0.2">
      <c r="A142" s="112"/>
      <c r="B142" s="113" t="s">
        <v>335</v>
      </c>
      <c r="C142" s="109"/>
      <c r="D142" s="108">
        <v>851491396.94000006</v>
      </c>
      <c r="F142" s="111"/>
      <c r="L142" s="112"/>
      <c r="M142" s="113" t="s">
        <v>336</v>
      </c>
      <c r="N142" s="109"/>
      <c r="O142" s="108">
        <v>622541130.45000005</v>
      </c>
    </row>
    <row r="143" spans="1:15" x14ac:dyDescent="0.2">
      <c r="A143" s="112"/>
      <c r="B143" s="113" t="s">
        <v>336</v>
      </c>
      <c r="C143" s="109"/>
      <c r="D143" s="108">
        <v>413704070.48000002</v>
      </c>
      <c r="F143" s="111"/>
      <c r="L143" s="112"/>
      <c r="M143" s="113" t="s">
        <v>337</v>
      </c>
      <c r="N143" s="109"/>
      <c r="O143" s="108">
        <v>6363296.7300000004</v>
      </c>
    </row>
    <row r="144" spans="1:15" x14ac:dyDescent="0.2">
      <c r="A144" s="112"/>
      <c r="B144" s="113" t="s">
        <v>337</v>
      </c>
      <c r="C144" s="109"/>
      <c r="D144" s="108">
        <v>124823453.98999999</v>
      </c>
      <c r="F144" s="111"/>
      <c r="L144" s="112"/>
      <c r="M144" s="113" t="s">
        <v>338</v>
      </c>
      <c r="N144" s="109"/>
      <c r="O144" s="108">
        <v>2106792.21</v>
      </c>
    </row>
    <row r="145" spans="1:15" x14ac:dyDescent="0.2">
      <c r="A145" s="112"/>
      <c r="B145" s="113" t="s">
        <v>338</v>
      </c>
      <c r="C145" s="109"/>
      <c r="D145" s="108">
        <v>86200407.480000004</v>
      </c>
      <c r="F145" s="111">
        <f>D145+D146</f>
        <v>193573406.48000002</v>
      </c>
      <c r="L145" s="112"/>
      <c r="M145" s="113" t="s">
        <v>339</v>
      </c>
      <c r="N145" s="109"/>
      <c r="O145" s="108">
        <v>597929829.02999997</v>
      </c>
    </row>
    <row r="146" spans="1:15" x14ac:dyDescent="0.2">
      <c r="A146" s="112"/>
      <c r="B146" s="113" t="s">
        <v>339</v>
      </c>
      <c r="C146" s="109"/>
      <c r="D146" s="108">
        <v>107372999</v>
      </c>
      <c r="F146" s="111"/>
      <c r="L146" s="112"/>
      <c r="M146" s="113" t="s">
        <v>340</v>
      </c>
      <c r="N146" s="109"/>
      <c r="O146" s="108">
        <v>83873616.900000006</v>
      </c>
    </row>
    <row r="147" spans="1:15" x14ac:dyDescent="0.2">
      <c r="A147" s="112"/>
      <c r="B147" s="113" t="s">
        <v>340</v>
      </c>
      <c r="C147" s="109"/>
      <c r="D147" s="108">
        <v>80835270.519999996</v>
      </c>
      <c r="F147" s="111"/>
      <c r="L147" s="110"/>
      <c r="M147" s="107">
        <v>6120</v>
      </c>
      <c r="N147" s="109"/>
      <c r="O147" s="108">
        <v>377572160.63</v>
      </c>
    </row>
    <row r="148" spans="1:15" x14ac:dyDescent="0.2">
      <c r="A148" s="110"/>
      <c r="B148" s="107">
        <v>6120</v>
      </c>
      <c r="C148" s="109"/>
      <c r="D148" s="108">
        <v>211820828.44999999</v>
      </c>
      <c r="F148" s="111"/>
      <c r="L148" s="110"/>
      <c r="M148" s="107">
        <v>6150</v>
      </c>
      <c r="N148" s="109"/>
      <c r="O148" s="108">
        <v>428372655.19999999</v>
      </c>
    </row>
    <row r="149" spans="1:15" x14ac:dyDescent="0.2">
      <c r="A149" s="110"/>
      <c r="B149" s="107">
        <v>6150</v>
      </c>
      <c r="C149" s="109"/>
      <c r="D149" s="108">
        <v>1229410528.99</v>
      </c>
      <c r="F149" s="111"/>
      <c r="L149" s="112"/>
      <c r="M149" s="113" t="s">
        <v>341</v>
      </c>
      <c r="N149" s="109"/>
      <c r="O149" s="108">
        <v>358632187.41000003</v>
      </c>
    </row>
    <row r="150" spans="1:15" x14ac:dyDescent="0.2">
      <c r="A150" s="112"/>
      <c r="B150" s="113" t="s">
        <v>341</v>
      </c>
      <c r="C150" s="109"/>
      <c r="D150" s="108">
        <v>324624988.67000002</v>
      </c>
      <c r="F150" s="111"/>
      <c r="L150" s="112"/>
      <c r="M150" s="113" t="s">
        <v>342</v>
      </c>
      <c r="N150" s="109"/>
      <c r="O150" s="108">
        <v>69740467.790000007</v>
      </c>
    </row>
    <row r="151" spans="1:15" x14ac:dyDescent="0.2">
      <c r="A151" s="112"/>
      <c r="B151" s="113" t="s">
        <v>342</v>
      </c>
      <c r="C151" s="109"/>
      <c r="D151" s="108">
        <v>904785540.32000005</v>
      </c>
      <c r="F151" s="111">
        <f>D151-C175</f>
        <v>-11860477687.210001</v>
      </c>
      <c r="L151" s="106"/>
      <c r="M151" s="107">
        <v>6200</v>
      </c>
      <c r="N151" s="109"/>
      <c r="O151" s="108">
        <v>450453329.26999998</v>
      </c>
    </row>
    <row r="152" spans="1:15" x14ac:dyDescent="0.2">
      <c r="A152" s="106"/>
      <c r="B152" s="107">
        <v>6200</v>
      </c>
      <c r="C152" s="109"/>
      <c r="D152" s="108">
        <v>11779008218.409998</v>
      </c>
      <c r="F152" s="111">
        <f>C178-D152</f>
        <v>-11742122513.119997</v>
      </c>
      <c r="L152" s="110"/>
      <c r="M152" s="107">
        <v>6240</v>
      </c>
      <c r="N152" s="109"/>
      <c r="O152" s="108">
        <v>24766129.399999999</v>
      </c>
    </row>
    <row r="153" spans="1:15" x14ac:dyDescent="0.2">
      <c r="A153" s="110"/>
      <c r="B153" s="107">
        <v>6240</v>
      </c>
      <c r="C153" s="109"/>
      <c r="D153" s="108">
        <v>367368739.97000003</v>
      </c>
      <c r="F153" s="111"/>
      <c r="L153" s="112"/>
      <c r="M153" s="113" t="s">
        <v>343</v>
      </c>
      <c r="N153" s="109"/>
      <c r="O153" s="108">
        <v>24508851.399999999</v>
      </c>
    </row>
    <row r="154" spans="1:15" x14ac:dyDescent="0.2">
      <c r="A154" s="112"/>
      <c r="B154" s="113" t="s">
        <v>343</v>
      </c>
      <c r="C154" s="109"/>
      <c r="D154" s="108">
        <v>367155045.97000003</v>
      </c>
      <c r="F154" s="111"/>
      <c r="L154" s="112"/>
      <c r="M154" s="113" t="s">
        <v>344</v>
      </c>
      <c r="N154" s="109"/>
      <c r="O154" s="108">
        <v>257278</v>
      </c>
    </row>
    <row r="155" spans="1:15" x14ac:dyDescent="0.2">
      <c r="A155" s="112"/>
      <c r="B155" s="113" t="s">
        <v>344</v>
      </c>
      <c r="C155" s="109"/>
      <c r="D155" s="108">
        <v>213694</v>
      </c>
      <c r="F155" s="111">
        <f>D155-C175</f>
        <v>-12765049533.530001</v>
      </c>
      <c r="L155" s="110"/>
      <c r="M155" s="107">
        <v>6250</v>
      </c>
      <c r="N155" s="109"/>
      <c r="O155" s="108">
        <v>375932786.54000002</v>
      </c>
    </row>
    <row r="156" spans="1:15" x14ac:dyDescent="0.2">
      <c r="A156" s="110"/>
      <c r="B156" s="107">
        <v>6250</v>
      </c>
      <c r="C156" s="109"/>
      <c r="D156" s="108">
        <v>11362055977.539999</v>
      </c>
      <c r="F156" s="111"/>
      <c r="L156" s="112"/>
      <c r="M156" s="113" t="s">
        <v>345</v>
      </c>
      <c r="N156" s="109"/>
      <c r="O156" s="108">
        <v>369375081.76999998</v>
      </c>
    </row>
    <row r="157" spans="1:15" x14ac:dyDescent="0.2">
      <c r="A157" s="112"/>
      <c r="B157" s="113" t="s">
        <v>345</v>
      </c>
      <c r="C157" s="109"/>
      <c r="D157" s="108">
        <v>11353623021.92</v>
      </c>
      <c r="F157" s="111"/>
      <c r="L157" s="112"/>
      <c r="M157" s="113" t="s">
        <v>346</v>
      </c>
      <c r="N157" s="109"/>
      <c r="O157" s="108">
        <v>6557704.7699999996</v>
      </c>
    </row>
    <row r="158" spans="1:15" x14ac:dyDescent="0.2">
      <c r="A158" s="112"/>
      <c r="B158" s="113" t="s">
        <v>346</v>
      </c>
      <c r="C158" s="109"/>
      <c r="D158" s="108">
        <v>8432955.6199999992</v>
      </c>
      <c r="F158" s="105"/>
      <c r="L158" s="110"/>
      <c r="M158" s="107">
        <v>6280</v>
      </c>
      <c r="N158" s="109"/>
      <c r="O158" s="108">
        <v>49754413.329999998</v>
      </c>
    </row>
    <row r="159" spans="1:15" x14ac:dyDescent="0.2">
      <c r="A159" s="110"/>
      <c r="B159" s="107">
        <v>6280</v>
      </c>
      <c r="C159" s="109"/>
      <c r="D159" s="108">
        <v>49575200.899999999</v>
      </c>
      <c r="F159" s="105"/>
      <c r="L159" s="112"/>
      <c r="M159" s="113" t="s">
        <v>347</v>
      </c>
      <c r="N159" s="109"/>
      <c r="O159" s="108">
        <v>4207645.83</v>
      </c>
    </row>
    <row r="160" spans="1:15" x14ac:dyDescent="0.2">
      <c r="A160" s="112"/>
      <c r="B160" s="113" t="s">
        <v>348</v>
      </c>
      <c r="C160" s="109"/>
      <c r="D160" s="108">
        <v>49575200.899999999</v>
      </c>
      <c r="F160" s="105"/>
      <c r="L160" s="112"/>
      <c r="M160" s="113" t="s">
        <v>348</v>
      </c>
      <c r="N160" s="109"/>
      <c r="O160" s="108">
        <v>45546767.5</v>
      </c>
    </row>
    <row r="161" spans="1:15" x14ac:dyDescent="0.2">
      <c r="A161" s="110"/>
      <c r="B161" s="107">
        <v>6290</v>
      </c>
      <c r="C161" s="109"/>
      <c r="D161" s="108">
        <v>8300</v>
      </c>
      <c r="F161" s="105"/>
      <c r="L161" s="106"/>
      <c r="M161" s="107">
        <v>7200</v>
      </c>
      <c r="N161" s="108">
        <v>329830449.95999998</v>
      </c>
      <c r="O161" s="109"/>
    </row>
    <row r="162" spans="1:15" x14ac:dyDescent="0.2">
      <c r="A162" s="112"/>
      <c r="B162" s="113" t="s">
        <v>349</v>
      </c>
      <c r="C162" s="109"/>
      <c r="D162" s="108">
        <v>8300</v>
      </c>
      <c r="F162" s="105"/>
      <c r="L162" s="110"/>
      <c r="M162" s="107">
        <v>7210</v>
      </c>
      <c r="N162" s="108">
        <v>297853619.87</v>
      </c>
      <c r="O162" s="109"/>
    </row>
    <row r="163" spans="1:15" x14ac:dyDescent="0.2">
      <c r="A163" s="106"/>
      <c r="B163" s="107">
        <v>7200</v>
      </c>
      <c r="C163" s="108">
        <v>540602949.86000001</v>
      </c>
      <c r="D163" s="109"/>
      <c r="E163" s="107"/>
      <c r="F163" s="108"/>
      <c r="L163" s="110"/>
      <c r="M163" s="107">
        <v>7220</v>
      </c>
      <c r="N163" s="108">
        <v>31976830.09</v>
      </c>
      <c r="O163" s="109"/>
    </row>
    <row r="164" spans="1:15" x14ac:dyDescent="0.2">
      <c r="A164" s="110"/>
      <c r="B164" s="107">
        <v>7210</v>
      </c>
      <c r="C164" s="108">
        <v>498622023.38999999</v>
      </c>
      <c r="D164" s="109"/>
      <c r="E164" s="107"/>
      <c r="F164" s="108"/>
      <c r="L164" s="112"/>
      <c r="M164" s="113" t="s">
        <v>350</v>
      </c>
      <c r="N164" s="108">
        <v>29582447.73</v>
      </c>
      <c r="O164" s="109"/>
    </row>
    <row r="165" spans="1:15" x14ac:dyDescent="0.2">
      <c r="A165" s="110"/>
      <c r="B165" s="107">
        <v>7220</v>
      </c>
      <c r="C165" s="108">
        <v>41980926.469999999</v>
      </c>
      <c r="D165" s="109"/>
      <c r="E165" s="107"/>
      <c r="F165" s="108"/>
      <c r="L165" s="112"/>
      <c r="M165" s="113" t="s">
        <v>351</v>
      </c>
      <c r="N165" s="108">
        <v>12855</v>
      </c>
      <c r="O165" s="109"/>
    </row>
    <row r="166" spans="1:15" x14ac:dyDescent="0.2">
      <c r="A166" s="112"/>
      <c r="B166" s="113" t="s">
        <v>350</v>
      </c>
      <c r="C166" s="108">
        <v>39803562.390000001</v>
      </c>
      <c r="D166" s="109"/>
      <c r="E166" s="113"/>
      <c r="F166" s="108"/>
      <c r="L166" s="112"/>
      <c r="M166" s="113" t="s">
        <v>352</v>
      </c>
      <c r="N166" s="108">
        <v>2361937.36</v>
      </c>
      <c r="O166" s="109"/>
    </row>
    <row r="167" spans="1:15" x14ac:dyDescent="0.2">
      <c r="A167" s="112"/>
      <c r="B167" s="113" t="s">
        <v>351</v>
      </c>
      <c r="C167" s="108">
        <v>12855</v>
      </c>
      <c r="D167" s="109"/>
      <c r="E167" s="113"/>
      <c r="F167" s="108"/>
      <c r="L167" s="112"/>
      <c r="M167" s="113" t="s">
        <v>353</v>
      </c>
      <c r="N167" s="108">
        <v>19590</v>
      </c>
      <c r="O167" s="109"/>
    </row>
    <row r="168" spans="1:15" x14ac:dyDescent="0.2">
      <c r="A168" s="112"/>
      <c r="B168" s="113" t="s">
        <v>352</v>
      </c>
      <c r="C168" s="108">
        <v>2153262.58</v>
      </c>
      <c r="D168" s="109"/>
      <c r="E168" s="113"/>
      <c r="F168" s="108"/>
      <c r="L168" s="106"/>
      <c r="M168" s="107">
        <v>7300</v>
      </c>
      <c r="N168" s="108">
        <v>292738880.61000001</v>
      </c>
      <c r="O168" s="109"/>
    </row>
    <row r="169" spans="1:15" x14ac:dyDescent="0.2">
      <c r="A169" s="112"/>
      <c r="B169" s="113" t="s">
        <v>353</v>
      </c>
      <c r="C169" s="108">
        <v>11246.5</v>
      </c>
      <c r="D169" s="109"/>
      <c r="E169" s="113"/>
      <c r="F169" s="108"/>
      <c r="L169" s="110"/>
      <c r="M169" s="107">
        <v>7310</v>
      </c>
      <c r="N169" s="108">
        <v>292738880.61000001</v>
      </c>
      <c r="O169" s="109"/>
    </row>
    <row r="170" spans="1:15" x14ac:dyDescent="0.2">
      <c r="A170" s="106"/>
      <c r="B170" s="107">
        <v>7300</v>
      </c>
      <c r="C170" s="108">
        <v>405835866.60000002</v>
      </c>
      <c r="D170" s="109"/>
      <c r="E170" s="107"/>
      <c r="F170" s="108"/>
      <c r="L170" s="112"/>
      <c r="M170" s="113" t="s">
        <v>354</v>
      </c>
      <c r="N170" s="108">
        <v>85685950.739999995</v>
      </c>
      <c r="O170" s="109"/>
    </row>
    <row r="171" spans="1:15" x14ac:dyDescent="0.2">
      <c r="A171" s="110"/>
      <c r="B171" s="107">
        <v>7310</v>
      </c>
      <c r="C171" s="108">
        <v>405830939.33999997</v>
      </c>
      <c r="D171" s="109"/>
      <c r="E171" s="107"/>
      <c r="F171" s="108"/>
      <c r="L171" s="112"/>
      <c r="M171" s="113" t="s">
        <v>355</v>
      </c>
      <c r="N171" s="108">
        <v>1093034.9099999999</v>
      </c>
      <c r="O171" s="109"/>
    </row>
    <row r="172" spans="1:15" x14ac:dyDescent="0.2">
      <c r="A172" s="112"/>
      <c r="B172" s="113" t="s">
        <v>354</v>
      </c>
      <c r="C172" s="108">
        <v>40466808.659999996</v>
      </c>
      <c r="D172" s="109"/>
      <c r="E172" s="113"/>
      <c r="F172" s="108"/>
      <c r="L172" s="112"/>
      <c r="M172" s="113" t="s">
        <v>356</v>
      </c>
      <c r="N172" s="108">
        <v>205959894.96000001</v>
      </c>
      <c r="O172" s="109"/>
    </row>
    <row r="173" spans="1:15" x14ac:dyDescent="0.2">
      <c r="A173" s="112"/>
      <c r="B173" s="113" t="s">
        <v>356</v>
      </c>
      <c r="C173" s="108">
        <v>365364130.68000001</v>
      </c>
      <c r="D173" s="109"/>
      <c r="E173" s="113"/>
      <c r="F173" s="108"/>
      <c r="L173" s="106"/>
      <c r="M173" s="107">
        <v>7400</v>
      </c>
      <c r="N173" s="108">
        <v>2470761372.5500002</v>
      </c>
      <c r="O173" s="109"/>
    </row>
    <row r="174" spans="1:15" x14ac:dyDescent="0.2">
      <c r="A174" s="110"/>
      <c r="B174" s="107">
        <v>7340</v>
      </c>
      <c r="C174" s="108">
        <v>4927.26</v>
      </c>
      <c r="D174" s="109"/>
      <c r="E174" s="107"/>
      <c r="F174" s="108"/>
      <c r="L174" s="110"/>
      <c r="M174" s="107">
        <v>7430</v>
      </c>
      <c r="N174" s="108">
        <v>375193549.35000002</v>
      </c>
      <c r="O174" s="109"/>
    </row>
    <row r="175" spans="1:15" x14ac:dyDescent="0.2">
      <c r="A175" s="106"/>
      <c r="B175" s="107">
        <v>7400</v>
      </c>
      <c r="C175" s="108">
        <v>12765263227.530001</v>
      </c>
      <c r="D175" s="109"/>
      <c r="E175" s="107"/>
      <c r="F175" s="108"/>
      <c r="L175" s="112"/>
      <c r="M175" s="113" t="s">
        <v>357</v>
      </c>
      <c r="N175" s="108">
        <v>231841301.69</v>
      </c>
      <c r="O175" s="109"/>
    </row>
    <row r="176" spans="1:15" x14ac:dyDescent="0.2">
      <c r="A176" s="110"/>
      <c r="B176" s="107">
        <v>7430</v>
      </c>
      <c r="C176" s="108">
        <v>11517035397.459999</v>
      </c>
      <c r="D176" s="109"/>
      <c r="E176" s="107"/>
      <c r="F176" s="108"/>
      <c r="L176" s="112"/>
      <c r="M176" s="113" t="s">
        <v>358</v>
      </c>
      <c r="N176" s="108">
        <v>143352247.66</v>
      </c>
      <c r="O176" s="109"/>
    </row>
    <row r="177" spans="1:15" x14ac:dyDescent="0.2">
      <c r="A177" s="112"/>
      <c r="B177" s="113" t="s">
        <v>357</v>
      </c>
      <c r="C177" s="108">
        <v>11480149692.17</v>
      </c>
      <c r="D177" s="109"/>
      <c r="E177" s="113"/>
      <c r="F177" s="108"/>
      <c r="L177" s="110"/>
      <c r="M177" s="107">
        <v>7440</v>
      </c>
      <c r="N177" s="108">
        <v>657535491.95000005</v>
      </c>
      <c r="O177" s="109"/>
    </row>
    <row r="178" spans="1:15" x14ac:dyDescent="0.2">
      <c r="A178" s="112"/>
      <c r="B178" s="113" t="s">
        <v>358</v>
      </c>
      <c r="C178" s="108">
        <v>36885705.289999999</v>
      </c>
      <c r="D178" s="109"/>
      <c r="E178" s="113"/>
      <c r="F178" s="108"/>
      <c r="L178" s="112"/>
      <c r="M178" s="113" t="s">
        <v>359</v>
      </c>
      <c r="N178" s="108">
        <v>657378538.95000005</v>
      </c>
      <c r="O178" s="109"/>
    </row>
    <row r="179" spans="1:15" x14ac:dyDescent="0.2">
      <c r="A179" s="110"/>
      <c r="B179" s="107">
        <v>7440</v>
      </c>
      <c r="C179" s="108">
        <v>431248698.70999998</v>
      </c>
      <c r="D179" s="109"/>
      <c r="E179" s="107"/>
      <c r="F179" s="108"/>
      <c r="L179" s="112"/>
      <c r="M179" s="113" t="s">
        <v>360</v>
      </c>
      <c r="N179" s="108">
        <v>156953</v>
      </c>
      <c r="O179" s="109"/>
    </row>
    <row r="180" spans="1:15" x14ac:dyDescent="0.2">
      <c r="A180" s="112"/>
      <c r="B180" s="113" t="s">
        <v>359</v>
      </c>
      <c r="C180" s="108">
        <v>430829860.70999998</v>
      </c>
      <c r="D180" s="109"/>
      <c r="E180" s="113"/>
      <c r="F180" s="108"/>
      <c r="L180" s="110"/>
      <c r="M180" s="107">
        <v>7470</v>
      </c>
      <c r="N180" s="108">
        <v>1438032331.2499998</v>
      </c>
      <c r="O180" s="109"/>
    </row>
    <row r="181" spans="1:15" x14ac:dyDescent="0.2">
      <c r="A181" s="110"/>
      <c r="B181" s="113" t="s">
        <v>360</v>
      </c>
      <c r="C181" s="108">
        <v>418838</v>
      </c>
      <c r="D181" s="109"/>
      <c r="E181" s="113"/>
      <c r="F181" s="108"/>
      <c r="L181" s="112"/>
      <c r="M181" s="113" t="s">
        <v>361</v>
      </c>
      <c r="N181" s="108">
        <v>358017364.51999998</v>
      </c>
      <c r="O181" s="109"/>
    </row>
    <row r="182" spans="1:15" x14ac:dyDescent="0.2">
      <c r="A182" s="112"/>
      <c r="B182" s="107">
        <v>7470</v>
      </c>
      <c r="C182" s="108">
        <v>816908851.36000001</v>
      </c>
      <c r="D182" s="109"/>
      <c r="E182" s="107"/>
      <c r="F182" s="108"/>
      <c r="L182" s="112"/>
      <c r="M182" s="113" t="s">
        <v>362</v>
      </c>
      <c r="N182" s="108">
        <v>10447193.369999999</v>
      </c>
      <c r="O182" s="109"/>
    </row>
    <row r="183" spans="1:15" x14ac:dyDescent="0.2">
      <c r="A183" s="112"/>
      <c r="B183" s="113" t="s">
        <v>361</v>
      </c>
      <c r="C183" s="108">
        <v>279470691.83999997</v>
      </c>
      <c r="D183" s="109"/>
      <c r="E183" s="113"/>
      <c r="F183" s="108"/>
      <c r="L183" s="112"/>
      <c r="M183" s="113" t="s">
        <v>363</v>
      </c>
      <c r="N183" s="108">
        <v>503796014.72000003</v>
      </c>
      <c r="O183" s="109"/>
    </row>
    <row r="184" spans="1:15" x14ac:dyDescent="0.2">
      <c r="A184" s="112"/>
      <c r="B184" s="113" t="s">
        <v>363</v>
      </c>
      <c r="C184" s="108">
        <v>385123923.79000002</v>
      </c>
      <c r="D184" s="109"/>
      <c r="E184" s="113"/>
      <c r="F184" s="108"/>
      <c r="L184" s="112"/>
      <c r="M184" s="113" t="s">
        <v>364</v>
      </c>
      <c r="N184" s="108">
        <v>35418284.039999999</v>
      </c>
      <c r="O184" s="109"/>
    </row>
    <row r="185" spans="1:15" x14ac:dyDescent="0.2">
      <c r="A185" s="112"/>
      <c r="B185" s="113" t="s">
        <v>364</v>
      </c>
      <c r="C185" s="108">
        <v>84280358.879999995</v>
      </c>
      <c r="D185" s="109"/>
      <c r="E185" s="113"/>
      <c r="F185" s="108"/>
      <c r="L185" s="112"/>
      <c r="M185" s="113" t="s">
        <v>365</v>
      </c>
      <c r="N185" s="108">
        <v>4058088.48</v>
      </c>
      <c r="O185" s="109"/>
    </row>
    <row r="186" spans="1:15" x14ac:dyDescent="0.2">
      <c r="A186" s="112"/>
      <c r="B186" s="113" t="s">
        <v>365</v>
      </c>
      <c r="C186" s="108">
        <v>2375405.2000000002</v>
      </c>
      <c r="D186" s="109"/>
      <c r="E186" s="113"/>
      <c r="F186" s="108"/>
      <c r="L186" s="112"/>
      <c r="M186" s="113" t="s">
        <v>366</v>
      </c>
      <c r="N186" s="108">
        <v>330336.39</v>
      </c>
      <c r="O186" s="109"/>
    </row>
    <row r="187" spans="1:15" x14ac:dyDescent="0.2">
      <c r="A187" s="112"/>
      <c r="B187" s="113" t="s">
        <v>366</v>
      </c>
      <c r="C187" s="108">
        <v>323340.98</v>
      </c>
      <c r="D187" s="109"/>
      <c r="E187" s="113"/>
      <c r="F187" s="108"/>
      <c r="L187" s="112"/>
      <c r="M187" s="113" t="s">
        <v>367</v>
      </c>
      <c r="N187" s="108">
        <v>2958600.81</v>
      </c>
      <c r="O187" s="109"/>
    </row>
    <row r="188" spans="1:15" x14ac:dyDescent="0.2">
      <c r="A188" s="112"/>
      <c r="B188" s="113" t="s">
        <v>367</v>
      </c>
      <c r="C188" s="108">
        <v>272477.8</v>
      </c>
      <c r="D188" s="109"/>
      <c r="E188" s="113"/>
      <c r="F188" s="108"/>
      <c r="L188" s="112"/>
      <c r="M188" s="113"/>
      <c r="N188" s="108"/>
      <c r="O188" s="109"/>
    </row>
    <row r="189" spans="1:15" x14ac:dyDescent="0.2">
      <c r="A189" s="112"/>
      <c r="B189" s="113" t="s">
        <v>368</v>
      </c>
      <c r="C189" s="108">
        <v>16961012.260000002</v>
      </c>
      <c r="D189" s="109"/>
      <c r="E189" s="113"/>
      <c r="F189" s="108"/>
      <c r="L189" s="112"/>
      <c r="M189" s="113" t="s">
        <v>368</v>
      </c>
      <c r="N189" s="108">
        <v>57537809.810000002</v>
      </c>
      <c r="O189" s="109"/>
    </row>
    <row r="190" spans="1:15" x14ac:dyDescent="0.2">
      <c r="A190" s="112"/>
      <c r="B190" s="113" t="s">
        <v>369</v>
      </c>
      <c r="C190" s="108">
        <v>47261300.630000003</v>
      </c>
      <c r="D190" s="109"/>
      <c r="E190" s="113"/>
      <c r="F190" s="108"/>
      <c r="L190" s="112"/>
      <c r="M190" s="113" t="s">
        <v>369</v>
      </c>
      <c r="N190" s="108">
        <v>452384981.63</v>
      </c>
      <c r="O190" s="109"/>
    </row>
    <row r="191" spans="1:15" x14ac:dyDescent="0.2">
      <c r="A191" s="110"/>
      <c r="B191" s="113" t="s">
        <v>370</v>
      </c>
      <c r="C191" s="108">
        <v>840339.98</v>
      </c>
      <c r="D191" s="109"/>
      <c r="E191" s="113"/>
      <c r="F191" s="108"/>
      <c r="L191" s="112"/>
      <c r="M191" s="113" t="s">
        <v>370</v>
      </c>
      <c r="N191" s="108">
        <v>859668</v>
      </c>
      <c r="O191" s="109"/>
    </row>
    <row r="192" spans="1:15" x14ac:dyDescent="0.2">
      <c r="A192" s="112"/>
      <c r="B192" s="107">
        <v>7480</v>
      </c>
      <c r="C192" s="108">
        <v>70280</v>
      </c>
      <c r="D192" s="109"/>
      <c r="E192" s="107"/>
      <c r="F192" s="108"/>
      <c r="L192" s="112"/>
      <c r="M192" s="113" t="s">
        <v>371</v>
      </c>
      <c r="N192" s="108">
        <v>12223989.48</v>
      </c>
      <c r="O192" s="109"/>
    </row>
    <row r="193" spans="1:15" x14ac:dyDescent="0.2">
      <c r="A193" s="106"/>
      <c r="B193" s="113" t="s">
        <v>372</v>
      </c>
      <c r="C193" s="108">
        <v>70280</v>
      </c>
      <c r="D193" s="109"/>
      <c r="E193" s="113"/>
      <c r="F193" s="108"/>
      <c r="L193" s="110"/>
      <c r="M193" s="107">
        <v>7710</v>
      </c>
      <c r="N193" s="108">
        <v>85349203.75</v>
      </c>
      <c r="O193" s="109"/>
    </row>
    <row r="194" spans="1:15" x14ac:dyDescent="0.2">
      <c r="A194" s="110"/>
      <c r="B194" s="107">
        <v>7700</v>
      </c>
      <c r="C194" s="108">
        <v>198536099.56999999</v>
      </c>
      <c r="D194" s="109"/>
      <c r="E194" s="107"/>
      <c r="F194" s="108"/>
      <c r="L194" s="114"/>
      <c r="M194" s="103" t="s">
        <v>373</v>
      </c>
      <c r="N194" s="115">
        <v>2378498791.1999998</v>
      </c>
      <c r="O194" s="115">
        <v>2378498791.1999998</v>
      </c>
    </row>
    <row r="195" spans="1:15" ht="24" x14ac:dyDescent="0.2">
      <c r="A195" s="114"/>
      <c r="B195" s="107">
        <v>7710</v>
      </c>
      <c r="C195" s="108">
        <v>198536099.56999999</v>
      </c>
      <c r="D195" s="109"/>
      <c r="E195" s="107"/>
      <c r="F195" s="108"/>
      <c r="L195" s="114"/>
      <c r="M195" s="103" t="s">
        <v>374</v>
      </c>
      <c r="N195" s="104"/>
      <c r="O195" s="104"/>
    </row>
    <row r="196" spans="1:15" x14ac:dyDescent="0.2">
      <c r="A196" s="114"/>
      <c r="B196" s="103" t="s">
        <v>373</v>
      </c>
      <c r="C196" s="115">
        <v>14884667174.26</v>
      </c>
      <c r="D196" s="115">
        <v>14884667174.26</v>
      </c>
    </row>
    <row r="197" spans="1:15" ht="24" x14ac:dyDescent="0.2">
      <c r="B197" s="103" t="s">
        <v>374</v>
      </c>
      <c r="C197" s="104"/>
      <c r="D197" s="104"/>
    </row>
  </sheetData>
  <mergeCells count="6">
    <mergeCell ref="E1:F1"/>
    <mergeCell ref="A3:F3"/>
    <mergeCell ref="A4:F4"/>
    <mergeCell ref="A5:F5"/>
    <mergeCell ref="A6:F6"/>
    <mergeCell ref="A117:F117"/>
  </mergeCells>
  <pageMargins left="0.39370078740157483" right="0.19685039370078741" top="0.51181102362204722" bottom="0.43307086614173229" header="0.39370078740157483" footer="0.35433070866141736"/>
  <pageSetup paperSize="9" scale="74" fitToHeight="0" orientation="portrait" r:id="rId1"/>
  <headerFooter alignWithMargins="0">
    <oddFooter>&amp;CСтраница №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Ф1</vt:lpstr>
      <vt:lpstr>Ф2</vt:lpstr>
      <vt:lpstr>Ф1!Область_печати</vt:lpstr>
      <vt:lpstr>Ф2!Область_печати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Ismailova Gulnara</dc:creator>
  <cp:lastModifiedBy>Ismailova Gulnara</cp:lastModifiedBy>
  <dcterms:created xsi:type="dcterms:W3CDTF">2016-07-11T11:16:40Z</dcterms:created>
  <dcterms:modified xsi:type="dcterms:W3CDTF">2016-07-11T11:17:41Z</dcterms:modified>
</cp:coreProperties>
</file>