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/>
  <mc:AlternateContent xmlns:mc="http://schemas.openxmlformats.org/markup-compatibility/2006">
    <mc:Choice Requires="x15">
      <x15ac:absPath xmlns:x15ac="http://schemas.microsoft.com/office/spreadsheetml/2010/11/ac" url="Y:\GBO\03_УО\Валихан\KASE\2023\Январь\"/>
    </mc:Choice>
  </mc:AlternateContent>
  <xr:revisionPtr revIDLastSave="0" documentId="13_ncr:1_{55671E2F-B986-4BC8-8158-4C47D508B87F}" xr6:coauthVersionLast="36" xr6:coauthVersionMax="47" xr10:uidLastSave="{00000000-0000-0000-0000-000000000000}"/>
  <bookViews>
    <workbookView xWindow="0" yWindow="0" windowWidth="17970" windowHeight="6975" xr2:uid="{00000000-000D-0000-FFFF-FFFF00000000}"/>
  </bookViews>
  <sheets>
    <sheet name="700_ND " sheetId="1" r:id="rId1"/>
  </sheets>
  <definedNames>
    <definedName name="_xlnm._FilterDatabase" localSheetId="0" hidden="1">'700_ND '!$A$6:$F$817</definedName>
  </definedNames>
  <calcPr calcId="191029"/>
</workbook>
</file>

<file path=xl/calcChain.xml><?xml version="1.0" encoding="utf-8"?>
<calcChain xmlns="http://schemas.openxmlformats.org/spreadsheetml/2006/main">
  <c r="E792" i="1" l="1"/>
  <c r="D792" i="1"/>
  <c r="C792" i="1"/>
  <c r="B792" i="1"/>
  <c r="A792" i="1"/>
  <c r="E791" i="1"/>
  <c r="D791" i="1"/>
  <c r="C791" i="1"/>
  <c r="B791" i="1"/>
  <c r="A791" i="1"/>
  <c r="E790" i="1"/>
  <c r="D790" i="1"/>
  <c r="C790" i="1"/>
  <c r="B790" i="1"/>
  <c r="A790" i="1"/>
  <c r="E789" i="1"/>
  <c r="D789" i="1"/>
  <c r="C789" i="1"/>
  <c r="B789" i="1"/>
  <c r="A789" i="1"/>
  <c r="E788" i="1"/>
  <c r="D788" i="1"/>
  <c r="C788" i="1"/>
  <c r="B788" i="1"/>
  <c r="A788" i="1"/>
  <c r="E787" i="1"/>
  <c r="D787" i="1"/>
  <c r="C787" i="1"/>
  <c r="B787" i="1"/>
  <c r="A787" i="1"/>
  <c r="E786" i="1"/>
  <c r="D786" i="1"/>
  <c r="C786" i="1"/>
  <c r="B786" i="1"/>
  <c r="A786" i="1"/>
  <c r="E785" i="1"/>
  <c r="D785" i="1"/>
  <c r="C785" i="1"/>
  <c r="B785" i="1"/>
  <c r="A785" i="1"/>
  <c r="E784" i="1"/>
  <c r="D784" i="1"/>
  <c r="C784" i="1"/>
  <c r="B784" i="1"/>
  <c r="A784" i="1"/>
  <c r="E783" i="1"/>
  <c r="D783" i="1"/>
  <c r="C783" i="1"/>
  <c r="B783" i="1"/>
  <c r="A783" i="1"/>
  <c r="E782" i="1"/>
  <c r="D782" i="1"/>
  <c r="C782" i="1"/>
  <c r="B782" i="1"/>
  <c r="A782" i="1"/>
  <c r="E781" i="1"/>
  <c r="D781" i="1"/>
  <c r="C781" i="1"/>
  <c r="B781" i="1"/>
  <c r="A781" i="1"/>
  <c r="E780" i="1"/>
  <c r="D780" i="1"/>
  <c r="C780" i="1"/>
  <c r="B780" i="1"/>
  <c r="A780" i="1"/>
  <c r="E779" i="1"/>
  <c r="D779" i="1"/>
  <c r="C779" i="1"/>
  <c r="B779" i="1"/>
  <c r="A779" i="1"/>
  <c r="E778" i="1"/>
  <c r="D778" i="1"/>
  <c r="C778" i="1"/>
  <c r="B778" i="1"/>
  <c r="A778" i="1"/>
  <c r="E777" i="1"/>
  <c r="D777" i="1"/>
  <c r="C777" i="1"/>
  <c r="B777" i="1"/>
  <c r="A777" i="1"/>
  <c r="E776" i="1"/>
  <c r="D776" i="1"/>
  <c r="C776" i="1"/>
  <c r="B776" i="1"/>
  <c r="A776" i="1"/>
  <c r="E775" i="1"/>
  <c r="D775" i="1"/>
  <c r="C775" i="1"/>
  <c r="B775" i="1"/>
  <c r="A775" i="1"/>
  <c r="E774" i="1"/>
  <c r="D774" i="1"/>
  <c r="C774" i="1"/>
  <c r="B774" i="1"/>
  <c r="A774" i="1"/>
  <c r="E773" i="1"/>
  <c r="D773" i="1"/>
  <c r="C773" i="1"/>
  <c r="B773" i="1"/>
  <c r="A773" i="1"/>
  <c r="E772" i="1"/>
  <c r="D772" i="1"/>
  <c r="C772" i="1"/>
  <c r="B772" i="1"/>
  <c r="A772" i="1"/>
  <c r="E771" i="1"/>
  <c r="D771" i="1"/>
  <c r="C771" i="1"/>
  <c r="B771" i="1"/>
  <c r="A771" i="1"/>
  <c r="E770" i="1"/>
  <c r="D770" i="1"/>
  <c r="C770" i="1"/>
  <c r="B770" i="1"/>
  <c r="A770" i="1"/>
  <c r="E769" i="1"/>
  <c r="D769" i="1"/>
  <c r="C769" i="1"/>
  <c r="B769" i="1"/>
  <c r="A769" i="1"/>
  <c r="E768" i="1"/>
  <c r="D768" i="1"/>
  <c r="C768" i="1"/>
  <c r="B768" i="1"/>
  <c r="A768" i="1"/>
  <c r="E767" i="1"/>
  <c r="D767" i="1"/>
  <c r="C767" i="1"/>
  <c r="B767" i="1"/>
  <c r="A767" i="1"/>
  <c r="E766" i="1"/>
  <c r="D766" i="1"/>
  <c r="C766" i="1"/>
  <c r="B766" i="1"/>
  <c r="A766" i="1"/>
  <c r="E765" i="1"/>
  <c r="D765" i="1"/>
  <c r="C765" i="1"/>
  <c r="B765" i="1"/>
  <c r="A765" i="1"/>
  <c r="E764" i="1"/>
  <c r="D764" i="1"/>
  <c r="C764" i="1"/>
  <c r="B764" i="1"/>
  <c r="A764" i="1"/>
  <c r="E763" i="1"/>
  <c r="D763" i="1"/>
  <c r="C763" i="1"/>
  <c r="B763" i="1"/>
  <c r="A763" i="1"/>
  <c r="E762" i="1"/>
  <c r="D762" i="1"/>
  <c r="C762" i="1"/>
  <c r="B762" i="1"/>
  <c r="A762" i="1"/>
  <c r="E761" i="1"/>
  <c r="D761" i="1"/>
  <c r="C761" i="1"/>
  <c r="B761" i="1"/>
  <c r="A761" i="1"/>
  <c r="E760" i="1"/>
  <c r="D760" i="1"/>
  <c r="C760" i="1"/>
  <c r="B760" i="1"/>
  <c r="A760" i="1"/>
  <c r="E759" i="1"/>
  <c r="D759" i="1"/>
  <c r="C759" i="1"/>
  <c r="B759" i="1"/>
  <c r="A759" i="1"/>
  <c r="E758" i="1"/>
  <c r="D758" i="1"/>
  <c r="C758" i="1"/>
  <c r="B758" i="1"/>
  <c r="A758" i="1"/>
  <c r="E757" i="1"/>
  <c r="D757" i="1"/>
  <c r="C757" i="1"/>
  <c r="B757" i="1"/>
  <c r="A757" i="1"/>
  <c r="E756" i="1"/>
  <c r="D756" i="1"/>
  <c r="C756" i="1"/>
  <c r="B756" i="1"/>
  <c r="A756" i="1"/>
  <c r="E755" i="1"/>
  <c r="D755" i="1"/>
  <c r="C755" i="1"/>
  <c r="B755" i="1"/>
  <c r="A755" i="1"/>
  <c r="E754" i="1"/>
  <c r="D754" i="1"/>
  <c r="C754" i="1"/>
  <c r="B754" i="1"/>
  <c r="A754" i="1"/>
  <c r="E753" i="1"/>
  <c r="D753" i="1"/>
  <c r="C753" i="1"/>
  <c r="B753" i="1"/>
  <c r="A753" i="1"/>
  <c r="E752" i="1"/>
  <c r="D752" i="1"/>
  <c r="C752" i="1"/>
  <c r="B752" i="1"/>
  <c r="A752" i="1"/>
  <c r="E751" i="1"/>
  <c r="D751" i="1"/>
  <c r="C751" i="1"/>
  <c r="B751" i="1"/>
  <c r="A751" i="1"/>
  <c r="E750" i="1"/>
  <c r="D750" i="1"/>
  <c r="C750" i="1"/>
  <c r="B750" i="1"/>
  <c r="A750" i="1"/>
  <c r="E749" i="1"/>
  <c r="D749" i="1"/>
  <c r="C749" i="1"/>
  <c r="B749" i="1"/>
  <c r="A749" i="1"/>
  <c r="E748" i="1"/>
  <c r="D748" i="1"/>
  <c r="C748" i="1"/>
  <c r="B748" i="1"/>
  <c r="A748" i="1"/>
  <c r="E747" i="1"/>
  <c r="D747" i="1"/>
  <c r="C747" i="1"/>
  <c r="B747" i="1"/>
  <c r="A747" i="1"/>
  <c r="E746" i="1"/>
  <c r="D746" i="1"/>
  <c r="C746" i="1"/>
  <c r="B746" i="1"/>
  <c r="A746" i="1"/>
  <c r="E745" i="1"/>
  <c r="D745" i="1"/>
  <c r="C745" i="1"/>
  <c r="B745" i="1"/>
  <c r="A745" i="1"/>
  <c r="E744" i="1"/>
  <c r="D744" i="1"/>
  <c r="C744" i="1"/>
  <c r="B744" i="1"/>
  <c r="A744" i="1"/>
  <c r="E743" i="1"/>
  <c r="D743" i="1"/>
  <c r="C743" i="1"/>
  <c r="B743" i="1"/>
  <c r="A743" i="1"/>
  <c r="E742" i="1"/>
  <c r="D742" i="1"/>
  <c r="C742" i="1"/>
  <c r="B742" i="1"/>
  <c r="A742" i="1"/>
  <c r="E741" i="1"/>
  <c r="D741" i="1"/>
  <c r="C741" i="1"/>
  <c r="B741" i="1"/>
  <c r="A741" i="1"/>
  <c r="E740" i="1"/>
  <c r="D740" i="1"/>
  <c r="C740" i="1"/>
  <c r="B740" i="1"/>
  <c r="A740" i="1"/>
  <c r="E739" i="1"/>
  <c r="D739" i="1"/>
  <c r="C739" i="1"/>
  <c r="B739" i="1"/>
  <c r="A739" i="1"/>
  <c r="E738" i="1"/>
  <c r="D738" i="1"/>
  <c r="C738" i="1"/>
  <c r="B738" i="1"/>
  <c r="A738" i="1"/>
  <c r="E737" i="1"/>
  <c r="D737" i="1"/>
  <c r="C737" i="1"/>
  <c r="B737" i="1"/>
  <c r="A737" i="1"/>
  <c r="E736" i="1"/>
  <c r="D736" i="1"/>
  <c r="C736" i="1"/>
  <c r="B736" i="1"/>
  <c r="A736" i="1"/>
  <c r="E735" i="1"/>
  <c r="D735" i="1"/>
  <c r="C735" i="1"/>
  <c r="B735" i="1"/>
  <c r="A735" i="1"/>
  <c r="E734" i="1"/>
  <c r="D734" i="1"/>
  <c r="C734" i="1"/>
  <c r="B734" i="1"/>
  <c r="A734" i="1"/>
  <c r="E733" i="1"/>
  <c r="D733" i="1"/>
  <c r="C733" i="1"/>
  <c r="B733" i="1"/>
  <c r="A733" i="1"/>
  <c r="E732" i="1"/>
  <c r="D732" i="1"/>
  <c r="C732" i="1"/>
  <c r="B732" i="1"/>
  <c r="A732" i="1"/>
  <c r="E731" i="1"/>
  <c r="D731" i="1"/>
  <c r="C731" i="1"/>
  <c r="B731" i="1"/>
  <c r="A731" i="1"/>
  <c r="E730" i="1"/>
  <c r="D730" i="1"/>
  <c r="C730" i="1"/>
  <c r="B730" i="1"/>
  <c r="A730" i="1"/>
  <c r="E729" i="1"/>
  <c r="D729" i="1"/>
  <c r="C729" i="1"/>
  <c r="B729" i="1"/>
  <c r="A729" i="1"/>
  <c r="E728" i="1"/>
  <c r="D728" i="1"/>
  <c r="C728" i="1"/>
  <c r="B728" i="1"/>
  <c r="A728" i="1"/>
  <c r="E727" i="1"/>
  <c r="D727" i="1"/>
  <c r="C727" i="1"/>
  <c r="B727" i="1"/>
  <c r="A727" i="1"/>
  <c r="E726" i="1"/>
  <c r="D726" i="1"/>
  <c r="C726" i="1"/>
  <c r="B726" i="1"/>
  <c r="A726" i="1"/>
  <c r="E725" i="1"/>
  <c r="D725" i="1"/>
  <c r="C725" i="1"/>
  <c r="B725" i="1"/>
  <c r="A725" i="1"/>
  <c r="E724" i="1"/>
  <c r="D724" i="1"/>
  <c r="C724" i="1"/>
  <c r="B724" i="1"/>
  <c r="A724" i="1"/>
  <c r="E723" i="1"/>
  <c r="D723" i="1"/>
  <c r="C723" i="1"/>
  <c r="B723" i="1"/>
  <c r="A723" i="1"/>
  <c r="E722" i="1"/>
  <c r="D722" i="1"/>
  <c r="C722" i="1"/>
  <c r="B722" i="1"/>
  <c r="A722" i="1"/>
  <c r="E721" i="1"/>
  <c r="D721" i="1"/>
  <c r="C721" i="1"/>
  <c r="B721" i="1"/>
  <c r="A721" i="1"/>
  <c r="E720" i="1"/>
  <c r="D720" i="1"/>
  <c r="C720" i="1"/>
  <c r="B720" i="1"/>
  <c r="A720" i="1"/>
  <c r="E719" i="1"/>
  <c r="D719" i="1"/>
  <c r="C719" i="1"/>
  <c r="B719" i="1"/>
  <c r="A719" i="1"/>
  <c r="E718" i="1"/>
  <c r="D718" i="1"/>
  <c r="C718" i="1"/>
  <c r="B718" i="1"/>
  <c r="A718" i="1"/>
  <c r="E717" i="1"/>
  <c r="D717" i="1"/>
  <c r="C717" i="1"/>
  <c r="B717" i="1"/>
  <c r="A717" i="1"/>
  <c r="E716" i="1"/>
  <c r="D716" i="1"/>
  <c r="C716" i="1"/>
  <c r="B716" i="1"/>
  <c r="A716" i="1"/>
  <c r="E715" i="1"/>
  <c r="D715" i="1"/>
  <c r="C715" i="1"/>
  <c r="B715" i="1"/>
  <c r="A715" i="1"/>
  <c r="E714" i="1"/>
  <c r="D714" i="1"/>
  <c r="C714" i="1"/>
  <c r="B714" i="1"/>
  <c r="A714" i="1"/>
  <c r="E713" i="1"/>
  <c r="D713" i="1"/>
  <c r="C713" i="1"/>
  <c r="B713" i="1"/>
  <c r="A713" i="1"/>
  <c r="E712" i="1"/>
  <c r="D712" i="1"/>
  <c r="C712" i="1"/>
  <c r="B712" i="1"/>
  <c r="A712" i="1"/>
  <c r="E711" i="1"/>
  <c r="D711" i="1"/>
  <c r="C711" i="1"/>
  <c r="B711" i="1"/>
  <c r="A711" i="1"/>
  <c r="E710" i="1"/>
  <c r="D710" i="1"/>
  <c r="C710" i="1"/>
  <c r="B710" i="1"/>
  <c r="A710" i="1"/>
  <c r="E709" i="1"/>
  <c r="D709" i="1"/>
  <c r="C709" i="1"/>
  <c r="B709" i="1"/>
  <c r="A709" i="1"/>
  <c r="E708" i="1"/>
  <c r="D708" i="1"/>
  <c r="C708" i="1"/>
  <c r="B708" i="1"/>
  <c r="A708" i="1"/>
  <c r="E707" i="1"/>
  <c r="D707" i="1"/>
  <c r="C707" i="1"/>
  <c r="B707" i="1"/>
  <c r="A707" i="1"/>
  <c r="E706" i="1"/>
  <c r="D706" i="1"/>
  <c r="C706" i="1"/>
  <c r="B706" i="1"/>
  <c r="A706" i="1"/>
  <c r="E705" i="1"/>
  <c r="D705" i="1"/>
  <c r="C705" i="1"/>
  <c r="B705" i="1"/>
  <c r="A705" i="1"/>
  <c r="E704" i="1"/>
  <c r="D704" i="1"/>
  <c r="C704" i="1"/>
  <c r="B704" i="1"/>
  <c r="A704" i="1"/>
  <c r="E703" i="1"/>
  <c r="D703" i="1"/>
  <c r="C703" i="1"/>
  <c r="B703" i="1"/>
  <c r="A703" i="1"/>
  <c r="E702" i="1"/>
  <c r="D702" i="1"/>
  <c r="C702" i="1"/>
  <c r="B702" i="1"/>
  <c r="A702" i="1"/>
  <c r="E701" i="1"/>
  <c r="D701" i="1"/>
  <c r="C701" i="1"/>
  <c r="B701" i="1"/>
  <c r="A701" i="1"/>
  <c r="E700" i="1"/>
  <c r="D700" i="1"/>
  <c r="C700" i="1"/>
  <c r="B700" i="1"/>
  <c r="A700" i="1"/>
  <c r="E699" i="1"/>
  <c r="D699" i="1"/>
  <c r="C699" i="1"/>
  <c r="B699" i="1"/>
  <c r="A699" i="1"/>
  <c r="E698" i="1"/>
  <c r="D698" i="1"/>
  <c r="C698" i="1"/>
  <c r="B698" i="1"/>
  <c r="A698" i="1"/>
  <c r="E697" i="1"/>
  <c r="D697" i="1"/>
  <c r="C697" i="1"/>
  <c r="B697" i="1"/>
  <c r="A697" i="1"/>
  <c r="E696" i="1"/>
  <c r="D696" i="1"/>
  <c r="C696" i="1"/>
  <c r="B696" i="1"/>
  <c r="A696" i="1"/>
  <c r="E695" i="1"/>
  <c r="D695" i="1"/>
  <c r="C695" i="1"/>
  <c r="B695" i="1"/>
  <c r="A695" i="1"/>
  <c r="E694" i="1"/>
  <c r="D694" i="1"/>
  <c r="C694" i="1"/>
  <c r="B694" i="1"/>
  <c r="A694" i="1"/>
  <c r="E693" i="1"/>
  <c r="D693" i="1"/>
  <c r="C693" i="1"/>
  <c r="B693" i="1"/>
  <c r="A693" i="1"/>
  <c r="E692" i="1"/>
  <c r="D692" i="1"/>
  <c r="C692" i="1"/>
  <c r="B692" i="1"/>
  <c r="A692" i="1"/>
  <c r="E691" i="1"/>
  <c r="D691" i="1"/>
  <c r="C691" i="1"/>
  <c r="B691" i="1"/>
  <c r="A691" i="1"/>
  <c r="E690" i="1"/>
  <c r="D690" i="1"/>
  <c r="C690" i="1"/>
  <c r="B690" i="1"/>
  <c r="A690" i="1"/>
  <c r="E689" i="1"/>
  <c r="D689" i="1"/>
  <c r="C689" i="1"/>
  <c r="B689" i="1"/>
  <c r="A689" i="1"/>
  <c r="E688" i="1"/>
  <c r="D688" i="1"/>
  <c r="C688" i="1"/>
  <c r="B688" i="1"/>
  <c r="A688" i="1"/>
  <c r="E687" i="1"/>
  <c r="D687" i="1"/>
  <c r="C687" i="1"/>
  <c r="B687" i="1"/>
  <c r="A687" i="1"/>
  <c r="E686" i="1"/>
  <c r="D686" i="1"/>
  <c r="C686" i="1"/>
  <c r="B686" i="1"/>
  <c r="A686" i="1"/>
  <c r="E685" i="1"/>
  <c r="D685" i="1"/>
  <c r="C685" i="1"/>
  <c r="B685" i="1"/>
  <c r="A685" i="1"/>
  <c r="E684" i="1"/>
  <c r="D684" i="1"/>
  <c r="C684" i="1"/>
  <c r="B684" i="1"/>
  <c r="A684" i="1"/>
  <c r="E683" i="1"/>
  <c r="D683" i="1"/>
  <c r="C683" i="1"/>
  <c r="B683" i="1"/>
  <c r="A683" i="1"/>
  <c r="E682" i="1"/>
  <c r="D682" i="1"/>
  <c r="C682" i="1"/>
  <c r="B682" i="1"/>
  <c r="A682" i="1"/>
  <c r="E681" i="1"/>
  <c r="D681" i="1"/>
  <c r="C681" i="1"/>
  <c r="B681" i="1"/>
  <c r="A681" i="1"/>
  <c r="E680" i="1"/>
  <c r="D680" i="1"/>
  <c r="C680" i="1"/>
  <c r="B680" i="1"/>
  <c r="A680" i="1"/>
  <c r="E679" i="1"/>
  <c r="D679" i="1"/>
  <c r="C679" i="1"/>
  <c r="B679" i="1"/>
  <c r="A679" i="1"/>
  <c r="E678" i="1"/>
  <c r="D678" i="1"/>
  <c r="C678" i="1"/>
  <c r="B678" i="1"/>
  <c r="A678" i="1"/>
  <c r="E677" i="1"/>
  <c r="D677" i="1"/>
  <c r="C677" i="1"/>
  <c r="B677" i="1"/>
  <c r="A677" i="1"/>
  <c r="E676" i="1"/>
  <c r="D676" i="1"/>
  <c r="C676" i="1"/>
  <c r="B676" i="1"/>
  <c r="A676" i="1"/>
  <c r="E675" i="1"/>
  <c r="D675" i="1"/>
  <c r="C675" i="1"/>
  <c r="B675" i="1"/>
  <c r="A675" i="1"/>
  <c r="E674" i="1"/>
  <c r="D674" i="1"/>
  <c r="C674" i="1"/>
  <c r="B674" i="1"/>
  <c r="A674" i="1"/>
  <c r="E673" i="1"/>
  <c r="D673" i="1"/>
  <c r="C673" i="1"/>
  <c r="B673" i="1"/>
  <c r="A673" i="1"/>
  <c r="E672" i="1"/>
  <c r="D672" i="1"/>
  <c r="C672" i="1"/>
  <c r="B672" i="1"/>
  <c r="A672" i="1"/>
  <c r="E671" i="1"/>
  <c r="D671" i="1"/>
  <c r="C671" i="1"/>
  <c r="B671" i="1"/>
  <c r="A671" i="1"/>
  <c r="E670" i="1"/>
  <c r="D670" i="1"/>
  <c r="C670" i="1"/>
  <c r="B670" i="1"/>
  <c r="A670" i="1"/>
  <c r="E669" i="1"/>
  <c r="D669" i="1"/>
  <c r="C669" i="1"/>
  <c r="B669" i="1"/>
  <c r="A669" i="1"/>
  <c r="E668" i="1"/>
  <c r="D668" i="1"/>
  <c r="C668" i="1"/>
  <c r="B668" i="1"/>
  <c r="A668" i="1"/>
  <c r="E667" i="1"/>
  <c r="D667" i="1"/>
  <c r="C667" i="1"/>
  <c r="B667" i="1"/>
  <c r="A667" i="1"/>
  <c r="E666" i="1"/>
  <c r="D666" i="1"/>
  <c r="C666" i="1"/>
  <c r="B666" i="1"/>
  <c r="A666" i="1"/>
  <c r="E665" i="1"/>
  <c r="D665" i="1"/>
  <c r="C665" i="1"/>
  <c r="B665" i="1"/>
  <c r="A665" i="1"/>
  <c r="E664" i="1"/>
  <c r="D664" i="1"/>
  <c r="C664" i="1"/>
  <c r="B664" i="1"/>
  <c r="A664" i="1"/>
  <c r="E663" i="1"/>
  <c r="D663" i="1"/>
  <c r="C663" i="1"/>
  <c r="B663" i="1"/>
  <c r="A663" i="1"/>
  <c r="E662" i="1"/>
  <c r="D662" i="1"/>
  <c r="C662" i="1"/>
  <c r="B662" i="1"/>
  <c r="A662" i="1"/>
  <c r="E661" i="1"/>
  <c r="D661" i="1"/>
  <c r="C661" i="1"/>
  <c r="B661" i="1"/>
  <c r="A661" i="1"/>
  <c r="E660" i="1"/>
  <c r="D660" i="1"/>
  <c r="C660" i="1"/>
  <c r="B660" i="1"/>
  <c r="A660" i="1"/>
  <c r="E659" i="1"/>
  <c r="D659" i="1"/>
  <c r="C659" i="1"/>
  <c r="B659" i="1"/>
  <c r="A659" i="1"/>
  <c r="E658" i="1"/>
  <c r="D658" i="1"/>
  <c r="C658" i="1"/>
  <c r="B658" i="1"/>
  <c r="A658" i="1"/>
  <c r="E657" i="1"/>
  <c r="D657" i="1"/>
  <c r="C657" i="1"/>
  <c r="B657" i="1"/>
  <c r="A657" i="1"/>
  <c r="E656" i="1"/>
  <c r="D656" i="1"/>
  <c r="C656" i="1"/>
  <c r="B656" i="1"/>
  <c r="A656" i="1"/>
  <c r="E655" i="1"/>
  <c r="D655" i="1"/>
  <c r="C655" i="1"/>
  <c r="B655" i="1"/>
  <c r="A655" i="1"/>
  <c r="E654" i="1"/>
  <c r="D654" i="1"/>
  <c r="C654" i="1"/>
  <c r="B654" i="1"/>
  <c r="A654" i="1"/>
  <c r="E653" i="1"/>
  <c r="D653" i="1"/>
  <c r="C653" i="1"/>
  <c r="B653" i="1"/>
  <c r="A653" i="1"/>
  <c r="E652" i="1"/>
  <c r="D652" i="1"/>
  <c r="C652" i="1"/>
  <c r="B652" i="1"/>
  <c r="A652" i="1"/>
  <c r="E651" i="1"/>
  <c r="D651" i="1"/>
  <c r="C651" i="1"/>
  <c r="B651" i="1"/>
  <c r="A651" i="1"/>
  <c r="E650" i="1"/>
  <c r="D650" i="1"/>
  <c r="C650" i="1"/>
  <c r="B650" i="1"/>
  <c r="A650" i="1"/>
  <c r="E649" i="1"/>
  <c r="D649" i="1"/>
  <c r="C649" i="1"/>
  <c r="B649" i="1"/>
  <c r="A649" i="1"/>
  <c r="E648" i="1"/>
  <c r="D648" i="1"/>
  <c r="C648" i="1"/>
  <c r="B648" i="1"/>
  <c r="A648" i="1"/>
  <c r="E647" i="1"/>
  <c r="D647" i="1"/>
  <c r="C647" i="1"/>
  <c r="B647" i="1"/>
  <c r="A647" i="1"/>
  <c r="E646" i="1"/>
  <c r="D646" i="1"/>
  <c r="C646" i="1"/>
  <c r="B646" i="1"/>
  <c r="A646" i="1"/>
  <c r="E645" i="1"/>
  <c r="D645" i="1"/>
  <c r="C645" i="1"/>
  <c r="B645" i="1"/>
  <c r="A645" i="1"/>
  <c r="E644" i="1"/>
  <c r="D644" i="1"/>
  <c r="C644" i="1"/>
  <c r="B644" i="1"/>
  <c r="A644" i="1"/>
  <c r="E643" i="1"/>
  <c r="D643" i="1"/>
  <c r="C643" i="1"/>
  <c r="B643" i="1"/>
  <c r="A643" i="1"/>
  <c r="E642" i="1"/>
  <c r="D642" i="1"/>
  <c r="C642" i="1"/>
  <c r="B642" i="1"/>
  <c r="A642" i="1"/>
  <c r="E641" i="1"/>
  <c r="D641" i="1"/>
  <c r="C641" i="1"/>
  <c r="B641" i="1"/>
  <c r="A641" i="1"/>
  <c r="E640" i="1"/>
  <c r="D640" i="1"/>
  <c r="C640" i="1"/>
  <c r="B640" i="1"/>
  <c r="A640" i="1"/>
  <c r="E639" i="1"/>
  <c r="D639" i="1"/>
  <c r="C639" i="1"/>
  <c r="B639" i="1"/>
  <c r="A639" i="1"/>
  <c r="E638" i="1"/>
  <c r="D638" i="1"/>
  <c r="C638" i="1"/>
  <c r="B638" i="1"/>
  <c r="A638" i="1"/>
  <c r="E637" i="1"/>
  <c r="D637" i="1"/>
  <c r="C637" i="1"/>
  <c r="B637" i="1"/>
  <c r="A637" i="1"/>
  <c r="E636" i="1"/>
  <c r="D636" i="1"/>
  <c r="C636" i="1"/>
  <c r="B636" i="1"/>
  <c r="A636" i="1"/>
  <c r="E635" i="1"/>
  <c r="D635" i="1"/>
  <c r="C635" i="1"/>
  <c r="B635" i="1"/>
  <c r="A635" i="1"/>
  <c r="E634" i="1"/>
  <c r="D634" i="1"/>
  <c r="C634" i="1"/>
  <c r="B634" i="1"/>
  <c r="A634" i="1"/>
  <c r="E633" i="1"/>
  <c r="D633" i="1"/>
  <c r="C633" i="1"/>
  <c r="B633" i="1"/>
  <c r="A633" i="1"/>
  <c r="E632" i="1"/>
  <c r="D632" i="1"/>
  <c r="C632" i="1"/>
  <c r="B632" i="1"/>
  <c r="A632" i="1"/>
  <c r="E631" i="1"/>
  <c r="D631" i="1"/>
  <c r="C631" i="1"/>
  <c r="B631" i="1"/>
  <c r="A631" i="1"/>
  <c r="E630" i="1"/>
  <c r="D630" i="1"/>
  <c r="C630" i="1"/>
  <c r="B630" i="1"/>
  <c r="A630" i="1"/>
  <c r="E629" i="1"/>
  <c r="D629" i="1"/>
  <c r="C629" i="1"/>
  <c r="B629" i="1"/>
  <c r="A629" i="1"/>
  <c r="E628" i="1"/>
  <c r="D628" i="1"/>
  <c r="C628" i="1"/>
  <c r="B628" i="1"/>
  <c r="A628" i="1"/>
  <c r="E627" i="1"/>
  <c r="D627" i="1"/>
  <c r="C627" i="1"/>
  <c r="B627" i="1"/>
  <c r="A627" i="1"/>
  <c r="E626" i="1"/>
  <c r="D626" i="1"/>
  <c r="C626" i="1"/>
  <c r="B626" i="1"/>
  <c r="A626" i="1"/>
  <c r="E625" i="1"/>
  <c r="D625" i="1"/>
  <c r="C625" i="1"/>
  <c r="B625" i="1"/>
  <c r="A625" i="1"/>
  <c r="E624" i="1"/>
  <c r="D624" i="1"/>
  <c r="C624" i="1"/>
  <c r="B624" i="1"/>
  <c r="A624" i="1"/>
  <c r="E623" i="1"/>
  <c r="D623" i="1"/>
  <c r="C623" i="1"/>
  <c r="B623" i="1"/>
  <c r="A623" i="1"/>
  <c r="E622" i="1"/>
  <c r="D622" i="1"/>
  <c r="C622" i="1"/>
  <c r="B622" i="1"/>
  <c r="A622" i="1"/>
  <c r="E621" i="1"/>
  <c r="D621" i="1"/>
  <c r="C621" i="1"/>
  <c r="B621" i="1"/>
  <c r="A621" i="1"/>
  <c r="E620" i="1"/>
  <c r="D620" i="1"/>
  <c r="C620" i="1"/>
  <c r="B620" i="1"/>
  <c r="A620" i="1"/>
  <c r="E619" i="1"/>
  <c r="D619" i="1"/>
  <c r="C619" i="1"/>
  <c r="B619" i="1"/>
  <c r="A619" i="1"/>
  <c r="E618" i="1"/>
  <c r="D618" i="1"/>
  <c r="C618" i="1"/>
  <c r="B618" i="1"/>
  <c r="A618" i="1"/>
  <c r="E617" i="1"/>
  <c r="D617" i="1"/>
  <c r="C617" i="1"/>
  <c r="B617" i="1"/>
  <c r="A617" i="1"/>
  <c r="E616" i="1"/>
  <c r="D616" i="1"/>
  <c r="C616" i="1"/>
  <c r="B616" i="1"/>
  <c r="A616" i="1"/>
  <c r="E615" i="1"/>
  <c r="D615" i="1"/>
  <c r="C615" i="1"/>
  <c r="B615" i="1"/>
  <c r="A615" i="1"/>
  <c r="E614" i="1"/>
  <c r="D614" i="1"/>
  <c r="C614" i="1"/>
  <c r="B614" i="1"/>
  <c r="A614" i="1"/>
  <c r="E613" i="1"/>
  <c r="D613" i="1"/>
  <c r="C613" i="1"/>
  <c r="B613" i="1"/>
  <c r="A613" i="1"/>
  <c r="E612" i="1"/>
  <c r="D612" i="1"/>
  <c r="C612" i="1"/>
  <c r="B612" i="1"/>
  <c r="A612" i="1"/>
  <c r="E611" i="1"/>
  <c r="D611" i="1"/>
  <c r="C611" i="1"/>
  <c r="B611" i="1"/>
  <c r="A611" i="1"/>
  <c r="E610" i="1"/>
  <c r="D610" i="1"/>
  <c r="C610" i="1"/>
  <c r="B610" i="1"/>
  <c r="A610" i="1"/>
  <c r="E609" i="1"/>
  <c r="D609" i="1"/>
  <c r="C609" i="1"/>
  <c r="B609" i="1"/>
  <c r="A609" i="1"/>
  <c r="E608" i="1"/>
  <c r="D608" i="1"/>
  <c r="C608" i="1"/>
  <c r="B608" i="1"/>
  <c r="A608" i="1"/>
  <c r="E607" i="1"/>
  <c r="D607" i="1"/>
  <c r="C607" i="1"/>
  <c r="B607" i="1"/>
  <c r="A607" i="1"/>
  <c r="E606" i="1"/>
  <c r="D606" i="1"/>
  <c r="C606" i="1"/>
  <c r="B606" i="1"/>
  <c r="A606" i="1"/>
  <c r="E605" i="1"/>
  <c r="D605" i="1"/>
  <c r="C605" i="1"/>
  <c r="B605" i="1"/>
  <c r="A605" i="1"/>
  <c r="E604" i="1"/>
  <c r="D604" i="1"/>
  <c r="C604" i="1"/>
  <c r="B604" i="1"/>
  <c r="A604" i="1"/>
  <c r="E603" i="1"/>
  <c r="D603" i="1"/>
  <c r="C603" i="1"/>
  <c r="B603" i="1"/>
  <c r="A603" i="1"/>
  <c r="E602" i="1"/>
  <c r="D602" i="1"/>
  <c r="C602" i="1"/>
  <c r="B602" i="1"/>
  <c r="A602" i="1"/>
  <c r="E601" i="1"/>
  <c r="D601" i="1"/>
  <c r="C601" i="1"/>
  <c r="B601" i="1"/>
  <c r="A601" i="1"/>
  <c r="E600" i="1"/>
  <c r="D600" i="1"/>
  <c r="C600" i="1"/>
  <c r="B600" i="1"/>
  <c r="A600" i="1"/>
  <c r="E599" i="1"/>
  <c r="D599" i="1"/>
  <c r="C599" i="1"/>
  <c r="B599" i="1"/>
  <c r="A599" i="1"/>
  <c r="E598" i="1"/>
  <c r="D598" i="1"/>
  <c r="C598" i="1"/>
  <c r="B598" i="1"/>
  <c r="A598" i="1"/>
  <c r="E597" i="1"/>
  <c r="D597" i="1"/>
  <c r="C597" i="1"/>
  <c r="B597" i="1"/>
  <c r="A597" i="1"/>
  <c r="E596" i="1"/>
  <c r="D596" i="1"/>
  <c r="C596" i="1"/>
  <c r="B596" i="1"/>
  <c r="A596" i="1"/>
  <c r="E595" i="1"/>
  <c r="D595" i="1"/>
  <c r="C595" i="1"/>
  <c r="B595" i="1"/>
  <c r="A595" i="1"/>
  <c r="E594" i="1"/>
  <c r="D594" i="1"/>
  <c r="C594" i="1"/>
  <c r="B594" i="1"/>
  <c r="A594" i="1"/>
  <c r="E593" i="1"/>
  <c r="D593" i="1"/>
  <c r="C593" i="1"/>
  <c r="B593" i="1"/>
  <c r="A593" i="1"/>
  <c r="E592" i="1"/>
  <c r="D592" i="1"/>
  <c r="C592" i="1"/>
  <c r="B592" i="1"/>
  <c r="A592" i="1"/>
  <c r="E591" i="1"/>
  <c r="D591" i="1"/>
  <c r="C591" i="1"/>
  <c r="B591" i="1"/>
  <c r="A591" i="1"/>
  <c r="E590" i="1"/>
  <c r="D590" i="1"/>
  <c r="C590" i="1"/>
  <c r="B590" i="1"/>
  <c r="A590" i="1"/>
  <c r="E589" i="1"/>
  <c r="D589" i="1"/>
  <c r="C589" i="1"/>
  <c r="B589" i="1"/>
  <c r="A589" i="1"/>
  <c r="E588" i="1"/>
  <c r="D588" i="1"/>
  <c r="C588" i="1"/>
  <c r="B588" i="1"/>
  <c r="A588" i="1"/>
  <c r="E587" i="1"/>
  <c r="D587" i="1"/>
  <c r="C587" i="1"/>
  <c r="B587" i="1"/>
  <c r="A587" i="1"/>
  <c r="E586" i="1"/>
  <c r="D586" i="1"/>
  <c r="C586" i="1"/>
  <c r="B586" i="1"/>
  <c r="A586" i="1"/>
  <c r="E585" i="1"/>
  <c r="D585" i="1"/>
  <c r="C585" i="1"/>
  <c r="B585" i="1"/>
  <c r="A585" i="1"/>
  <c r="E584" i="1"/>
  <c r="D584" i="1"/>
  <c r="C584" i="1"/>
  <c r="B584" i="1"/>
  <c r="A584" i="1"/>
  <c r="E583" i="1"/>
  <c r="D583" i="1"/>
  <c r="C583" i="1"/>
  <c r="B583" i="1"/>
  <c r="A583" i="1"/>
  <c r="E582" i="1"/>
  <c r="D582" i="1"/>
  <c r="C582" i="1"/>
  <c r="B582" i="1"/>
  <c r="A582" i="1"/>
  <c r="E581" i="1"/>
  <c r="D581" i="1"/>
  <c r="C581" i="1"/>
  <c r="B581" i="1"/>
  <c r="A581" i="1"/>
  <c r="E580" i="1"/>
  <c r="D580" i="1"/>
  <c r="C580" i="1"/>
  <c r="B580" i="1"/>
  <c r="A580" i="1"/>
  <c r="E579" i="1"/>
  <c r="D579" i="1"/>
  <c r="C579" i="1"/>
  <c r="B579" i="1"/>
  <c r="A579" i="1"/>
  <c r="E578" i="1"/>
  <c r="D578" i="1"/>
  <c r="C578" i="1"/>
  <c r="B578" i="1"/>
  <c r="A578" i="1"/>
  <c r="E577" i="1"/>
  <c r="D577" i="1"/>
  <c r="C577" i="1"/>
  <c r="B577" i="1"/>
  <c r="A577" i="1"/>
  <c r="E576" i="1"/>
  <c r="D576" i="1"/>
  <c r="C576" i="1"/>
  <c r="B576" i="1"/>
  <c r="A576" i="1"/>
  <c r="E575" i="1"/>
  <c r="D575" i="1"/>
  <c r="C575" i="1"/>
  <c r="B575" i="1"/>
  <c r="A575" i="1"/>
  <c r="E574" i="1"/>
  <c r="D574" i="1"/>
  <c r="C574" i="1"/>
  <c r="B574" i="1"/>
  <c r="A574" i="1"/>
  <c r="E573" i="1"/>
  <c r="D573" i="1"/>
  <c r="C573" i="1"/>
  <c r="B573" i="1"/>
  <c r="A573" i="1"/>
  <c r="E572" i="1"/>
  <c r="D572" i="1"/>
  <c r="C572" i="1"/>
  <c r="B572" i="1"/>
  <c r="A572" i="1"/>
  <c r="E571" i="1"/>
  <c r="D571" i="1"/>
  <c r="C571" i="1"/>
  <c r="B571" i="1"/>
  <c r="A571" i="1"/>
  <c r="E570" i="1"/>
  <c r="D570" i="1"/>
  <c r="C570" i="1"/>
  <c r="B570" i="1"/>
  <c r="A570" i="1"/>
  <c r="E569" i="1"/>
  <c r="D569" i="1"/>
  <c r="C569" i="1"/>
  <c r="B569" i="1"/>
  <c r="A569" i="1"/>
  <c r="E568" i="1"/>
  <c r="D568" i="1"/>
  <c r="C568" i="1"/>
  <c r="B568" i="1"/>
  <c r="A568" i="1"/>
  <c r="E567" i="1"/>
  <c r="D567" i="1"/>
  <c r="C567" i="1"/>
  <c r="B567" i="1"/>
  <c r="A567" i="1"/>
  <c r="E566" i="1"/>
  <c r="D566" i="1"/>
  <c r="C566" i="1"/>
  <c r="B566" i="1"/>
  <c r="A566" i="1"/>
  <c r="E565" i="1"/>
  <c r="D565" i="1"/>
  <c r="C565" i="1"/>
  <c r="B565" i="1"/>
  <c r="A565" i="1"/>
  <c r="E564" i="1"/>
  <c r="D564" i="1"/>
  <c r="C564" i="1"/>
  <c r="B564" i="1"/>
  <c r="A564" i="1"/>
  <c r="E563" i="1"/>
  <c r="D563" i="1"/>
  <c r="C563" i="1"/>
  <c r="B563" i="1"/>
  <c r="A563" i="1"/>
  <c r="E562" i="1"/>
  <c r="D562" i="1"/>
  <c r="C562" i="1"/>
  <c r="B562" i="1"/>
  <c r="A562" i="1"/>
  <c r="E561" i="1"/>
  <c r="D561" i="1"/>
  <c r="C561" i="1"/>
  <c r="B561" i="1"/>
  <c r="A561" i="1"/>
  <c r="E560" i="1"/>
  <c r="D560" i="1"/>
  <c r="C560" i="1"/>
  <c r="B560" i="1"/>
  <c r="A560" i="1"/>
  <c r="E559" i="1"/>
  <c r="D559" i="1"/>
  <c r="C559" i="1"/>
  <c r="B559" i="1"/>
  <c r="A559" i="1"/>
  <c r="E558" i="1"/>
  <c r="D558" i="1"/>
  <c r="C558" i="1"/>
  <c r="B558" i="1"/>
  <c r="A558" i="1"/>
  <c r="E557" i="1"/>
  <c r="D557" i="1"/>
  <c r="C557" i="1"/>
  <c r="B557" i="1"/>
  <c r="A557" i="1"/>
  <c r="E556" i="1"/>
  <c r="D556" i="1"/>
  <c r="C556" i="1"/>
  <c r="B556" i="1"/>
  <c r="A556" i="1"/>
  <c r="E555" i="1"/>
  <c r="D555" i="1"/>
  <c r="C555" i="1"/>
  <c r="B555" i="1"/>
  <c r="A555" i="1"/>
  <c r="E554" i="1"/>
  <c r="D554" i="1"/>
  <c r="C554" i="1"/>
  <c r="B554" i="1"/>
  <c r="A554" i="1"/>
  <c r="E553" i="1"/>
  <c r="D553" i="1"/>
  <c r="C553" i="1"/>
  <c r="B553" i="1"/>
  <c r="A553" i="1"/>
  <c r="E552" i="1"/>
  <c r="D552" i="1"/>
  <c r="C552" i="1"/>
  <c r="B552" i="1"/>
  <c r="A552" i="1"/>
  <c r="E551" i="1"/>
  <c r="D551" i="1"/>
  <c r="C551" i="1"/>
  <c r="B551" i="1"/>
  <c r="A551" i="1"/>
  <c r="E550" i="1"/>
  <c r="D550" i="1"/>
  <c r="C550" i="1"/>
  <c r="B550" i="1"/>
  <c r="A550" i="1"/>
  <c r="E549" i="1"/>
  <c r="D549" i="1"/>
  <c r="C549" i="1"/>
  <c r="B549" i="1"/>
  <c r="A549" i="1"/>
  <c r="E548" i="1"/>
  <c r="D548" i="1"/>
  <c r="C548" i="1"/>
  <c r="B548" i="1"/>
  <c r="A548" i="1"/>
  <c r="E547" i="1"/>
  <c r="D547" i="1"/>
  <c r="C547" i="1"/>
  <c r="B547" i="1"/>
  <c r="A547" i="1"/>
  <c r="E546" i="1"/>
  <c r="D546" i="1"/>
  <c r="C546" i="1"/>
  <c r="B546" i="1"/>
  <c r="A546" i="1"/>
  <c r="E545" i="1"/>
  <c r="D545" i="1"/>
  <c r="C545" i="1"/>
  <c r="B545" i="1"/>
  <c r="A545" i="1"/>
  <c r="E544" i="1"/>
  <c r="D544" i="1"/>
  <c r="C544" i="1"/>
  <c r="B544" i="1"/>
  <c r="A544" i="1"/>
  <c r="E543" i="1"/>
  <c r="D543" i="1"/>
  <c r="C543" i="1"/>
  <c r="B543" i="1"/>
  <c r="A543" i="1"/>
  <c r="E542" i="1"/>
  <c r="D542" i="1"/>
  <c r="C542" i="1"/>
  <c r="B542" i="1"/>
  <c r="A542" i="1"/>
  <c r="E541" i="1"/>
  <c r="D541" i="1"/>
  <c r="C541" i="1"/>
  <c r="B541" i="1"/>
  <c r="A541" i="1"/>
  <c r="E540" i="1"/>
  <c r="D540" i="1"/>
  <c r="C540" i="1"/>
  <c r="B540" i="1"/>
  <c r="A540" i="1"/>
  <c r="E539" i="1"/>
  <c r="D539" i="1"/>
  <c r="C539" i="1"/>
  <c r="B539" i="1"/>
  <c r="A539" i="1"/>
  <c r="E538" i="1"/>
  <c r="D538" i="1"/>
  <c r="C538" i="1"/>
  <c r="B538" i="1"/>
  <c r="A538" i="1"/>
  <c r="E537" i="1"/>
  <c r="D537" i="1"/>
  <c r="C537" i="1"/>
  <c r="B537" i="1"/>
  <c r="A537" i="1"/>
  <c r="E536" i="1"/>
  <c r="D536" i="1"/>
  <c r="C536" i="1"/>
  <c r="B536" i="1"/>
  <c r="A536" i="1"/>
  <c r="E535" i="1"/>
  <c r="D535" i="1"/>
  <c r="C535" i="1"/>
  <c r="B535" i="1"/>
  <c r="A535" i="1"/>
  <c r="E534" i="1"/>
  <c r="D534" i="1"/>
  <c r="C534" i="1"/>
  <c r="B534" i="1"/>
  <c r="A534" i="1"/>
  <c r="E533" i="1"/>
  <c r="D533" i="1"/>
  <c r="C533" i="1"/>
  <c r="B533" i="1"/>
  <c r="A533" i="1"/>
  <c r="E532" i="1"/>
  <c r="D532" i="1"/>
  <c r="C532" i="1"/>
  <c r="B532" i="1"/>
  <c r="A532" i="1"/>
  <c r="E531" i="1"/>
  <c r="D531" i="1"/>
  <c r="C531" i="1"/>
  <c r="B531" i="1"/>
  <c r="A531" i="1"/>
  <c r="E530" i="1"/>
  <c r="D530" i="1"/>
  <c r="C530" i="1"/>
  <c r="B530" i="1"/>
  <c r="A530" i="1"/>
  <c r="E529" i="1"/>
  <c r="D529" i="1"/>
  <c r="C529" i="1"/>
  <c r="B529" i="1"/>
  <c r="A529" i="1"/>
  <c r="E528" i="1"/>
  <c r="D528" i="1"/>
  <c r="C528" i="1"/>
  <c r="B528" i="1"/>
  <c r="A528" i="1"/>
  <c r="E527" i="1"/>
  <c r="D527" i="1"/>
  <c r="C527" i="1"/>
  <c r="B527" i="1"/>
  <c r="A527" i="1"/>
  <c r="E526" i="1"/>
  <c r="D526" i="1"/>
  <c r="C526" i="1"/>
  <c r="B526" i="1"/>
  <c r="A526" i="1"/>
  <c r="E525" i="1"/>
  <c r="D525" i="1"/>
  <c r="C525" i="1"/>
  <c r="B525" i="1"/>
  <c r="A525" i="1"/>
  <c r="E524" i="1"/>
  <c r="D524" i="1"/>
  <c r="C524" i="1"/>
  <c r="B524" i="1"/>
  <c r="A524" i="1"/>
  <c r="E523" i="1"/>
  <c r="D523" i="1"/>
  <c r="C523" i="1"/>
  <c r="B523" i="1"/>
  <c r="A523" i="1"/>
  <c r="E522" i="1"/>
  <c r="D522" i="1"/>
  <c r="C522" i="1"/>
  <c r="B522" i="1"/>
  <c r="A522" i="1"/>
  <c r="E521" i="1"/>
  <c r="D521" i="1"/>
  <c r="C521" i="1"/>
  <c r="B521" i="1"/>
  <c r="A521" i="1"/>
  <c r="E520" i="1"/>
  <c r="D520" i="1"/>
  <c r="C520" i="1"/>
  <c r="B520" i="1"/>
  <c r="A520" i="1"/>
  <c r="E519" i="1"/>
  <c r="D519" i="1"/>
  <c r="C519" i="1"/>
  <c r="B519" i="1"/>
  <c r="A519" i="1"/>
  <c r="E518" i="1"/>
  <c r="D518" i="1"/>
  <c r="C518" i="1"/>
  <c r="B518" i="1"/>
  <c r="A518" i="1"/>
  <c r="E517" i="1"/>
  <c r="D517" i="1"/>
  <c r="C517" i="1"/>
  <c r="B517" i="1"/>
  <c r="A517" i="1"/>
  <c r="E516" i="1"/>
  <c r="D516" i="1"/>
  <c r="C516" i="1"/>
  <c r="B516" i="1"/>
  <c r="A516" i="1"/>
  <c r="E515" i="1"/>
  <c r="D515" i="1"/>
  <c r="C515" i="1"/>
  <c r="B515" i="1"/>
  <c r="A515" i="1"/>
  <c r="E514" i="1"/>
  <c r="D514" i="1"/>
  <c r="C514" i="1"/>
  <c r="B514" i="1"/>
  <c r="A514" i="1"/>
  <c r="E513" i="1"/>
  <c r="D513" i="1"/>
  <c r="C513" i="1"/>
  <c r="B513" i="1"/>
  <c r="A513" i="1"/>
  <c r="E512" i="1"/>
  <c r="D512" i="1"/>
  <c r="C512" i="1"/>
  <c r="B512" i="1"/>
  <c r="A512" i="1"/>
  <c r="E511" i="1"/>
  <c r="D511" i="1"/>
  <c r="C511" i="1"/>
  <c r="B511" i="1"/>
  <c r="A511" i="1"/>
  <c r="E510" i="1"/>
  <c r="D510" i="1"/>
  <c r="C510" i="1"/>
  <c r="B510" i="1"/>
  <c r="A510" i="1"/>
  <c r="E509" i="1"/>
  <c r="D509" i="1"/>
  <c r="C509" i="1"/>
  <c r="B509" i="1"/>
  <c r="A509" i="1"/>
  <c r="E508" i="1"/>
  <c r="D508" i="1"/>
  <c r="C508" i="1"/>
  <c r="B508" i="1"/>
  <c r="A508" i="1"/>
  <c r="E507" i="1"/>
  <c r="D507" i="1"/>
  <c r="C507" i="1"/>
  <c r="B507" i="1"/>
  <c r="A507" i="1"/>
  <c r="E506" i="1"/>
  <c r="D506" i="1"/>
  <c r="C506" i="1"/>
  <c r="B506" i="1"/>
  <c r="A506" i="1"/>
  <c r="E505" i="1"/>
  <c r="D505" i="1"/>
  <c r="C505" i="1"/>
  <c r="B505" i="1"/>
  <c r="A505" i="1"/>
  <c r="E504" i="1"/>
  <c r="D504" i="1"/>
  <c r="C504" i="1"/>
  <c r="B504" i="1"/>
  <c r="A504" i="1"/>
  <c r="E503" i="1"/>
  <c r="D503" i="1"/>
  <c r="C503" i="1"/>
  <c r="B503" i="1"/>
  <c r="A503" i="1"/>
  <c r="E502" i="1"/>
  <c r="D502" i="1"/>
  <c r="C502" i="1"/>
  <c r="B502" i="1"/>
  <c r="A502" i="1"/>
  <c r="E501" i="1"/>
  <c r="D501" i="1"/>
  <c r="C501" i="1"/>
  <c r="B501" i="1"/>
  <c r="A501" i="1"/>
  <c r="E500" i="1"/>
  <c r="D500" i="1"/>
  <c r="C500" i="1"/>
  <c r="B500" i="1"/>
  <c r="A500" i="1"/>
  <c r="E499" i="1"/>
  <c r="D499" i="1"/>
  <c r="C499" i="1"/>
  <c r="B499" i="1"/>
  <c r="A499" i="1"/>
  <c r="E498" i="1"/>
  <c r="D498" i="1"/>
  <c r="C498" i="1"/>
  <c r="B498" i="1"/>
  <c r="A498" i="1"/>
  <c r="E497" i="1"/>
  <c r="D497" i="1"/>
  <c r="C497" i="1"/>
  <c r="B497" i="1"/>
  <c r="A497" i="1"/>
  <c r="E496" i="1"/>
  <c r="D496" i="1"/>
  <c r="C496" i="1"/>
  <c r="B496" i="1"/>
  <c r="A496" i="1"/>
  <c r="E495" i="1"/>
  <c r="D495" i="1"/>
  <c r="C495" i="1"/>
  <c r="B495" i="1"/>
  <c r="A495" i="1"/>
  <c r="E494" i="1"/>
  <c r="D494" i="1"/>
  <c r="C494" i="1"/>
  <c r="B494" i="1"/>
  <c r="A494" i="1"/>
  <c r="E493" i="1"/>
  <c r="D493" i="1"/>
  <c r="C493" i="1"/>
  <c r="B493" i="1"/>
  <c r="A493" i="1"/>
  <c r="E492" i="1"/>
  <c r="D492" i="1"/>
  <c r="C492" i="1"/>
  <c r="B492" i="1"/>
  <c r="A492" i="1"/>
  <c r="E491" i="1"/>
  <c r="D491" i="1"/>
  <c r="C491" i="1"/>
  <c r="B491" i="1"/>
  <c r="A491" i="1"/>
  <c r="E490" i="1"/>
  <c r="D490" i="1"/>
  <c r="C490" i="1"/>
  <c r="B490" i="1"/>
  <c r="A490" i="1"/>
  <c r="E489" i="1"/>
  <c r="D489" i="1"/>
  <c r="C489" i="1"/>
  <c r="B489" i="1"/>
  <c r="A489" i="1"/>
  <c r="E488" i="1"/>
  <c r="D488" i="1"/>
  <c r="C488" i="1"/>
  <c r="B488" i="1"/>
  <c r="A488" i="1"/>
  <c r="E487" i="1"/>
  <c r="D487" i="1"/>
  <c r="C487" i="1"/>
  <c r="B487" i="1"/>
  <c r="A487" i="1"/>
  <c r="E486" i="1"/>
  <c r="D486" i="1"/>
  <c r="C486" i="1"/>
  <c r="B486" i="1"/>
  <c r="A486" i="1"/>
  <c r="E485" i="1"/>
  <c r="D485" i="1"/>
  <c r="C485" i="1"/>
  <c r="B485" i="1"/>
  <c r="A485" i="1"/>
  <c r="E484" i="1"/>
  <c r="D484" i="1"/>
  <c r="C484" i="1"/>
  <c r="B484" i="1"/>
  <c r="A484" i="1"/>
  <c r="E483" i="1"/>
  <c r="D483" i="1"/>
  <c r="C483" i="1"/>
  <c r="B483" i="1"/>
  <c r="A483" i="1"/>
  <c r="E482" i="1"/>
  <c r="D482" i="1"/>
  <c r="C482" i="1"/>
  <c r="B482" i="1"/>
  <c r="A482" i="1"/>
  <c r="E481" i="1"/>
  <c r="D481" i="1"/>
  <c r="C481" i="1"/>
  <c r="B481" i="1"/>
  <c r="A481" i="1"/>
  <c r="E480" i="1"/>
  <c r="D480" i="1"/>
  <c r="C480" i="1"/>
  <c r="B480" i="1"/>
  <c r="A480" i="1"/>
  <c r="E479" i="1"/>
  <c r="D479" i="1"/>
  <c r="C479" i="1"/>
  <c r="B479" i="1"/>
  <c r="A479" i="1"/>
  <c r="E478" i="1"/>
  <c r="D478" i="1"/>
  <c r="C478" i="1"/>
  <c r="B478" i="1"/>
  <c r="A478" i="1"/>
  <c r="E477" i="1"/>
  <c r="D477" i="1"/>
  <c r="C477" i="1"/>
  <c r="B477" i="1"/>
  <c r="A477" i="1"/>
  <c r="E476" i="1"/>
  <c r="D476" i="1"/>
  <c r="C476" i="1"/>
  <c r="B476" i="1"/>
  <c r="A476" i="1"/>
  <c r="E475" i="1"/>
  <c r="D475" i="1"/>
  <c r="C475" i="1"/>
  <c r="B475" i="1"/>
  <c r="A475" i="1"/>
  <c r="E474" i="1"/>
  <c r="D474" i="1"/>
  <c r="C474" i="1"/>
  <c r="B474" i="1"/>
  <c r="A474" i="1"/>
  <c r="E473" i="1"/>
  <c r="D473" i="1"/>
  <c r="C473" i="1"/>
  <c r="B473" i="1"/>
  <c r="A473" i="1"/>
  <c r="E472" i="1"/>
  <c r="D472" i="1"/>
  <c r="C472" i="1"/>
  <c r="B472" i="1"/>
  <c r="A472" i="1"/>
  <c r="E471" i="1"/>
  <c r="D471" i="1"/>
  <c r="C471" i="1"/>
  <c r="B471" i="1"/>
  <c r="A471" i="1"/>
  <c r="E470" i="1"/>
  <c r="D470" i="1"/>
  <c r="C470" i="1"/>
  <c r="B470" i="1"/>
  <c r="A470" i="1"/>
  <c r="E469" i="1"/>
  <c r="D469" i="1"/>
  <c r="C469" i="1"/>
  <c r="B469" i="1"/>
  <c r="A469" i="1"/>
  <c r="E468" i="1"/>
  <c r="D468" i="1"/>
  <c r="C468" i="1"/>
  <c r="B468" i="1"/>
  <c r="A468" i="1"/>
  <c r="E467" i="1"/>
  <c r="D467" i="1"/>
  <c r="C467" i="1"/>
  <c r="B467" i="1"/>
  <c r="A467" i="1"/>
  <c r="E466" i="1"/>
  <c r="D466" i="1"/>
  <c r="C466" i="1"/>
  <c r="B466" i="1"/>
  <c r="A466" i="1"/>
  <c r="E465" i="1"/>
  <c r="D465" i="1"/>
  <c r="C465" i="1"/>
  <c r="B465" i="1"/>
  <c r="A465" i="1"/>
  <c r="E464" i="1"/>
  <c r="D464" i="1"/>
  <c r="C464" i="1"/>
  <c r="B464" i="1"/>
  <c r="A464" i="1"/>
  <c r="E463" i="1"/>
  <c r="D463" i="1"/>
  <c r="C463" i="1"/>
  <c r="B463" i="1"/>
  <c r="A463" i="1"/>
  <c r="E462" i="1"/>
  <c r="D462" i="1"/>
  <c r="C462" i="1"/>
  <c r="B462" i="1"/>
  <c r="A462" i="1"/>
  <c r="E461" i="1"/>
  <c r="D461" i="1"/>
  <c r="C461" i="1"/>
  <c r="B461" i="1"/>
  <c r="A461" i="1"/>
  <c r="E460" i="1"/>
  <c r="D460" i="1"/>
  <c r="C460" i="1"/>
  <c r="B460" i="1"/>
  <c r="A460" i="1"/>
  <c r="E459" i="1"/>
  <c r="D459" i="1"/>
  <c r="C459" i="1"/>
  <c r="B459" i="1"/>
  <c r="A459" i="1"/>
  <c r="E458" i="1"/>
  <c r="D458" i="1"/>
  <c r="C458" i="1"/>
  <c r="B458" i="1"/>
  <c r="A458" i="1"/>
  <c r="E457" i="1"/>
  <c r="D457" i="1"/>
  <c r="C457" i="1"/>
  <c r="B457" i="1"/>
  <c r="A457" i="1"/>
  <c r="E456" i="1"/>
  <c r="D456" i="1"/>
  <c r="C456" i="1"/>
  <c r="B456" i="1"/>
  <c r="A456" i="1"/>
  <c r="E455" i="1"/>
  <c r="D455" i="1"/>
  <c r="C455" i="1"/>
  <c r="B455" i="1"/>
  <c r="A455" i="1"/>
  <c r="E454" i="1"/>
  <c r="D454" i="1"/>
  <c r="C454" i="1"/>
  <c r="B454" i="1"/>
  <c r="A454" i="1"/>
  <c r="E453" i="1"/>
  <c r="D453" i="1"/>
  <c r="C453" i="1"/>
  <c r="B453" i="1"/>
  <c r="A453" i="1"/>
  <c r="E452" i="1"/>
  <c r="D452" i="1"/>
  <c r="C452" i="1"/>
  <c r="B452" i="1"/>
  <c r="A452" i="1"/>
  <c r="E451" i="1"/>
  <c r="D451" i="1"/>
  <c r="C451" i="1"/>
  <c r="B451" i="1"/>
  <c r="A451" i="1"/>
  <c r="E450" i="1"/>
  <c r="D450" i="1"/>
  <c r="C450" i="1"/>
  <c r="B450" i="1"/>
  <c r="A450" i="1"/>
  <c r="E449" i="1"/>
  <c r="D449" i="1"/>
  <c r="C449" i="1"/>
  <c r="B449" i="1"/>
  <c r="A449" i="1"/>
  <c r="E448" i="1"/>
  <c r="D448" i="1"/>
  <c r="C448" i="1"/>
  <c r="B448" i="1"/>
  <c r="A448" i="1"/>
  <c r="E447" i="1"/>
  <c r="D447" i="1"/>
  <c r="C447" i="1"/>
  <c r="B447" i="1"/>
  <c r="A447" i="1"/>
  <c r="E446" i="1"/>
  <c r="D446" i="1"/>
  <c r="C446" i="1"/>
  <c r="B446" i="1"/>
  <c r="A446" i="1"/>
  <c r="E445" i="1"/>
  <c r="D445" i="1"/>
  <c r="C445" i="1"/>
  <c r="B445" i="1"/>
  <c r="A445" i="1"/>
  <c r="E444" i="1"/>
  <c r="D444" i="1"/>
  <c r="C444" i="1"/>
  <c r="B444" i="1"/>
  <c r="A444" i="1"/>
  <c r="E443" i="1"/>
  <c r="D443" i="1"/>
  <c r="C443" i="1"/>
  <c r="B443" i="1"/>
  <c r="A443" i="1"/>
  <c r="E442" i="1"/>
  <c r="D442" i="1"/>
  <c r="C442" i="1"/>
  <c r="B442" i="1"/>
  <c r="A442" i="1"/>
  <c r="E441" i="1"/>
  <c r="D441" i="1"/>
  <c r="C441" i="1"/>
  <c r="B441" i="1"/>
  <c r="A441" i="1"/>
  <c r="E440" i="1"/>
  <c r="D440" i="1"/>
  <c r="C440" i="1"/>
  <c r="B440" i="1"/>
  <c r="A440" i="1"/>
  <c r="E439" i="1"/>
  <c r="D439" i="1"/>
  <c r="C439" i="1"/>
  <c r="B439" i="1"/>
  <c r="A439" i="1"/>
  <c r="E438" i="1"/>
  <c r="D438" i="1"/>
  <c r="C438" i="1"/>
  <c r="B438" i="1"/>
  <c r="A438" i="1"/>
  <c r="E437" i="1"/>
  <c r="D437" i="1"/>
  <c r="C437" i="1"/>
  <c r="B437" i="1"/>
  <c r="A437" i="1"/>
  <c r="E436" i="1"/>
  <c r="D436" i="1"/>
  <c r="C436" i="1"/>
  <c r="B436" i="1"/>
  <c r="A436" i="1"/>
  <c r="E435" i="1"/>
  <c r="D435" i="1"/>
  <c r="C435" i="1"/>
  <c r="B435" i="1"/>
  <c r="A435" i="1"/>
  <c r="E434" i="1"/>
  <c r="D434" i="1"/>
  <c r="C434" i="1"/>
  <c r="B434" i="1"/>
  <c r="A434" i="1"/>
  <c r="E433" i="1"/>
  <c r="D433" i="1"/>
  <c r="C433" i="1"/>
  <c r="B433" i="1"/>
  <c r="A433" i="1"/>
  <c r="E432" i="1"/>
  <c r="D432" i="1"/>
  <c r="C432" i="1"/>
  <c r="B432" i="1"/>
  <c r="A432" i="1"/>
  <c r="E431" i="1"/>
  <c r="D431" i="1"/>
  <c r="C431" i="1"/>
  <c r="B431" i="1"/>
  <c r="A431" i="1"/>
  <c r="E430" i="1"/>
  <c r="D430" i="1"/>
  <c r="C430" i="1"/>
  <c r="B430" i="1"/>
  <c r="A430" i="1"/>
  <c r="E429" i="1"/>
  <c r="D429" i="1"/>
  <c r="C429" i="1"/>
  <c r="B429" i="1"/>
  <c r="A429" i="1"/>
  <c r="E428" i="1"/>
  <c r="D428" i="1"/>
  <c r="C428" i="1"/>
  <c r="B428" i="1"/>
  <c r="A428" i="1"/>
  <c r="E427" i="1"/>
  <c r="D427" i="1"/>
  <c r="C427" i="1"/>
  <c r="B427" i="1"/>
  <c r="A427" i="1"/>
  <c r="E426" i="1"/>
  <c r="D426" i="1"/>
  <c r="C426" i="1"/>
  <c r="B426" i="1"/>
  <c r="A426" i="1"/>
  <c r="E425" i="1"/>
  <c r="D425" i="1"/>
  <c r="C425" i="1"/>
  <c r="B425" i="1"/>
  <c r="A425" i="1"/>
  <c r="E424" i="1"/>
  <c r="D424" i="1"/>
  <c r="C424" i="1"/>
  <c r="B424" i="1"/>
  <c r="A424" i="1"/>
  <c r="E423" i="1"/>
  <c r="D423" i="1"/>
  <c r="C423" i="1"/>
  <c r="B423" i="1"/>
  <c r="A423" i="1"/>
  <c r="E422" i="1"/>
  <c r="D422" i="1"/>
  <c r="C422" i="1"/>
  <c r="B422" i="1"/>
  <c r="A422" i="1"/>
  <c r="E421" i="1"/>
  <c r="D421" i="1"/>
  <c r="C421" i="1"/>
  <c r="B421" i="1"/>
  <c r="A421" i="1"/>
  <c r="E420" i="1"/>
  <c r="D420" i="1"/>
  <c r="C420" i="1"/>
  <c r="B420" i="1"/>
  <c r="A420" i="1"/>
  <c r="E419" i="1"/>
  <c r="D419" i="1"/>
  <c r="C419" i="1"/>
  <c r="B419" i="1"/>
  <c r="A419" i="1"/>
  <c r="E418" i="1"/>
  <c r="D418" i="1"/>
  <c r="C418" i="1"/>
  <c r="B418" i="1"/>
  <c r="A418" i="1"/>
  <c r="E417" i="1"/>
  <c r="D417" i="1"/>
  <c r="C417" i="1"/>
  <c r="B417" i="1"/>
  <c r="A417" i="1"/>
  <c r="E416" i="1"/>
  <c r="D416" i="1"/>
  <c r="C416" i="1"/>
  <c r="B416" i="1"/>
  <c r="A416" i="1"/>
  <c r="E415" i="1"/>
  <c r="D415" i="1"/>
  <c r="C415" i="1"/>
  <c r="B415" i="1"/>
  <c r="A415" i="1"/>
  <c r="E414" i="1"/>
  <c r="D414" i="1"/>
  <c r="C414" i="1"/>
  <c r="B414" i="1"/>
  <c r="A414" i="1"/>
  <c r="E413" i="1"/>
  <c r="D413" i="1"/>
  <c r="C413" i="1"/>
  <c r="B413" i="1"/>
  <c r="A413" i="1"/>
  <c r="E412" i="1"/>
  <c r="D412" i="1"/>
  <c r="C412" i="1"/>
  <c r="B412" i="1"/>
  <c r="A412" i="1"/>
  <c r="E411" i="1"/>
  <c r="D411" i="1"/>
  <c r="C411" i="1"/>
  <c r="B411" i="1"/>
  <c r="A411" i="1"/>
  <c r="E410" i="1"/>
  <c r="D410" i="1"/>
  <c r="C410" i="1"/>
  <c r="B410" i="1"/>
  <c r="A410" i="1"/>
  <c r="E409" i="1"/>
  <c r="D409" i="1"/>
  <c r="C409" i="1"/>
  <c r="B409" i="1"/>
  <c r="A409" i="1"/>
  <c r="E408" i="1"/>
  <c r="D408" i="1"/>
  <c r="C408" i="1"/>
  <c r="B408" i="1"/>
  <c r="A408" i="1"/>
  <c r="E407" i="1"/>
  <c r="D407" i="1"/>
  <c r="C407" i="1"/>
  <c r="B407" i="1"/>
  <c r="A407" i="1"/>
  <c r="E406" i="1"/>
  <c r="D406" i="1"/>
  <c r="C406" i="1"/>
  <c r="B406" i="1"/>
  <c r="A406" i="1"/>
  <c r="E405" i="1"/>
  <c r="D405" i="1"/>
  <c r="C405" i="1"/>
  <c r="B405" i="1"/>
  <c r="A405" i="1"/>
  <c r="E404" i="1"/>
  <c r="D404" i="1"/>
  <c r="C404" i="1"/>
  <c r="B404" i="1"/>
  <c r="A404" i="1"/>
  <c r="E403" i="1"/>
  <c r="D403" i="1"/>
  <c r="C403" i="1"/>
  <c r="B403" i="1"/>
  <c r="A403" i="1"/>
  <c r="E402" i="1"/>
  <c r="D402" i="1"/>
  <c r="C402" i="1"/>
  <c r="B402" i="1"/>
  <c r="A402" i="1"/>
  <c r="E401" i="1"/>
  <c r="D401" i="1"/>
  <c r="C401" i="1"/>
  <c r="B401" i="1"/>
  <c r="A401" i="1"/>
  <c r="E400" i="1"/>
  <c r="D400" i="1"/>
  <c r="C400" i="1"/>
  <c r="B400" i="1"/>
  <c r="A400" i="1"/>
  <c r="E399" i="1"/>
  <c r="D399" i="1"/>
  <c r="C399" i="1"/>
  <c r="B399" i="1"/>
  <c r="A399" i="1"/>
  <c r="E398" i="1"/>
  <c r="D398" i="1"/>
  <c r="C398" i="1"/>
  <c r="B398" i="1"/>
  <c r="A398" i="1"/>
  <c r="E397" i="1"/>
  <c r="D397" i="1"/>
  <c r="C397" i="1"/>
  <c r="B397" i="1"/>
  <c r="A397" i="1"/>
  <c r="E396" i="1"/>
  <c r="D396" i="1"/>
  <c r="C396" i="1"/>
  <c r="B396" i="1"/>
  <c r="A396" i="1"/>
  <c r="E395" i="1"/>
  <c r="D395" i="1"/>
  <c r="C395" i="1"/>
  <c r="B395" i="1"/>
  <c r="A395" i="1"/>
  <c r="E394" i="1"/>
  <c r="D394" i="1"/>
  <c r="C394" i="1"/>
  <c r="B394" i="1"/>
  <c r="A394" i="1"/>
  <c r="E393" i="1"/>
  <c r="D393" i="1"/>
  <c r="C393" i="1"/>
  <c r="B393" i="1"/>
  <c r="A393" i="1"/>
  <c r="E392" i="1"/>
  <c r="D392" i="1"/>
  <c r="C392" i="1"/>
  <c r="B392" i="1"/>
  <c r="A392" i="1"/>
  <c r="E391" i="1"/>
  <c r="D391" i="1"/>
  <c r="C391" i="1"/>
  <c r="B391" i="1"/>
  <c r="A391" i="1"/>
  <c r="E390" i="1"/>
  <c r="D390" i="1"/>
  <c r="C390" i="1"/>
  <c r="B390" i="1"/>
  <c r="A390" i="1"/>
  <c r="E389" i="1"/>
  <c r="D389" i="1"/>
  <c r="C389" i="1"/>
  <c r="B389" i="1"/>
  <c r="A389" i="1"/>
  <c r="E388" i="1"/>
  <c r="D388" i="1"/>
  <c r="C388" i="1"/>
  <c r="B388" i="1"/>
  <c r="A388" i="1"/>
  <c r="E387" i="1"/>
  <c r="D387" i="1"/>
  <c r="C387" i="1"/>
  <c r="B387" i="1"/>
  <c r="A387" i="1"/>
  <c r="E386" i="1"/>
  <c r="D386" i="1"/>
  <c r="C386" i="1"/>
  <c r="B386" i="1"/>
  <c r="A386" i="1"/>
  <c r="E385" i="1"/>
  <c r="D385" i="1"/>
  <c r="C385" i="1"/>
  <c r="B385" i="1"/>
  <c r="A385" i="1"/>
  <c r="E384" i="1"/>
  <c r="D384" i="1"/>
  <c r="C384" i="1"/>
  <c r="B384" i="1"/>
  <c r="A384" i="1"/>
  <c r="E383" i="1"/>
  <c r="D383" i="1"/>
  <c r="C383" i="1"/>
  <c r="B383" i="1"/>
  <c r="A383" i="1"/>
  <c r="E382" i="1"/>
  <c r="D382" i="1"/>
  <c r="C382" i="1"/>
  <c r="B382" i="1"/>
  <c r="A382" i="1"/>
  <c r="E381" i="1"/>
  <c r="D381" i="1"/>
  <c r="C381" i="1"/>
  <c r="B381" i="1"/>
  <c r="A381" i="1"/>
  <c r="E380" i="1"/>
  <c r="D380" i="1"/>
  <c r="C380" i="1"/>
  <c r="B380" i="1"/>
  <c r="A380" i="1"/>
  <c r="E379" i="1"/>
  <c r="D379" i="1"/>
  <c r="C379" i="1"/>
  <c r="B379" i="1"/>
  <c r="A379" i="1"/>
  <c r="E378" i="1"/>
  <c r="D378" i="1"/>
  <c r="C378" i="1"/>
  <c r="B378" i="1"/>
  <c r="A378" i="1"/>
  <c r="E377" i="1"/>
  <c r="D377" i="1"/>
  <c r="C377" i="1"/>
  <c r="B377" i="1"/>
  <c r="A377" i="1"/>
  <c r="E376" i="1"/>
  <c r="D376" i="1"/>
  <c r="C376" i="1"/>
  <c r="B376" i="1"/>
  <c r="A376" i="1"/>
  <c r="E375" i="1"/>
  <c r="D375" i="1"/>
  <c r="C375" i="1"/>
  <c r="B375" i="1"/>
  <c r="A375" i="1"/>
  <c r="E374" i="1"/>
  <c r="D374" i="1"/>
  <c r="C374" i="1"/>
  <c r="B374" i="1"/>
  <c r="A374" i="1"/>
  <c r="E373" i="1"/>
  <c r="D373" i="1"/>
  <c r="C373" i="1"/>
  <c r="B373" i="1"/>
  <c r="A373" i="1"/>
  <c r="E372" i="1"/>
  <c r="D372" i="1"/>
  <c r="C372" i="1"/>
  <c r="B372" i="1"/>
  <c r="A372" i="1"/>
  <c r="E371" i="1"/>
  <c r="D371" i="1"/>
  <c r="C371" i="1"/>
  <c r="B371" i="1"/>
  <c r="A371" i="1"/>
  <c r="E370" i="1"/>
  <c r="D370" i="1"/>
  <c r="C370" i="1"/>
  <c r="B370" i="1"/>
  <c r="A370" i="1"/>
  <c r="E369" i="1"/>
  <c r="D369" i="1"/>
  <c r="C369" i="1"/>
  <c r="B369" i="1"/>
  <c r="A369" i="1"/>
  <c r="E368" i="1"/>
  <c r="D368" i="1"/>
  <c r="C368" i="1"/>
  <c r="B368" i="1"/>
  <c r="A368" i="1"/>
  <c r="E367" i="1"/>
  <c r="D367" i="1"/>
  <c r="C367" i="1"/>
  <c r="B367" i="1"/>
  <c r="A367" i="1"/>
  <c r="E366" i="1"/>
  <c r="D366" i="1"/>
  <c r="C366" i="1"/>
  <c r="B366" i="1"/>
  <c r="A366" i="1"/>
  <c r="E365" i="1"/>
  <c r="D365" i="1"/>
  <c r="C365" i="1"/>
  <c r="B365" i="1"/>
  <c r="A365" i="1"/>
  <c r="E364" i="1"/>
  <c r="D364" i="1"/>
  <c r="C364" i="1"/>
  <c r="B364" i="1"/>
  <c r="A364" i="1"/>
  <c r="E363" i="1"/>
  <c r="D363" i="1"/>
  <c r="C363" i="1"/>
  <c r="B363" i="1"/>
  <c r="A363" i="1"/>
  <c r="E362" i="1"/>
  <c r="D362" i="1"/>
  <c r="C362" i="1"/>
  <c r="B362" i="1"/>
  <c r="A362" i="1"/>
  <c r="E361" i="1"/>
  <c r="D361" i="1"/>
  <c r="C361" i="1"/>
  <c r="B361" i="1"/>
  <c r="A361" i="1"/>
  <c r="E360" i="1"/>
  <c r="D360" i="1"/>
  <c r="C360" i="1"/>
  <c r="B360" i="1"/>
  <c r="A360" i="1"/>
  <c r="E359" i="1"/>
  <c r="D359" i="1"/>
  <c r="C359" i="1"/>
  <c r="B359" i="1"/>
  <c r="A359" i="1"/>
  <c r="E358" i="1"/>
  <c r="D358" i="1"/>
  <c r="C358" i="1"/>
  <c r="B358" i="1"/>
  <c r="A358" i="1"/>
  <c r="E357" i="1"/>
  <c r="D357" i="1"/>
  <c r="C357" i="1"/>
  <c r="B357" i="1"/>
  <c r="A357" i="1"/>
  <c r="E356" i="1"/>
  <c r="D356" i="1"/>
  <c r="C356" i="1"/>
  <c r="B356" i="1"/>
  <c r="A356" i="1"/>
  <c r="E355" i="1"/>
  <c r="D355" i="1"/>
  <c r="C355" i="1"/>
  <c r="B355" i="1"/>
  <c r="A355" i="1"/>
  <c r="E354" i="1"/>
  <c r="D354" i="1"/>
  <c r="C354" i="1"/>
  <c r="B354" i="1"/>
  <c r="A354" i="1"/>
  <c r="E353" i="1"/>
  <c r="D353" i="1"/>
  <c r="C353" i="1"/>
  <c r="B353" i="1"/>
  <c r="A353" i="1"/>
  <c r="E352" i="1"/>
  <c r="D352" i="1"/>
  <c r="C352" i="1"/>
  <c r="B352" i="1"/>
  <c r="A352" i="1"/>
  <c r="E351" i="1"/>
  <c r="D351" i="1"/>
  <c r="C351" i="1"/>
  <c r="B351" i="1"/>
  <c r="A351" i="1"/>
  <c r="E350" i="1"/>
  <c r="D350" i="1"/>
  <c r="C350" i="1"/>
  <c r="B350" i="1"/>
  <c r="A350" i="1"/>
  <c r="E349" i="1"/>
  <c r="D349" i="1"/>
  <c r="C349" i="1"/>
  <c r="B349" i="1"/>
  <c r="A349" i="1"/>
  <c r="E348" i="1"/>
  <c r="D348" i="1"/>
  <c r="C348" i="1"/>
  <c r="B348" i="1"/>
  <c r="A348" i="1"/>
  <c r="E347" i="1"/>
  <c r="D347" i="1"/>
  <c r="C347" i="1"/>
  <c r="B347" i="1"/>
  <c r="A347" i="1"/>
  <c r="E346" i="1"/>
  <c r="D346" i="1"/>
  <c r="C346" i="1"/>
  <c r="B346" i="1"/>
  <c r="A346" i="1"/>
  <c r="E345" i="1"/>
  <c r="D345" i="1"/>
  <c r="C345" i="1"/>
  <c r="B345" i="1"/>
  <c r="A345" i="1"/>
  <c r="E344" i="1"/>
  <c r="D344" i="1"/>
  <c r="C344" i="1"/>
  <c r="B344" i="1"/>
  <c r="A344" i="1"/>
  <c r="E343" i="1"/>
  <c r="D343" i="1"/>
  <c r="C343" i="1"/>
  <c r="B343" i="1"/>
  <c r="A343" i="1"/>
  <c r="E342" i="1"/>
  <c r="D342" i="1"/>
  <c r="C342" i="1"/>
  <c r="B342" i="1"/>
  <c r="A342" i="1"/>
  <c r="E341" i="1"/>
  <c r="D341" i="1"/>
  <c r="C341" i="1"/>
  <c r="B341" i="1"/>
  <c r="A341" i="1"/>
  <c r="E340" i="1"/>
  <c r="D340" i="1"/>
  <c r="C340" i="1"/>
  <c r="B340" i="1"/>
  <c r="A340" i="1"/>
  <c r="E339" i="1"/>
  <c r="D339" i="1"/>
  <c r="C339" i="1"/>
  <c r="B339" i="1"/>
  <c r="A339" i="1"/>
  <c r="E338" i="1"/>
  <c r="D338" i="1"/>
  <c r="C338" i="1"/>
  <c r="B338" i="1"/>
  <c r="A338" i="1"/>
  <c r="E337" i="1"/>
  <c r="D337" i="1"/>
  <c r="C337" i="1"/>
  <c r="B337" i="1"/>
  <c r="A337" i="1"/>
  <c r="E336" i="1"/>
  <c r="D336" i="1"/>
  <c r="C336" i="1"/>
  <c r="B336" i="1"/>
  <c r="A336" i="1"/>
  <c r="E335" i="1"/>
  <c r="D335" i="1"/>
  <c r="C335" i="1"/>
  <c r="B335" i="1"/>
  <c r="A335" i="1"/>
  <c r="E334" i="1"/>
  <c r="D334" i="1"/>
  <c r="C334" i="1"/>
  <c r="B334" i="1"/>
  <c r="A334" i="1"/>
  <c r="E333" i="1"/>
  <c r="D333" i="1"/>
  <c r="C333" i="1"/>
  <c r="B333" i="1"/>
  <c r="A333" i="1"/>
  <c r="E332" i="1"/>
  <c r="D332" i="1"/>
  <c r="C332" i="1"/>
  <c r="B332" i="1"/>
  <c r="A332" i="1"/>
  <c r="E331" i="1"/>
  <c r="D331" i="1"/>
  <c r="C331" i="1"/>
  <c r="B331" i="1"/>
  <c r="A331" i="1"/>
  <c r="E330" i="1"/>
  <c r="D330" i="1"/>
  <c r="C330" i="1"/>
  <c r="B330" i="1"/>
  <c r="A330" i="1"/>
  <c r="E329" i="1"/>
  <c r="D329" i="1"/>
  <c r="C329" i="1"/>
  <c r="B329" i="1"/>
  <c r="A329" i="1"/>
  <c r="E328" i="1"/>
  <c r="D328" i="1"/>
  <c r="C328" i="1"/>
  <c r="B328" i="1"/>
  <c r="A328" i="1"/>
  <c r="E327" i="1"/>
  <c r="D327" i="1"/>
  <c r="C327" i="1"/>
  <c r="B327" i="1"/>
  <c r="A327" i="1"/>
  <c r="E326" i="1"/>
  <c r="D326" i="1"/>
  <c r="C326" i="1"/>
  <c r="B326" i="1"/>
  <c r="A326" i="1"/>
  <c r="E325" i="1"/>
  <c r="D325" i="1"/>
  <c r="C325" i="1"/>
  <c r="B325" i="1"/>
  <c r="A325" i="1"/>
  <c r="E324" i="1"/>
  <c r="D324" i="1"/>
  <c r="C324" i="1"/>
  <c r="B324" i="1"/>
  <c r="A324" i="1"/>
  <c r="E323" i="1"/>
  <c r="D323" i="1"/>
  <c r="C323" i="1"/>
  <c r="B323" i="1"/>
  <c r="A323" i="1"/>
  <c r="E322" i="1"/>
  <c r="D322" i="1"/>
  <c r="C322" i="1"/>
  <c r="B322" i="1"/>
  <c r="A322" i="1"/>
  <c r="E321" i="1"/>
  <c r="D321" i="1"/>
  <c r="C321" i="1"/>
  <c r="B321" i="1"/>
  <c r="A321" i="1"/>
  <c r="E320" i="1"/>
  <c r="D320" i="1"/>
  <c r="C320" i="1"/>
  <c r="B320" i="1"/>
  <c r="A320" i="1"/>
  <c r="E319" i="1"/>
  <c r="D319" i="1"/>
  <c r="C319" i="1"/>
  <c r="B319" i="1"/>
  <c r="A319" i="1"/>
  <c r="E318" i="1"/>
  <c r="D318" i="1"/>
  <c r="C318" i="1"/>
  <c r="B318" i="1"/>
  <c r="A318" i="1"/>
  <c r="E317" i="1"/>
  <c r="D317" i="1"/>
  <c r="C317" i="1"/>
  <c r="B317" i="1"/>
  <c r="A317" i="1"/>
  <c r="E316" i="1"/>
  <c r="D316" i="1"/>
  <c r="C316" i="1"/>
  <c r="B316" i="1"/>
  <c r="A316" i="1"/>
  <c r="E315" i="1"/>
  <c r="D315" i="1"/>
  <c r="C315" i="1"/>
  <c r="B315" i="1"/>
  <c r="A315" i="1"/>
  <c r="E314" i="1"/>
  <c r="D314" i="1"/>
  <c r="C314" i="1"/>
  <c r="B314" i="1"/>
  <c r="A314" i="1"/>
  <c r="E313" i="1"/>
  <c r="D313" i="1"/>
  <c r="C313" i="1"/>
  <c r="B313" i="1"/>
  <c r="A313" i="1"/>
  <c r="E312" i="1"/>
  <c r="D312" i="1"/>
  <c r="C312" i="1"/>
  <c r="B312" i="1"/>
  <c r="A312" i="1"/>
  <c r="E311" i="1"/>
  <c r="D311" i="1"/>
  <c r="C311" i="1"/>
  <c r="B311" i="1"/>
  <c r="A311" i="1"/>
  <c r="E310" i="1"/>
  <c r="D310" i="1"/>
  <c r="C310" i="1"/>
  <c r="B310" i="1"/>
  <c r="A310" i="1"/>
  <c r="E309" i="1"/>
  <c r="D309" i="1"/>
  <c r="C309" i="1"/>
  <c r="B309" i="1"/>
  <c r="A309" i="1"/>
  <c r="E308" i="1"/>
  <c r="D308" i="1"/>
  <c r="C308" i="1"/>
  <c r="B308" i="1"/>
  <c r="A308" i="1"/>
  <c r="E307" i="1"/>
  <c r="D307" i="1"/>
  <c r="C307" i="1"/>
  <c r="B307" i="1"/>
  <c r="A307" i="1"/>
  <c r="E306" i="1"/>
  <c r="D306" i="1"/>
  <c r="C306" i="1"/>
  <c r="B306" i="1"/>
  <c r="A306" i="1"/>
  <c r="E305" i="1"/>
  <c r="D305" i="1"/>
  <c r="C305" i="1"/>
  <c r="B305" i="1"/>
  <c r="A305" i="1"/>
  <c r="E304" i="1"/>
  <c r="D304" i="1"/>
  <c r="C304" i="1"/>
  <c r="B304" i="1"/>
  <c r="A304" i="1"/>
  <c r="E303" i="1"/>
  <c r="D303" i="1"/>
  <c r="C303" i="1"/>
  <c r="B303" i="1"/>
  <c r="A303" i="1"/>
  <c r="E302" i="1"/>
  <c r="D302" i="1"/>
  <c r="C302" i="1"/>
  <c r="B302" i="1"/>
  <c r="A302" i="1"/>
  <c r="E301" i="1"/>
  <c r="D301" i="1"/>
  <c r="C301" i="1"/>
  <c r="B301" i="1"/>
  <c r="A301" i="1"/>
  <c r="E300" i="1"/>
  <c r="D300" i="1"/>
  <c r="C300" i="1"/>
  <c r="B300" i="1"/>
  <c r="A300" i="1"/>
  <c r="E299" i="1"/>
  <c r="D299" i="1"/>
  <c r="C299" i="1"/>
  <c r="B299" i="1"/>
  <c r="A299" i="1"/>
  <c r="E298" i="1"/>
  <c r="D298" i="1"/>
  <c r="C298" i="1"/>
  <c r="B298" i="1"/>
  <c r="A298" i="1"/>
  <c r="E297" i="1"/>
  <c r="D297" i="1"/>
  <c r="C297" i="1"/>
  <c r="B297" i="1"/>
  <c r="A297" i="1"/>
  <c r="E296" i="1"/>
  <c r="D296" i="1"/>
  <c r="C296" i="1"/>
  <c r="B296" i="1"/>
  <c r="A296" i="1"/>
  <c r="E295" i="1"/>
  <c r="D295" i="1"/>
  <c r="C295" i="1"/>
  <c r="B295" i="1"/>
  <c r="A295" i="1"/>
  <c r="E294" i="1"/>
  <c r="D294" i="1"/>
  <c r="C294" i="1"/>
  <c r="B294" i="1"/>
  <c r="A294" i="1"/>
  <c r="E293" i="1"/>
  <c r="D293" i="1"/>
  <c r="C293" i="1"/>
  <c r="B293" i="1"/>
  <c r="A293" i="1"/>
  <c r="E292" i="1"/>
  <c r="D292" i="1"/>
  <c r="C292" i="1"/>
  <c r="B292" i="1"/>
  <c r="A292" i="1"/>
  <c r="E291" i="1"/>
  <c r="D291" i="1"/>
  <c r="C291" i="1"/>
  <c r="B291" i="1"/>
  <c r="A291" i="1"/>
  <c r="E290" i="1"/>
  <c r="D290" i="1"/>
  <c r="C290" i="1"/>
  <c r="B290" i="1"/>
  <c r="A290" i="1"/>
  <c r="E289" i="1"/>
  <c r="D289" i="1"/>
  <c r="C289" i="1"/>
  <c r="B289" i="1"/>
  <c r="A289" i="1"/>
  <c r="E288" i="1"/>
  <c r="D288" i="1"/>
  <c r="C288" i="1"/>
  <c r="B288" i="1"/>
  <c r="A288" i="1"/>
  <c r="E287" i="1"/>
  <c r="D287" i="1"/>
  <c r="C287" i="1"/>
  <c r="B287" i="1"/>
  <c r="A287" i="1"/>
  <c r="E286" i="1"/>
  <c r="D286" i="1"/>
  <c r="C286" i="1"/>
  <c r="B286" i="1"/>
  <c r="A286" i="1"/>
  <c r="E285" i="1"/>
  <c r="D285" i="1"/>
  <c r="C285" i="1"/>
  <c r="B285" i="1"/>
  <c r="A285" i="1"/>
  <c r="E284" i="1"/>
  <c r="D284" i="1"/>
  <c r="C284" i="1"/>
  <c r="B284" i="1"/>
  <c r="A284" i="1"/>
  <c r="E283" i="1"/>
  <c r="D283" i="1"/>
  <c r="C283" i="1"/>
  <c r="B283" i="1"/>
  <c r="A283" i="1"/>
  <c r="E282" i="1"/>
  <c r="D282" i="1"/>
  <c r="C282" i="1"/>
  <c r="B282" i="1"/>
  <c r="A282" i="1"/>
  <c r="E281" i="1"/>
  <c r="D281" i="1"/>
  <c r="C281" i="1"/>
  <c r="B281" i="1"/>
  <c r="A281" i="1"/>
  <c r="E280" i="1"/>
  <c r="D280" i="1"/>
  <c r="C280" i="1"/>
  <c r="B280" i="1"/>
  <c r="A280" i="1"/>
  <c r="E279" i="1"/>
  <c r="D279" i="1"/>
  <c r="C279" i="1"/>
  <c r="B279" i="1"/>
  <c r="A279" i="1"/>
  <c r="E278" i="1"/>
  <c r="D278" i="1"/>
  <c r="C278" i="1"/>
  <c r="B278" i="1"/>
  <c r="A278" i="1"/>
  <c r="E277" i="1"/>
  <c r="D277" i="1"/>
  <c r="C277" i="1"/>
  <c r="B277" i="1"/>
  <c r="A277" i="1"/>
  <c r="E276" i="1"/>
  <c r="D276" i="1"/>
  <c r="C276" i="1"/>
  <c r="B276" i="1"/>
  <c r="A276" i="1"/>
  <c r="E275" i="1"/>
  <c r="D275" i="1"/>
  <c r="C275" i="1"/>
  <c r="B275" i="1"/>
  <c r="A275" i="1"/>
  <c r="E274" i="1"/>
  <c r="D274" i="1"/>
  <c r="C274" i="1"/>
  <c r="B274" i="1"/>
  <c r="A274" i="1"/>
  <c r="E273" i="1"/>
  <c r="D273" i="1"/>
  <c r="C273" i="1"/>
  <c r="B273" i="1"/>
  <c r="A273" i="1"/>
  <c r="E272" i="1"/>
  <c r="D272" i="1"/>
  <c r="C272" i="1"/>
  <c r="B272" i="1"/>
  <c r="A272" i="1"/>
  <c r="E271" i="1"/>
  <c r="D271" i="1"/>
  <c r="C271" i="1"/>
  <c r="B271" i="1"/>
  <c r="A271" i="1"/>
  <c r="E270" i="1"/>
  <c r="D270" i="1"/>
  <c r="C270" i="1"/>
  <c r="B270" i="1"/>
  <c r="A270" i="1"/>
  <c r="E269" i="1"/>
  <c r="D269" i="1"/>
  <c r="C269" i="1"/>
  <c r="B269" i="1"/>
  <c r="A269" i="1"/>
  <c r="E268" i="1"/>
  <c r="D268" i="1"/>
  <c r="C268" i="1"/>
  <c r="B268" i="1"/>
  <c r="A268" i="1"/>
  <c r="E267" i="1"/>
  <c r="D267" i="1"/>
  <c r="C267" i="1"/>
  <c r="B267" i="1"/>
  <c r="A267" i="1"/>
  <c r="E266" i="1"/>
  <c r="D266" i="1"/>
  <c r="C266" i="1"/>
  <c r="B266" i="1"/>
  <c r="A266" i="1"/>
  <c r="E265" i="1"/>
  <c r="D265" i="1"/>
  <c r="C265" i="1"/>
  <c r="B265" i="1"/>
  <c r="A265" i="1"/>
  <c r="E264" i="1"/>
  <c r="D264" i="1"/>
  <c r="C264" i="1"/>
  <c r="B264" i="1"/>
  <c r="A264" i="1"/>
  <c r="E263" i="1"/>
  <c r="D263" i="1"/>
  <c r="C263" i="1"/>
  <c r="B263" i="1"/>
  <c r="A263" i="1"/>
  <c r="E262" i="1"/>
  <c r="D262" i="1"/>
  <c r="C262" i="1"/>
  <c r="B262" i="1"/>
  <c r="A262" i="1"/>
  <c r="E261" i="1"/>
  <c r="D261" i="1"/>
  <c r="C261" i="1"/>
  <c r="B261" i="1"/>
  <c r="A261" i="1"/>
  <c r="E260" i="1"/>
  <c r="D260" i="1"/>
  <c r="C260" i="1"/>
  <c r="B260" i="1"/>
  <c r="A260" i="1"/>
  <c r="E259" i="1"/>
  <c r="D259" i="1"/>
  <c r="C259" i="1"/>
  <c r="B259" i="1"/>
  <c r="A259" i="1"/>
  <c r="E258" i="1"/>
  <c r="D258" i="1"/>
  <c r="C258" i="1"/>
  <c r="B258" i="1"/>
  <c r="A258" i="1"/>
  <c r="E257" i="1"/>
  <c r="D257" i="1"/>
  <c r="C257" i="1"/>
  <c r="B257" i="1"/>
  <c r="A257" i="1"/>
  <c r="E256" i="1"/>
  <c r="D256" i="1"/>
  <c r="C256" i="1"/>
  <c r="B256" i="1"/>
  <c r="A256" i="1"/>
  <c r="E255" i="1"/>
  <c r="D255" i="1"/>
  <c r="C255" i="1"/>
  <c r="B255" i="1"/>
  <c r="A255" i="1"/>
  <c r="E254" i="1"/>
  <c r="D254" i="1"/>
  <c r="C254" i="1"/>
  <c r="B254" i="1"/>
  <c r="A254" i="1"/>
  <c r="E253" i="1"/>
  <c r="D253" i="1"/>
  <c r="C253" i="1"/>
  <c r="B253" i="1"/>
  <c r="A253" i="1"/>
  <c r="E252" i="1"/>
  <c r="D252" i="1"/>
  <c r="C252" i="1"/>
  <c r="B252" i="1"/>
  <c r="A252" i="1"/>
  <c r="E251" i="1"/>
  <c r="D251" i="1"/>
  <c r="C251" i="1"/>
  <c r="B251" i="1"/>
  <c r="A251" i="1"/>
  <c r="E250" i="1"/>
  <c r="D250" i="1"/>
  <c r="C250" i="1"/>
  <c r="B250" i="1"/>
  <c r="A250" i="1"/>
  <c r="E249" i="1"/>
  <c r="D249" i="1"/>
  <c r="C249" i="1"/>
  <c r="B249" i="1"/>
  <c r="A249" i="1"/>
  <c r="E248" i="1"/>
  <c r="D248" i="1"/>
  <c r="C248" i="1"/>
  <c r="B248" i="1"/>
  <c r="A248" i="1"/>
  <c r="E247" i="1"/>
  <c r="D247" i="1"/>
  <c r="C247" i="1"/>
  <c r="B247" i="1"/>
  <c r="A247" i="1"/>
  <c r="E246" i="1"/>
  <c r="D246" i="1"/>
  <c r="C246" i="1"/>
  <c r="B246" i="1"/>
  <c r="A246" i="1"/>
  <c r="E245" i="1"/>
  <c r="D245" i="1"/>
  <c r="C245" i="1"/>
  <c r="B245" i="1"/>
  <c r="A245" i="1"/>
  <c r="E244" i="1"/>
  <c r="D244" i="1"/>
  <c r="C244" i="1"/>
  <c r="B244" i="1"/>
  <c r="A244" i="1"/>
  <c r="E243" i="1"/>
  <c r="D243" i="1"/>
  <c r="C243" i="1"/>
  <c r="B243" i="1"/>
  <c r="A243" i="1"/>
  <c r="E242" i="1"/>
  <c r="D242" i="1"/>
  <c r="C242" i="1"/>
  <c r="B242" i="1"/>
  <c r="A242" i="1"/>
  <c r="E241" i="1"/>
  <c r="D241" i="1"/>
  <c r="C241" i="1"/>
  <c r="B241" i="1"/>
  <c r="A241" i="1"/>
  <c r="E240" i="1"/>
  <c r="D240" i="1"/>
  <c r="C240" i="1"/>
  <c r="B240" i="1"/>
  <c r="A240" i="1"/>
  <c r="E239" i="1"/>
  <c r="D239" i="1"/>
  <c r="C239" i="1"/>
  <c r="B239" i="1"/>
  <c r="A239" i="1"/>
  <c r="E238" i="1"/>
  <c r="D238" i="1"/>
  <c r="C238" i="1"/>
  <c r="B238" i="1"/>
  <c r="A238" i="1"/>
  <c r="E237" i="1"/>
  <c r="D237" i="1"/>
  <c r="C237" i="1"/>
  <c r="B237" i="1"/>
  <c r="A237" i="1"/>
  <c r="E236" i="1"/>
  <c r="D236" i="1"/>
  <c r="C236" i="1"/>
  <c r="B236" i="1"/>
  <c r="A236" i="1"/>
  <c r="E235" i="1"/>
  <c r="D235" i="1"/>
  <c r="C235" i="1"/>
  <c r="B235" i="1"/>
  <c r="A235" i="1"/>
  <c r="E234" i="1"/>
  <c r="D234" i="1"/>
  <c r="C234" i="1"/>
  <c r="B234" i="1"/>
  <c r="A234" i="1"/>
  <c r="E233" i="1"/>
  <c r="D233" i="1"/>
  <c r="C233" i="1"/>
  <c r="B233" i="1"/>
  <c r="A233" i="1"/>
  <c r="E232" i="1"/>
  <c r="D232" i="1"/>
  <c r="C232" i="1"/>
  <c r="B232" i="1"/>
  <c r="A232" i="1"/>
  <c r="E231" i="1"/>
  <c r="D231" i="1"/>
  <c r="C231" i="1"/>
  <c r="B231" i="1"/>
  <c r="A231" i="1"/>
  <c r="E230" i="1"/>
  <c r="D230" i="1"/>
  <c r="C230" i="1"/>
  <c r="B230" i="1"/>
  <c r="A230" i="1"/>
  <c r="E229" i="1"/>
  <c r="D229" i="1"/>
  <c r="C229" i="1"/>
  <c r="B229" i="1"/>
  <c r="A229" i="1"/>
  <c r="E228" i="1"/>
  <c r="D228" i="1"/>
  <c r="C228" i="1"/>
  <c r="B228" i="1"/>
  <c r="A228" i="1"/>
  <c r="E227" i="1"/>
  <c r="D227" i="1"/>
  <c r="C227" i="1"/>
  <c r="B227" i="1"/>
  <c r="A227" i="1"/>
  <c r="E226" i="1"/>
  <c r="D226" i="1"/>
  <c r="C226" i="1"/>
  <c r="B226" i="1"/>
  <c r="A226" i="1"/>
  <c r="E225" i="1"/>
  <c r="D225" i="1"/>
  <c r="C225" i="1"/>
  <c r="B225" i="1"/>
  <c r="A225" i="1"/>
  <c r="E224" i="1"/>
  <c r="D224" i="1"/>
  <c r="C224" i="1"/>
  <c r="B224" i="1"/>
  <c r="A224" i="1"/>
  <c r="E223" i="1"/>
  <c r="D223" i="1"/>
  <c r="C223" i="1"/>
  <c r="B223" i="1"/>
  <c r="A223" i="1"/>
  <c r="E222" i="1"/>
  <c r="D222" i="1"/>
  <c r="C222" i="1"/>
  <c r="B222" i="1"/>
  <c r="A222" i="1"/>
  <c r="E221" i="1"/>
  <c r="D221" i="1"/>
  <c r="C221" i="1"/>
  <c r="B221" i="1"/>
  <c r="A221" i="1"/>
  <c r="E220" i="1"/>
  <c r="D220" i="1"/>
  <c r="C220" i="1"/>
  <c r="B220" i="1"/>
  <c r="A220" i="1"/>
  <c r="E219" i="1"/>
  <c r="D219" i="1"/>
  <c r="C219" i="1"/>
  <c r="B219" i="1"/>
  <c r="A219" i="1"/>
  <c r="E218" i="1"/>
  <c r="D218" i="1"/>
  <c r="C218" i="1"/>
  <c r="B218" i="1"/>
  <c r="A218" i="1"/>
  <c r="E217" i="1"/>
  <c r="D217" i="1"/>
  <c r="C217" i="1"/>
  <c r="B217" i="1"/>
  <c r="A217" i="1"/>
  <c r="E216" i="1"/>
  <c r="D216" i="1"/>
  <c r="C216" i="1"/>
  <c r="B216" i="1"/>
  <c r="A216" i="1"/>
  <c r="E215" i="1"/>
  <c r="D215" i="1"/>
  <c r="C215" i="1"/>
  <c r="B215" i="1"/>
  <c r="A215" i="1"/>
  <c r="E214" i="1"/>
  <c r="D214" i="1"/>
  <c r="C214" i="1"/>
  <c r="B214" i="1"/>
  <c r="A214" i="1"/>
  <c r="E213" i="1"/>
  <c r="D213" i="1"/>
  <c r="C213" i="1"/>
  <c r="B213" i="1"/>
  <c r="A213" i="1"/>
  <c r="E212" i="1"/>
  <c r="D212" i="1"/>
  <c r="C212" i="1"/>
  <c r="B212" i="1"/>
  <c r="A212" i="1"/>
  <c r="E211" i="1"/>
  <c r="D211" i="1"/>
  <c r="C211" i="1"/>
  <c r="B211" i="1"/>
  <c r="A211" i="1"/>
  <c r="E210" i="1"/>
  <c r="D210" i="1"/>
  <c r="C210" i="1"/>
  <c r="B210" i="1"/>
  <c r="A210" i="1"/>
  <c r="E209" i="1"/>
  <c r="D209" i="1"/>
  <c r="C209" i="1"/>
  <c r="B209" i="1"/>
  <c r="A209" i="1"/>
  <c r="E208" i="1"/>
  <c r="D208" i="1"/>
  <c r="C208" i="1"/>
  <c r="B208" i="1"/>
  <c r="A208" i="1"/>
  <c r="E207" i="1"/>
  <c r="D207" i="1"/>
  <c r="C207" i="1"/>
  <c r="B207" i="1"/>
  <c r="A207" i="1"/>
  <c r="E206" i="1"/>
  <c r="D206" i="1"/>
  <c r="C206" i="1"/>
  <c r="B206" i="1"/>
  <c r="A206" i="1"/>
  <c r="E205" i="1"/>
  <c r="D205" i="1"/>
  <c r="C205" i="1"/>
  <c r="B205" i="1"/>
  <c r="A205" i="1"/>
  <c r="E204" i="1"/>
  <c r="D204" i="1"/>
  <c r="C204" i="1"/>
  <c r="B204" i="1"/>
  <c r="A204" i="1"/>
  <c r="E203" i="1"/>
  <c r="D203" i="1"/>
  <c r="C203" i="1"/>
  <c r="B203" i="1"/>
  <c r="A203" i="1"/>
  <c r="E202" i="1"/>
  <c r="D202" i="1"/>
  <c r="C202" i="1"/>
  <c r="B202" i="1"/>
  <c r="A202" i="1"/>
  <c r="E201" i="1"/>
  <c r="D201" i="1"/>
  <c r="C201" i="1"/>
  <c r="B201" i="1"/>
  <c r="A201" i="1"/>
  <c r="E200" i="1"/>
  <c r="D200" i="1"/>
  <c r="C200" i="1"/>
  <c r="B200" i="1"/>
  <c r="A200" i="1"/>
  <c r="E199" i="1"/>
  <c r="D199" i="1"/>
  <c r="C199" i="1"/>
  <c r="B199" i="1"/>
  <c r="A199" i="1"/>
  <c r="E198" i="1"/>
  <c r="D198" i="1"/>
  <c r="C198" i="1"/>
  <c r="B198" i="1"/>
  <c r="A198" i="1"/>
  <c r="E197" i="1"/>
  <c r="D197" i="1"/>
  <c r="C197" i="1"/>
  <c r="B197" i="1"/>
  <c r="A197" i="1"/>
  <c r="E196" i="1"/>
  <c r="D196" i="1"/>
  <c r="C196" i="1"/>
  <c r="B196" i="1"/>
  <c r="A196" i="1"/>
  <c r="E195" i="1"/>
  <c r="D195" i="1"/>
  <c r="C195" i="1"/>
  <c r="B195" i="1"/>
  <c r="A195" i="1"/>
  <c r="E194" i="1"/>
  <c r="D194" i="1"/>
  <c r="C194" i="1"/>
  <c r="B194" i="1"/>
  <c r="A194" i="1"/>
  <c r="E193" i="1"/>
  <c r="D193" i="1"/>
  <c r="C193" i="1"/>
  <c r="B193" i="1"/>
  <c r="A193" i="1"/>
  <c r="E192" i="1"/>
  <c r="D192" i="1"/>
  <c r="C192" i="1"/>
  <c r="B192" i="1"/>
  <c r="A192" i="1"/>
  <c r="E191" i="1"/>
  <c r="D191" i="1"/>
  <c r="C191" i="1"/>
  <c r="B191" i="1"/>
  <c r="A191" i="1"/>
  <c r="E190" i="1"/>
  <c r="D190" i="1"/>
  <c r="C190" i="1"/>
  <c r="B190" i="1"/>
  <c r="A190" i="1"/>
  <c r="E189" i="1"/>
  <c r="D189" i="1"/>
  <c r="C189" i="1"/>
  <c r="B189" i="1"/>
  <c r="A189" i="1"/>
  <c r="E188" i="1"/>
  <c r="D188" i="1"/>
  <c r="C188" i="1"/>
  <c r="B188" i="1"/>
  <c r="A188" i="1"/>
  <c r="E187" i="1"/>
  <c r="D187" i="1"/>
  <c r="C187" i="1"/>
  <c r="B187" i="1"/>
  <c r="A187" i="1"/>
  <c r="E186" i="1"/>
  <c r="D186" i="1"/>
  <c r="C186" i="1"/>
  <c r="B186" i="1"/>
  <c r="A186" i="1"/>
  <c r="E185" i="1"/>
  <c r="D185" i="1"/>
  <c r="C185" i="1"/>
  <c r="B185" i="1"/>
  <c r="A185" i="1"/>
  <c r="E184" i="1"/>
  <c r="D184" i="1"/>
  <c r="C184" i="1"/>
  <c r="B184" i="1"/>
  <c r="A184" i="1"/>
  <c r="E183" i="1"/>
  <c r="D183" i="1"/>
  <c r="C183" i="1"/>
  <c r="B183" i="1"/>
  <c r="A183" i="1"/>
  <c r="E182" i="1"/>
  <c r="D182" i="1"/>
  <c r="C182" i="1"/>
  <c r="B182" i="1"/>
  <c r="A182" i="1"/>
  <c r="E181" i="1"/>
  <c r="D181" i="1"/>
  <c r="C181" i="1"/>
  <c r="B181" i="1"/>
  <c r="A181" i="1"/>
  <c r="E180" i="1"/>
  <c r="D180" i="1"/>
  <c r="C180" i="1"/>
  <c r="B180" i="1"/>
  <c r="A180" i="1"/>
  <c r="E179" i="1"/>
  <c r="D179" i="1"/>
  <c r="C179" i="1"/>
  <c r="B179" i="1"/>
  <c r="A179" i="1"/>
  <c r="E178" i="1"/>
  <c r="D178" i="1"/>
  <c r="C178" i="1"/>
  <c r="B178" i="1"/>
  <c r="A178" i="1"/>
  <c r="E177" i="1"/>
  <c r="D177" i="1"/>
  <c r="C177" i="1"/>
  <c r="B177" i="1"/>
  <c r="A177" i="1"/>
  <c r="E176" i="1"/>
  <c r="D176" i="1"/>
  <c r="C176" i="1"/>
  <c r="B176" i="1"/>
  <c r="A176" i="1"/>
  <c r="E175" i="1"/>
  <c r="D175" i="1"/>
  <c r="C175" i="1"/>
  <c r="B175" i="1"/>
  <c r="A175" i="1"/>
  <c r="E174" i="1"/>
  <c r="D174" i="1"/>
  <c r="C174" i="1"/>
  <c r="B174" i="1"/>
  <c r="A174" i="1"/>
  <c r="E173" i="1"/>
  <c r="D173" i="1"/>
  <c r="C173" i="1"/>
  <c r="B173" i="1"/>
  <c r="A173" i="1"/>
  <c r="E172" i="1"/>
  <c r="D172" i="1"/>
  <c r="C172" i="1"/>
  <c r="B172" i="1"/>
  <c r="A172" i="1"/>
  <c r="E171" i="1"/>
  <c r="D171" i="1"/>
  <c r="C171" i="1"/>
  <c r="B171" i="1"/>
  <c r="A171" i="1"/>
  <c r="E170" i="1"/>
  <c r="D170" i="1"/>
  <c r="C170" i="1"/>
  <c r="B170" i="1"/>
  <c r="A170" i="1"/>
  <c r="E169" i="1"/>
  <c r="D169" i="1"/>
  <c r="C169" i="1"/>
  <c r="B169" i="1"/>
  <c r="A169" i="1"/>
  <c r="E168" i="1"/>
  <c r="D168" i="1"/>
  <c r="C168" i="1"/>
  <c r="B168" i="1"/>
  <c r="A168" i="1"/>
  <c r="E167" i="1"/>
  <c r="D167" i="1"/>
  <c r="C167" i="1"/>
  <c r="B167" i="1"/>
  <c r="A167" i="1"/>
  <c r="E166" i="1"/>
  <c r="D166" i="1"/>
  <c r="C166" i="1"/>
  <c r="B166" i="1"/>
  <c r="A166" i="1"/>
  <c r="E165" i="1"/>
  <c r="D165" i="1"/>
  <c r="C165" i="1"/>
  <c r="B165" i="1"/>
  <c r="A165" i="1"/>
  <c r="E164" i="1"/>
  <c r="D164" i="1"/>
  <c r="C164" i="1"/>
  <c r="B164" i="1"/>
  <c r="A164" i="1"/>
  <c r="E163" i="1"/>
  <c r="D163" i="1"/>
  <c r="C163" i="1"/>
  <c r="B163" i="1"/>
  <c r="A163" i="1"/>
  <c r="E162" i="1"/>
  <c r="D162" i="1"/>
  <c r="C162" i="1"/>
  <c r="B162" i="1"/>
  <c r="A162" i="1"/>
  <c r="E161" i="1"/>
  <c r="D161" i="1"/>
  <c r="C161" i="1"/>
  <c r="B161" i="1"/>
  <c r="A161" i="1"/>
  <c r="E160" i="1"/>
  <c r="D160" i="1"/>
  <c r="C160" i="1"/>
  <c r="B160" i="1"/>
  <c r="A160" i="1"/>
  <c r="E159" i="1"/>
  <c r="D159" i="1"/>
  <c r="C159" i="1"/>
  <c r="B159" i="1"/>
  <c r="A159" i="1"/>
  <c r="E158" i="1"/>
  <c r="D158" i="1"/>
  <c r="C158" i="1"/>
  <c r="B158" i="1"/>
  <c r="A158" i="1"/>
  <c r="E157" i="1"/>
  <c r="D157" i="1"/>
  <c r="C157" i="1"/>
  <c r="B157" i="1"/>
  <c r="A157" i="1"/>
  <c r="E156" i="1"/>
  <c r="D156" i="1"/>
  <c r="C156" i="1"/>
  <c r="B156" i="1"/>
  <c r="A156" i="1"/>
  <c r="E155" i="1"/>
  <c r="D155" i="1"/>
  <c r="C155" i="1"/>
  <c r="B155" i="1"/>
  <c r="A155" i="1"/>
  <c r="E154" i="1"/>
  <c r="D154" i="1"/>
  <c r="C154" i="1"/>
  <c r="B154" i="1"/>
  <c r="A154" i="1"/>
  <c r="E153" i="1"/>
  <c r="D153" i="1"/>
  <c r="C153" i="1"/>
  <c r="B153" i="1"/>
  <c r="A153" i="1"/>
  <c r="E152" i="1"/>
  <c r="D152" i="1"/>
  <c r="C152" i="1"/>
  <c r="B152" i="1"/>
  <c r="A152" i="1"/>
  <c r="E151" i="1"/>
  <c r="D151" i="1"/>
  <c r="C151" i="1"/>
  <c r="B151" i="1"/>
  <c r="A151" i="1"/>
  <c r="E150" i="1"/>
  <c r="D150" i="1"/>
  <c r="C150" i="1"/>
  <c r="B150" i="1"/>
  <c r="A150" i="1"/>
  <c r="E149" i="1"/>
  <c r="D149" i="1"/>
  <c r="C149" i="1"/>
  <c r="B149" i="1"/>
  <c r="A149" i="1"/>
  <c r="E148" i="1"/>
  <c r="D148" i="1"/>
  <c r="C148" i="1"/>
  <c r="B148" i="1"/>
  <c r="A148" i="1"/>
  <c r="E147" i="1"/>
  <c r="D147" i="1"/>
  <c r="C147" i="1"/>
  <c r="B147" i="1"/>
  <c r="A147" i="1"/>
  <c r="E146" i="1"/>
  <c r="D146" i="1"/>
  <c r="C146" i="1"/>
  <c r="B146" i="1"/>
  <c r="A146" i="1"/>
  <c r="E145" i="1"/>
  <c r="D145" i="1"/>
  <c r="C145" i="1"/>
  <c r="B145" i="1"/>
  <c r="A145" i="1"/>
  <c r="E144" i="1"/>
  <c r="D144" i="1"/>
  <c r="C144" i="1"/>
  <c r="B144" i="1"/>
  <c r="A144" i="1"/>
  <c r="E143" i="1"/>
  <c r="D143" i="1"/>
  <c r="C143" i="1"/>
  <c r="B143" i="1"/>
  <c r="A143" i="1"/>
  <c r="E142" i="1"/>
  <c r="D142" i="1"/>
  <c r="C142" i="1"/>
  <c r="B142" i="1"/>
  <c r="A142" i="1"/>
  <c r="E141" i="1"/>
  <c r="D141" i="1"/>
  <c r="C141" i="1"/>
  <c r="B141" i="1"/>
  <c r="A141" i="1"/>
  <c r="E140" i="1"/>
  <c r="D140" i="1"/>
  <c r="C140" i="1"/>
  <c r="B140" i="1"/>
  <c r="A140" i="1"/>
  <c r="E139" i="1"/>
  <c r="D139" i="1"/>
  <c r="C139" i="1"/>
  <c r="B139" i="1"/>
  <c r="A139" i="1"/>
  <c r="E138" i="1"/>
  <c r="D138" i="1"/>
  <c r="C138" i="1"/>
  <c r="B138" i="1"/>
  <c r="A138" i="1"/>
  <c r="E137" i="1"/>
  <c r="D137" i="1"/>
  <c r="C137" i="1"/>
  <c r="B137" i="1"/>
  <c r="A137" i="1"/>
  <c r="E136" i="1"/>
  <c r="D136" i="1"/>
  <c r="C136" i="1"/>
  <c r="B136" i="1"/>
  <c r="A136" i="1"/>
  <c r="E135" i="1"/>
  <c r="D135" i="1"/>
  <c r="C135" i="1"/>
  <c r="B135" i="1"/>
  <c r="A135" i="1"/>
  <c r="E134" i="1"/>
  <c r="D134" i="1"/>
  <c r="C134" i="1"/>
  <c r="B134" i="1"/>
  <c r="A134" i="1"/>
  <c r="E133" i="1"/>
  <c r="D133" i="1"/>
  <c r="C133" i="1"/>
  <c r="B133" i="1"/>
  <c r="A133" i="1"/>
  <c r="E132" i="1"/>
  <c r="D132" i="1"/>
  <c r="C132" i="1"/>
  <c r="B132" i="1"/>
  <c r="A132" i="1"/>
  <c r="E131" i="1"/>
  <c r="D131" i="1"/>
  <c r="C131" i="1"/>
  <c r="B131" i="1"/>
  <c r="A131" i="1"/>
  <c r="E130" i="1"/>
  <c r="D130" i="1"/>
  <c r="C130" i="1"/>
  <c r="B130" i="1"/>
  <c r="A130" i="1"/>
  <c r="E129" i="1"/>
  <c r="D129" i="1"/>
  <c r="C129" i="1"/>
  <c r="B129" i="1"/>
  <c r="A129" i="1"/>
  <c r="E128" i="1"/>
  <c r="D128" i="1"/>
  <c r="C128" i="1"/>
  <c r="B128" i="1"/>
  <c r="A128" i="1"/>
  <c r="E127" i="1"/>
  <c r="D127" i="1"/>
  <c r="C127" i="1"/>
  <c r="B127" i="1"/>
  <c r="A127" i="1"/>
  <c r="E126" i="1"/>
  <c r="D126" i="1"/>
  <c r="C126" i="1"/>
  <c r="B126" i="1"/>
  <c r="A126" i="1"/>
  <c r="E125" i="1"/>
  <c r="D125" i="1"/>
  <c r="C125" i="1"/>
  <c r="B125" i="1"/>
  <c r="A125" i="1"/>
  <c r="E124" i="1"/>
  <c r="D124" i="1"/>
  <c r="C124" i="1"/>
  <c r="B124" i="1"/>
  <c r="A124" i="1"/>
  <c r="E123" i="1"/>
  <c r="D123" i="1"/>
  <c r="C123" i="1"/>
  <c r="B123" i="1"/>
  <c r="A123" i="1"/>
  <c r="E122" i="1"/>
  <c r="D122" i="1"/>
  <c r="C122" i="1"/>
  <c r="B122" i="1"/>
  <c r="A122" i="1"/>
  <c r="E121" i="1"/>
  <c r="D121" i="1"/>
  <c r="C121" i="1"/>
  <c r="B121" i="1"/>
  <c r="A121" i="1"/>
  <c r="E120" i="1"/>
  <c r="D120" i="1"/>
  <c r="C120" i="1"/>
  <c r="B120" i="1"/>
  <c r="A120" i="1"/>
  <c r="E119" i="1"/>
  <c r="D119" i="1"/>
  <c r="C119" i="1"/>
  <c r="B119" i="1"/>
  <c r="A119" i="1"/>
  <c r="E118" i="1"/>
  <c r="D118" i="1"/>
  <c r="C118" i="1"/>
  <c r="B118" i="1"/>
  <c r="A118" i="1"/>
  <c r="E117" i="1"/>
  <c r="D117" i="1"/>
  <c r="C117" i="1"/>
  <c r="B117" i="1"/>
  <c r="A117" i="1"/>
  <c r="E116" i="1"/>
  <c r="D116" i="1"/>
  <c r="C116" i="1"/>
  <c r="B116" i="1"/>
  <c r="A116" i="1"/>
  <c r="E115" i="1"/>
  <c r="D115" i="1"/>
  <c r="C115" i="1"/>
  <c r="B115" i="1"/>
  <c r="A115" i="1"/>
  <c r="E114" i="1"/>
  <c r="D114" i="1"/>
  <c r="C114" i="1"/>
  <c r="B114" i="1"/>
  <c r="A114" i="1"/>
  <c r="E113" i="1"/>
  <c r="D113" i="1"/>
  <c r="C113" i="1"/>
  <c r="B113" i="1"/>
  <c r="A113" i="1"/>
  <c r="E112" i="1"/>
  <c r="D112" i="1"/>
  <c r="C112" i="1"/>
  <c r="B112" i="1"/>
  <c r="A112" i="1"/>
  <c r="E111" i="1"/>
  <c r="D111" i="1"/>
  <c r="C111" i="1"/>
  <c r="B111" i="1"/>
  <c r="A111" i="1"/>
  <c r="E110" i="1"/>
  <c r="D110" i="1"/>
  <c r="C110" i="1"/>
  <c r="B110" i="1"/>
  <c r="A110" i="1"/>
  <c r="E109" i="1"/>
  <c r="D109" i="1"/>
  <c r="C109" i="1"/>
  <c r="B109" i="1"/>
  <c r="A109" i="1"/>
  <c r="E108" i="1"/>
  <c r="D108" i="1"/>
  <c r="C108" i="1"/>
  <c r="B108" i="1"/>
  <c r="A108" i="1"/>
  <c r="E107" i="1"/>
  <c r="D107" i="1"/>
  <c r="C107" i="1"/>
  <c r="B107" i="1"/>
  <c r="A107" i="1"/>
  <c r="E106" i="1"/>
  <c r="D106" i="1"/>
  <c r="C106" i="1"/>
  <c r="B106" i="1"/>
  <c r="A106" i="1"/>
  <c r="E105" i="1"/>
  <c r="D105" i="1"/>
  <c r="C105" i="1"/>
  <c r="B105" i="1"/>
  <c r="A105" i="1"/>
  <c r="E104" i="1"/>
  <c r="D104" i="1"/>
  <c r="C104" i="1"/>
  <c r="B104" i="1"/>
  <c r="A104" i="1"/>
  <c r="E103" i="1"/>
  <c r="D103" i="1"/>
  <c r="C103" i="1"/>
  <c r="B103" i="1"/>
  <c r="A103" i="1"/>
  <c r="E102" i="1"/>
  <c r="D102" i="1"/>
  <c r="C102" i="1"/>
  <c r="B102" i="1"/>
  <c r="A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E98" i="1"/>
  <c r="D98" i="1"/>
  <c r="C98" i="1"/>
  <c r="B98" i="1"/>
  <c r="A98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E84" i="1"/>
  <c r="D84" i="1"/>
  <c r="C84" i="1"/>
  <c r="B84" i="1"/>
  <c r="A84" i="1"/>
  <c r="E83" i="1"/>
  <c r="D83" i="1"/>
  <c r="C83" i="1"/>
  <c r="B83" i="1"/>
  <c r="A83" i="1"/>
  <c r="E82" i="1"/>
  <c r="D82" i="1"/>
  <c r="C82" i="1"/>
  <c r="B82" i="1"/>
  <c r="A82" i="1"/>
  <c r="E81" i="1"/>
  <c r="D81" i="1"/>
  <c r="C81" i="1"/>
  <c r="B81" i="1"/>
  <c r="A81" i="1"/>
  <c r="E80" i="1"/>
  <c r="D80" i="1"/>
  <c r="C80" i="1"/>
  <c r="B80" i="1"/>
  <c r="A80" i="1"/>
  <c r="E79" i="1"/>
  <c r="D79" i="1"/>
  <c r="C79" i="1"/>
  <c r="B79" i="1"/>
  <c r="A79" i="1"/>
  <c r="E78" i="1"/>
  <c r="D78" i="1"/>
  <c r="C78" i="1"/>
  <c r="B78" i="1"/>
  <c r="A78" i="1"/>
  <c r="E77" i="1"/>
  <c r="D77" i="1"/>
  <c r="C77" i="1"/>
  <c r="B77" i="1"/>
  <c r="A77" i="1"/>
  <c r="E76" i="1"/>
  <c r="D76" i="1"/>
  <c r="C76" i="1"/>
  <c r="B76" i="1"/>
  <c r="A76" i="1"/>
  <c r="E75" i="1"/>
  <c r="D75" i="1"/>
  <c r="C75" i="1"/>
  <c r="B75" i="1"/>
  <c r="A75" i="1"/>
  <c r="E74" i="1"/>
  <c r="D74" i="1"/>
  <c r="C74" i="1"/>
  <c r="B74" i="1"/>
  <c r="A74" i="1"/>
  <c r="E73" i="1"/>
  <c r="D73" i="1"/>
  <c r="C73" i="1"/>
  <c r="B73" i="1"/>
  <c r="A73" i="1"/>
  <c r="E72" i="1"/>
  <c r="D72" i="1"/>
  <c r="C72" i="1"/>
  <c r="B72" i="1"/>
  <c r="A72" i="1"/>
  <c r="E71" i="1"/>
  <c r="D71" i="1"/>
  <c r="C71" i="1"/>
  <c r="B71" i="1"/>
  <c r="A71" i="1"/>
  <c r="E70" i="1"/>
  <c r="D70" i="1"/>
  <c r="C70" i="1"/>
  <c r="B70" i="1"/>
  <c r="A70" i="1"/>
  <c r="E69" i="1"/>
  <c r="D69" i="1"/>
  <c r="C69" i="1"/>
  <c r="B69" i="1"/>
  <c r="A69" i="1"/>
  <c r="E68" i="1"/>
  <c r="D68" i="1"/>
  <c r="C68" i="1"/>
  <c r="B68" i="1"/>
  <c r="A68" i="1"/>
  <c r="E67" i="1"/>
  <c r="D67" i="1"/>
  <c r="C67" i="1"/>
  <c r="B67" i="1"/>
  <c r="A67" i="1"/>
  <c r="E66" i="1"/>
  <c r="D66" i="1"/>
  <c r="C66" i="1"/>
  <c r="B66" i="1"/>
  <c r="A66" i="1"/>
  <c r="E65" i="1"/>
  <c r="D65" i="1"/>
  <c r="C65" i="1"/>
  <c r="B65" i="1"/>
  <c r="A65" i="1"/>
  <c r="E64" i="1"/>
  <c r="D64" i="1"/>
  <c r="C64" i="1"/>
  <c r="B64" i="1"/>
  <c r="A64" i="1"/>
  <c r="E63" i="1"/>
  <c r="D63" i="1"/>
  <c r="C63" i="1"/>
  <c r="B63" i="1"/>
  <c r="A63" i="1"/>
  <c r="E62" i="1"/>
  <c r="D62" i="1"/>
  <c r="C62" i="1"/>
  <c r="B62" i="1"/>
  <c r="A62" i="1"/>
  <c r="E61" i="1"/>
  <c r="D61" i="1"/>
  <c r="C61" i="1"/>
  <c r="B61" i="1"/>
  <c r="A61" i="1"/>
  <c r="E60" i="1"/>
  <c r="D60" i="1"/>
  <c r="C60" i="1"/>
  <c r="B60" i="1"/>
  <c r="A60" i="1"/>
  <c r="E59" i="1"/>
  <c r="D59" i="1"/>
  <c r="C59" i="1"/>
  <c r="B59" i="1"/>
  <c r="A59" i="1"/>
  <c r="E58" i="1"/>
  <c r="D58" i="1"/>
  <c r="C58" i="1"/>
  <c r="B58" i="1"/>
  <c r="A58" i="1"/>
  <c r="E57" i="1"/>
  <c r="D57" i="1"/>
  <c r="C57" i="1"/>
  <c r="B57" i="1"/>
  <c r="A57" i="1"/>
  <c r="E56" i="1"/>
  <c r="D56" i="1"/>
  <c r="C56" i="1"/>
  <c r="B56" i="1"/>
  <c r="A56" i="1"/>
  <c r="E55" i="1"/>
  <c r="D55" i="1"/>
  <c r="C55" i="1"/>
  <c r="B55" i="1"/>
  <c r="A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E28" i="1"/>
  <c r="D28" i="1"/>
  <c r="C28" i="1"/>
  <c r="B28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D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D16" i="1"/>
  <c r="C16" i="1"/>
  <c r="B16" i="1"/>
  <c r="A16" i="1"/>
  <c r="E15" i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A13" i="1"/>
  <c r="E12" i="1"/>
  <c r="D12" i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  <c r="E8" i="1"/>
  <c r="D8" i="1"/>
  <c r="C8" i="1"/>
  <c r="B8" i="1"/>
  <c r="A8" i="1"/>
  <c r="E7" i="1"/>
  <c r="D7" i="1"/>
  <c r="C7" i="1"/>
  <c r="B7" i="1"/>
  <c r="A7" i="1"/>
</calcChain>
</file>

<file path=xl/sharedStrings.xml><?xml version="1.0" encoding="utf-8"?>
<sst xmlns="http://schemas.openxmlformats.org/spreadsheetml/2006/main" count="9" uniqueCount="9">
  <si>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</si>
  <si>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</si>
  <si>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</si>
  <si>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</si>
  <si>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</si>
  <si>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</si>
  <si>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Отчет об остатках на балансовых и внебалансовых счетах</t>
  </si>
  <si>
    <t>АО "Евразийский Банк"</t>
  </si>
  <si>
    <t>по состоянию на 30.12.2022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</si>
</sst>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0" xfId="0" applyBorder="1"/>
    <xf numFmtId="4" fontId="0" fillId="0" borderId="10" xfId="0" applyNumberFormat="1" applyBorder="1"/>
    <xf numFmtId="0" fontId="0" fillId="0" borderId="0" xfId="0"/>
    <xf numFmtId="4" fontId="0" fillId="0" borderId="0" xfId="0" applyNumberFormat="1"/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43" fontId="0" fillId="0" borderId="10" xfId="49" applyFont="1" applyBorder="1"/>
  </cellXfs>
  <cellStyles count="50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1 2" xfId="43" xr:uid="{00000000-0005-0000-0000-00002F000000}"/>
    <cellStyle name="60% — акцент2" xfId="25" builtinId="36" customBuiltin="1"/>
    <cellStyle name="60% — акцент2 2" xfId="44" xr:uid="{00000000-0005-0000-0000-000030000000}"/>
    <cellStyle name="60% — акцент3" xfId="29" builtinId="40" customBuiltin="1"/>
    <cellStyle name="60% — акцент3 2" xfId="45" xr:uid="{00000000-0005-0000-0000-000031000000}"/>
    <cellStyle name="60% — акцент4" xfId="33" builtinId="44" customBuiltin="1"/>
    <cellStyle name="60% — акцент4 2" xfId="46" xr:uid="{00000000-0005-0000-0000-000032000000}"/>
    <cellStyle name="60% — акцент5" xfId="37" builtinId="48" customBuiltin="1"/>
    <cellStyle name="60% — акцент5 2" xfId="47" xr:uid="{00000000-0005-0000-0000-000033000000}"/>
    <cellStyle name="60% — акцент6" xfId="41" builtinId="52" customBuiltin="1"/>
    <cellStyle name="60% — акцент6 2" xfId="48" xr:uid="{00000000-0005-0000-0000-000034000000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Нейтральный 2" xfId="42" xr:uid="{00000000-0005-0000-0000-000035000000}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9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7"/>
  <sheetViews>
    <sheetView tabSelected="1" zoomScale="85" zoomScaleNormal="85" workbookViewId="0">
      <selection activeCell="A2" sqref="A2:F2"/>
    </sheetView>
  </sheetViews>
  <sheetFormatPr defaultRowHeight="15" x14ac:dyDescent="0.25"/>
  <cols>
    <col min="1" max="1" width="12.85546875" style="3" bestFit="1" customWidth="1"/>
    <col min="2" max="2" width="202.42578125" style="3" bestFit="1" customWidth="1"/>
    <col min="3" max="3" width="21.85546875" style="3" bestFit="1" customWidth="1"/>
    <col min="4" max="4" width="23.140625" style="3" bestFit="1" customWidth="1"/>
    <col min="5" max="5" width="17.7109375" style="3" bestFit="1" customWidth="1"/>
    <col min="6" max="6" width="19.140625" style="4" bestFit="1" customWidth="1"/>
  </cols>
  <sheetData>
    <row r="1" spans="1:8" s="3" customFormat="1" ht="18.75" x14ac:dyDescent="0.3">
      <c r="A1" s="5" t="s">
        <v>6</v>
      </c>
      <c r="B1" s="5"/>
      <c r="C1" s="5"/>
      <c r="D1" s="5"/>
      <c r="E1" s="5"/>
      <c r="F1" s="5"/>
    </row>
    <row r="2" spans="1:8" s="3" customFormat="1" ht="18.75" x14ac:dyDescent="0.3">
      <c r="A2" s="6" t="s">
        <v>8</v>
      </c>
      <c r="B2" s="6"/>
      <c r="C2" s="6"/>
      <c r="D2" s="6"/>
      <c r="E2" s="6"/>
      <c r="F2" s="6"/>
    </row>
    <row r="3" spans="1:8" s="3" customFormat="1" ht="18.75" x14ac:dyDescent="0.3">
      <c r="A3" s="6"/>
      <c r="B3" s="6"/>
      <c r="C3" s="6"/>
      <c r="D3" s="6"/>
      <c r="E3" s="6"/>
      <c r="F3" s="6"/>
    </row>
    <row r="4" spans="1:8" s="3" customFormat="1" ht="18.75" x14ac:dyDescent="0.3">
      <c r="A4" s="6" t="s">
        <v>7</v>
      </c>
      <c r="B4" s="6"/>
      <c r="C4" s="6"/>
      <c r="D4" s="6"/>
      <c r="E4" s="6"/>
      <c r="F4" s="6"/>
    </row>
    <row r="5" spans="1:8" s="3" customFormat="1" x14ac:dyDescent="0.25">
      <c r="A5" s="7"/>
      <c r="B5" s="7"/>
      <c r="C5" s="7"/>
      <c r="D5" s="7"/>
      <c r="E5" s="7"/>
      <c r="F5" s="7"/>
    </row>
    <row r="6" spans="1:8" x14ac:dyDescent="0.25">
      <c r="A6" s="8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9" t="s">
        <v>5</v>
      </c>
    </row>
    <row r="7" spans="1:8" x14ac:dyDescent="0.25">
      <c r="A7" s="1">
        <f>("1001")*1</f>
        <v>1001</v>
      </c>
      <c r="B7" s="1" t="str">
        <f>"Наличность в кассе"</f>
        <v>Наличность в кассе</v>
      </c>
      <c r="C7" s="1" t="str">
        <f>"1"</f>
        <v>1</v>
      </c>
      <c r="D7" s="1" t="str">
        <f t="shared" ref="D7:D14" si="0">"3"</f>
        <v>3</v>
      </c>
      <c r="E7" s="1" t="str">
        <f>"1"</f>
        <v>1</v>
      </c>
      <c r="F7" s="2">
        <v>5103027467</v>
      </c>
    </row>
    <row r="8" spans="1:8" x14ac:dyDescent="0.25">
      <c r="A8" s="1">
        <f>("1001")*1</f>
        <v>1001</v>
      </c>
      <c r="B8" s="1" t="str">
        <f>"Наличность в кассе"</f>
        <v>Наличность в кассе</v>
      </c>
      <c r="C8" s="1" t="str">
        <f>"2"</f>
        <v>2</v>
      </c>
      <c r="D8" s="1" t="str">
        <f t="shared" si="0"/>
        <v>3</v>
      </c>
      <c r="E8" s="1" t="str">
        <f>"3"</f>
        <v>3</v>
      </c>
      <c r="F8" s="2">
        <v>4591237115.1000004</v>
      </c>
      <c r="H8" s="3"/>
    </row>
    <row r="9" spans="1:8" x14ac:dyDescent="0.25">
      <c r="A9" s="1">
        <f>("1001")*1</f>
        <v>1001</v>
      </c>
      <c r="B9" s="1" t="str">
        <f>"Наличность в кассе"</f>
        <v>Наличность в кассе</v>
      </c>
      <c r="C9" s="1" t="str">
        <f>"2"</f>
        <v>2</v>
      </c>
      <c r="D9" s="1" t="str">
        <f t="shared" si="0"/>
        <v>3</v>
      </c>
      <c r="E9" s="1" t="str">
        <f>"2"</f>
        <v>2</v>
      </c>
      <c r="F9" s="2">
        <v>45502866421.529999</v>
      </c>
      <c r="H9" s="3"/>
    </row>
    <row r="10" spans="1:8" x14ac:dyDescent="0.25">
      <c r="A10" s="1">
        <f>("1002")*1</f>
        <v>1002</v>
      </c>
      <c r="B10" s="1" t="str">
        <f>"Банкноты и монеты в пути"</f>
        <v>Банкноты и монеты в пути</v>
      </c>
      <c r="C10" s="1" t="str">
        <f>"1"</f>
        <v>1</v>
      </c>
      <c r="D10" s="1" t="str">
        <f t="shared" si="0"/>
        <v>3</v>
      </c>
      <c r="E10" s="1" t="str">
        <f>"1"</f>
        <v>1</v>
      </c>
      <c r="F10" s="2">
        <v>4167825723</v>
      </c>
      <c r="H10" s="3"/>
    </row>
    <row r="11" spans="1:8" x14ac:dyDescent="0.25">
      <c r="A11" s="1">
        <f>("1002")*1</f>
        <v>1002</v>
      </c>
      <c r="B11" s="1" t="str">
        <f>"Банкноты и монеты в пути"</f>
        <v>Банкноты и монеты в пути</v>
      </c>
      <c r="C11" s="1" t="str">
        <f>"2"</f>
        <v>2</v>
      </c>
      <c r="D11" s="1" t="str">
        <f t="shared" si="0"/>
        <v>3</v>
      </c>
      <c r="E11" s="1" t="str">
        <f>"3"</f>
        <v>3</v>
      </c>
      <c r="F11" s="2">
        <v>37407618.100000001</v>
      </c>
      <c r="H11" s="3"/>
    </row>
    <row r="12" spans="1:8" x14ac:dyDescent="0.25">
      <c r="A12" s="1">
        <f>("1002")*1</f>
        <v>1002</v>
      </c>
      <c r="B12" s="1" t="str">
        <f>"Банкноты и монеты в пути"</f>
        <v>Банкноты и монеты в пути</v>
      </c>
      <c r="C12" s="1" t="str">
        <f>"2"</f>
        <v>2</v>
      </c>
      <c r="D12" s="1" t="str">
        <f t="shared" si="0"/>
        <v>3</v>
      </c>
      <c r="E12" s="1" t="str">
        <f>"2"</f>
        <v>2</v>
      </c>
      <c r="F12" s="2">
        <v>1896655164</v>
      </c>
      <c r="H12" s="3"/>
    </row>
    <row r="13" spans="1:8" x14ac:dyDescent="0.25">
      <c r="A13" s="1">
        <f>("1005")*1</f>
        <v>1005</v>
      </c>
      <c r="B13" s="1" t="str">
        <f>"Наличность в банкоматах и электронных терминалах"</f>
        <v>Наличность в банкоматах и электронных терминалах</v>
      </c>
      <c r="C13" s="1" t="str">
        <f>"1"</f>
        <v>1</v>
      </c>
      <c r="D13" s="1" t="str">
        <f t="shared" si="0"/>
        <v>3</v>
      </c>
      <c r="E13" s="1" t="str">
        <f>"1"</f>
        <v>1</v>
      </c>
      <c r="F13" s="2">
        <v>8771594529.4200001</v>
      </c>
      <c r="H13" s="3"/>
    </row>
    <row r="14" spans="1:8" x14ac:dyDescent="0.25">
      <c r="A14" s="1">
        <f>("1005")*1</f>
        <v>1005</v>
      </c>
      <c r="B14" s="1" t="str">
        <f>"Наличность в банкоматах и электронных терминалах"</f>
        <v>Наличность в банкоматах и электронных терминалах</v>
      </c>
      <c r="C14" s="1" t="str">
        <f>"2"</f>
        <v>2</v>
      </c>
      <c r="D14" s="1" t="str">
        <f t="shared" si="0"/>
        <v>3</v>
      </c>
      <c r="E14" s="1" t="str">
        <f>"2"</f>
        <v>2</v>
      </c>
      <c r="F14" s="2">
        <v>231325</v>
      </c>
      <c r="H14" s="3"/>
    </row>
    <row r="15" spans="1:8" x14ac:dyDescent="0.25">
      <c r="A15" s="1">
        <f>("1011")*1</f>
        <v>1011</v>
      </c>
      <c r="B15" s="1" t="str">
        <f>"Аффинированные драгоценные металлы"</f>
        <v>Аффинированные драгоценные металлы</v>
      </c>
      <c r="C15" s="1" t="str">
        <f>""</f>
        <v/>
      </c>
      <c r="D15" s="1" t="str">
        <f>""</f>
        <v/>
      </c>
      <c r="E15" s="1" t="str">
        <f>""</f>
        <v/>
      </c>
      <c r="F15" s="2">
        <v>116421095.64</v>
      </c>
      <c r="H15" s="3"/>
    </row>
    <row r="16" spans="1:8" x14ac:dyDescent="0.25">
      <c r="A16" s="1">
        <f>("1051")*1</f>
        <v>1051</v>
      </c>
      <c r="B16" s="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C16" s="1" t="str">
        <f>"1"</f>
        <v>1</v>
      </c>
      <c r="D16" s="1" t="str">
        <f>"3"</f>
        <v>3</v>
      </c>
      <c r="E16" s="1" t="str">
        <f>"1"</f>
        <v>1</v>
      </c>
      <c r="F16" s="2">
        <v>28916886266.450001</v>
      </c>
      <c r="H16" s="3"/>
    </row>
    <row r="17" spans="1:8" x14ac:dyDescent="0.25">
      <c r="A17" s="1">
        <f>("1051")*1</f>
        <v>1051</v>
      </c>
      <c r="B17" s="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C17" s="1" t="str">
        <f>"1"</f>
        <v>1</v>
      </c>
      <c r="D17" s="1" t="str">
        <f>"3"</f>
        <v>3</v>
      </c>
      <c r="E17" s="1" t="str">
        <f>"2"</f>
        <v>2</v>
      </c>
      <c r="F17" s="2">
        <v>146798705567.59</v>
      </c>
      <c r="H17" s="3"/>
    </row>
    <row r="18" spans="1:8" x14ac:dyDescent="0.25">
      <c r="A18" s="1">
        <f>("1051")*1</f>
        <v>1051</v>
      </c>
      <c r="B18" s="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C18" s="1" t="str">
        <f>"1"</f>
        <v>1</v>
      </c>
      <c r="D18" s="1" t="str">
        <f>"3"</f>
        <v>3</v>
      </c>
      <c r="E18" s="1" t="str">
        <f>"3"</f>
        <v>3</v>
      </c>
      <c r="F18" s="2">
        <v>13824452335.76</v>
      </c>
      <c r="H18" s="3"/>
    </row>
    <row r="19" spans="1:8" x14ac:dyDescent="0.25">
      <c r="A19" s="1">
        <f t="shared" ref="A19:A28" si="1">("1052")*1</f>
        <v>1052</v>
      </c>
      <c r="B19" s="1" t="str">
        <f t="shared" ref="B19:B28" si="2">"Корреспондентские счета в других банках"</f>
        <v>Корреспондентские счета в других банках</v>
      </c>
      <c r="C19" s="1" t="str">
        <f>"2"</f>
        <v>2</v>
      </c>
      <c r="D19" s="1" t="str">
        <f>"5"</f>
        <v>5</v>
      </c>
      <c r="E19" s="1" t="str">
        <f>"3"</f>
        <v>3</v>
      </c>
      <c r="F19" s="2">
        <v>85483833.560000002</v>
      </c>
      <c r="H19" s="3"/>
    </row>
    <row r="20" spans="1:8" x14ac:dyDescent="0.25">
      <c r="A20" s="1">
        <f t="shared" si="1"/>
        <v>1052</v>
      </c>
      <c r="B20" s="1" t="str">
        <f t="shared" si="2"/>
        <v>Корреспондентские счета в других банках</v>
      </c>
      <c r="C20" s="1" t="str">
        <f>"1"</f>
        <v>1</v>
      </c>
      <c r="D20" s="1" t="str">
        <f>"4"</f>
        <v>4</v>
      </c>
      <c r="E20" s="1" t="str">
        <f>"1"</f>
        <v>1</v>
      </c>
      <c r="F20" s="2">
        <v>2427737960.0700002</v>
      </c>
      <c r="H20" s="3"/>
    </row>
    <row r="21" spans="1:8" x14ac:dyDescent="0.25">
      <c r="A21" s="1">
        <f t="shared" si="1"/>
        <v>1052</v>
      </c>
      <c r="B21" s="1" t="str">
        <f t="shared" si="2"/>
        <v>Корреспондентские счета в других банках</v>
      </c>
      <c r="C21" s="1" t="str">
        <f>"1"</f>
        <v>1</v>
      </c>
      <c r="D21" s="1" t="str">
        <f>"5"</f>
        <v>5</v>
      </c>
      <c r="E21" s="1" t="str">
        <f>"2"</f>
        <v>2</v>
      </c>
      <c r="F21" s="2">
        <v>382092146.72000003</v>
      </c>
      <c r="H21" s="3"/>
    </row>
    <row r="22" spans="1:8" x14ac:dyDescent="0.25">
      <c r="A22" s="1">
        <f t="shared" si="1"/>
        <v>1052</v>
      </c>
      <c r="B22" s="1" t="str">
        <f t="shared" si="2"/>
        <v>Корреспондентские счета в других банках</v>
      </c>
      <c r="C22" s="1" t="str">
        <f>"1"</f>
        <v>1</v>
      </c>
      <c r="D22" s="1" t="str">
        <f>"4"</f>
        <v>4</v>
      </c>
      <c r="E22" s="1" t="str">
        <f>"3"</f>
        <v>3</v>
      </c>
      <c r="F22" s="2">
        <v>1856158.11</v>
      </c>
      <c r="H22" s="3"/>
    </row>
    <row r="23" spans="1:8" x14ac:dyDescent="0.25">
      <c r="A23" s="1">
        <f t="shared" si="1"/>
        <v>1052</v>
      </c>
      <c r="B23" s="1" t="str">
        <f t="shared" si="2"/>
        <v>Корреспондентские счета в других банках</v>
      </c>
      <c r="C23" s="1" t="str">
        <f>"2"</f>
        <v>2</v>
      </c>
      <c r="D23" s="1" t="str">
        <f>"3"</f>
        <v>3</v>
      </c>
      <c r="E23" s="1" t="str">
        <f>"2"</f>
        <v>2</v>
      </c>
      <c r="F23" s="2">
        <v>106822658.76000001</v>
      </c>
      <c r="H23" s="3"/>
    </row>
    <row r="24" spans="1:8" x14ac:dyDescent="0.25">
      <c r="A24" s="1">
        <f t="shared" si="1"/>
        <v>1052</v>
      </c>
      <c r="B24" s="1" t="str">
        <f t="shared" si="2"/>
        <v>Корреспондентские счета в других банках</v>
      </c>
      <c r="C24" s="1" t="str">
        <f>"2"</f>
        <v>2</v>
      </c>
      <c r="D24" s="1" t="str">
        <f>"4"</f>
        <v>4</v>
      </c>
      <c r="E24" s="1" t="str">
        <f>"3"</f>
        <v>3</v>
      </c>
      <c r="F24" s="2">
        <v>8567614907.9200001</v>
      </c>
      <c r="H24" s="3"/>
    </row>
    <row r="25" spans="1:8" x14ac:dyDescent="0.25">
      <c r="A25" s="1">
        <f t="shared" si="1"/>
        <v>1052</v>
      </c>
      <c r="B25" s="1" t="str">
        <f t="shared" si="2"/>
        <v>Корреспондентские счета в других банках</v>
      </c>
      <c r="C25" s="1" t="str">
        <f>"1"</f>
        <v>1</v>
      </c>
      <c r="D25" s="1" t="str">
        <f>"4"</f>
        <v>4</v>
      </c>
      <c r="E25" s="1" t="str">
        <f>"2"</f>
        <v>2</v>
      </c>
      <c r="F25" s="2">
        <v>40201330519.510002</v>
      </c>
      <c r="H25" s="3"/>
    </row>
    <row r="26" spans="1:8" x14ac:dyDescent="0.25">
      <c r="A26" s="1">
        <f t="shared" si="1"/>
        <v>1052</v>
      </c>
      <c r="B26" s="1" t="str">
        <f t="shared" si="2"/>
        <v>Корреспондентские счета в других банках</v>
      </c>
      <c r="C26" s="1" t="str">
        <f t="shared" ref="C26:C32" si="3">"2"</f>
        <v>2</v>
      </c>
      <c r="D26" s="1" t="str">
        <f>"3"</f>
        <v>3</v>
      </c>
      <c r="E26" s="1" t="str">
        <f>"3"</f>
        <v>3</v>
      </c>
      <c r="F26" s="2">
        <v>5070.63</v>
      </c>
      <c r="H26" s="3"/>
    </row>
    <row r="27" spans="1:8" x14ac:dyDescent="0.25">
      <c r="A27" s="1">
        <f t="shared" si="1"/>
        <v>1052</v>
      </c>
      <c r="B27" s="1" t="str">
        <f t="shared" si="2"/>
        <v>Корреспондентские счета в других банках</v>
      </c>
      <c r="C27" s="1" t="str">
        <f t="shared" si="3"/>
        <v>2</v>
      </c>
      <c r="D27" s="1" t="str">
        <f>"4"</f>
        <v>4</v>
      </c>
      <c r="E27" s="1" t="str">
        <f>"2"</f>
        <v>2</v>
      </c>
      <c r="F27" s="2">
        <v>124834041752</v>
      </c>
      <c r="H27" s="3"/>
    </row>
    <row r="28" spans="1:8" x14ac:dyDescent="0.25">
      <c r="A28" s="1">
        <f t="shared" si="1"/>
        <v>1052</v>
      </c>
      <c r="B28" s="1" t="str">
        <f t="shared" si="2"/>
        <v>Корреспондентские счета в других банках</v>
      </c>
      <c r="C28" s="1" t="str">
        <f t="shared" si="3"/>
        <v>2</v>
      </c>
      <c r="D28" s="1" t="str">
        <f>"5"</f>
        <v>5</v>
      </c>
      <c r="E28" s="1" t="str">
        <f>"2"</f>
        <v>2</v>
      </c>
      <c r="F28" s="2">
        <v>276666748.74000001</v>
      </c>
      <c r="H28" s="3"/>
    </row>
    <row r="29" spans="1:8" x14ac:dyDescent="0.25">
      <c r="A29" s="1">
        <f>("1054")*1</f>
        <v>1054</v>
      </c>
      <c r="B29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C29" s="1" t="str">
        <f t="shared" si="3"/>
        <v>2</v>
      </c>
      <c r="D29" s="1" t="str">
        <f>"4"</f>
        <v>4</v>
      </c>
      <c r="E29" s="1" t="str">
        <f>"3"</f>
        <v>3</v>
      </c>
      <c r="F29" s="2">
        <v>-105257859.65000001</v>
      </c>
      <c r="H29" s="3"/>
    </row>
    <row r="30" spans="1:8" x14ac:dyDescent="0.25">
      <c r="A30" s="1">
        <f>("1054")*1</f>
        <v>1054</v>
      </c>
      <c r="B30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C30" s="1" t="str">
        <f t="shared" si="3"/>
        <v>2</v>
      </c>
      <c r="D30" s="1" t="str">
        <f>"5"</f>
        <v>5</v>
      </c>
      <c r="E30" s="1" t="str">
        <f>"3"</f>
        <v>3</v>
      </c>
      <c r="F30" s="2">
        <v>-17925.169999999998</v>
      </c>
      <c r="H30" s="3"/>
    </row>
    <row r="31" spans="1:8" x14ac:dyDescent="0.25">
      <c r="A31" s="1">
        <f>("1054")*1</f>
        <v>1054</v>
      </c>
      <c r="B31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C31" s="1" t="str">
        <f t="shared" si="3"/>
        <v>2</v>
      </c>
      <c r="D31" s="1" t="str">
        <f>"5"</f>
        <v>5</v>
      </c>
      <c r="E31" s="1" t="str">
        <f>"2"</f>
        <v>2</v>
      </c>
      <c r="F31" s="2">
        <v>-126750.63</v>
      </c>
      <c r="H31" s="3"/>
    </row>
    <row r="32" spans="1:8" x14ac:dyDescent="0.25">
      <c r="A32" s="1">
        <f>("1054")*1</f>
        <v>1054</v>
      </c>
      <c r="B32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C32" s="1" t="str">
        <f t="shared" si="3"/>
        <v>2</v>
      </c>
      <c r="D32" s="1" t="str">
        <f>"4"</f>
        <v>4</v>
      </c>
      <c r="E32" s="1" t="str">
        <f>"2"</f>
        <v>2</v>
      </c>
      <c r="F32" s="2">
        <v>-289106153.72000003</v>
      </c>
      <c r="H32" s="3"/>
    </row>
    <row r="33" spans="1:8" x14ac:dyDescent="0.25">
      <c r="A33" s="1">
        <f>("1055")*1</f>
        <v>1055</v>
      </c>
      <c r="B33" s="1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C33" s="1" t="str">
        <f>"1"</f>
        <v>1</v>
      </c>
      <c r="D33" s="1" t="str">
        <f>"3"</f>
        <v>3</v>
      </c>
      <c r="E33" s="1" t="str">
        <f>"1"</f>
        <v>1</v>
      </c>
      <c r="F33" s="2">
        <v>2007733836.6500001</v>
      </c>
      <c r="H33" s="3"/>
    </row>
    <row r="34" spans="1:8" x14ac:dyDescent="0.25">
      <c r="A34" s="1">
        <f>("1103")*1</f>
        <v>1103</v>
      </c>
      <c r="B34" s="1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C34" s="1" t="str">
        <f>"1"</f>
        <v>1</v>
      </c>
      <c r="D34" s="1" t="str">
        <f>"3"</f>
        <v>3</v>
      </c>
      <c r="E34" s="1" t="str">
        <f>"2"</f>
        <v>2</v>
      </c>
      <c r="F34" s="2">
        <v>462650000000</v>
      </c>
      <c r="H34" s="3"/>
    </row>
    <row r="35" spans="1:8" x14ac:dyDescent="0.25">
      <c r="A35" s="1">
        <f>("1259")*1</f>
        <v>1259</v>
      </c>
      <c r="B35" s="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C35" s="1" t="str">
        <f>"2"</f>
        <v>2</v>
      </c>
      <c r="D35" s="1" t="str">
        <f>"5"</f>
        <v>5</v>
      </c>
      <c r="E35" s="1" t="str">
        <f>"2"</f>
        <v>2</v>
      </c>
      <c r="F35" s="2">
        <v>-1967951.17</v>
      </c>
      <c r="H35" s="3"/>
    </row>
    <row r="36" spans="1:8" x14ac:dyDescent="0.25">
      <c r="A36" s="1">
        <f>("1267")*1</f>
        <v>1267</v>
      </c>
      <c r="B36" s="1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C36" s="1" t="str">
        <f>"1"</f>
        <v>1</v>
      </c>
      <c r="D36" s="1" t="str">
        <f>"7"</f>
        <v>7</v>
      </c>
      <c r="E36" s="1" t="str">
        <f>"1"</f>
        <v>1</v>
      </c>
      <c r="F36" s="2">
        <v>20000000</v>
      </c>
      <c r="H36" s="3"/>
    </row>
    <row r="37" spans="1:8" x14ac:dyDescent="0.25">
      <c r="A37" s="1">
        <f>("1267")*1</f>
        <v>1267</v>
      </c>
      <c r="B37" s="1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C37" s="1" t="str">
        <f>"2"</f>
        <v>2</v>
      </c>
      <c r="D37" s="1" t="str">
        <f>"5"</f>
        <v>5</v>
      </c>
      <c r="E37" s="1" t="str">
        <f>"3"</f>
        <v>3</v>
      </c>
      <c r="F37" s="2">
        <v>64300000</v>
      </c>
      <c r="H37" s="3"/>
    </row>
    <row r="38" spans="1:8" x14ac:dyDescent="0.25">
      <c r="A38" s="1">
        <f>("1267")*1</f>
        <v>1267</v>
      </c>
      <c r="B38" s="1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C38" s="1" t="str">
        <f>"2"</f>
        <v>2</v>
      </c>
      <c r="D38" s="1" t="str">
        <f>"5"</f>
        <v>5</v>
      </c>
      <c r="E38" s="1" t="str">
        <f>"2"</f>
        <v>2</v>
      </c>
      <c r="F38" s="2">
        <v>7730044177.5200005</v>
      </c>
      <c r="H38" s="3"/>
    </row>
    <row r="39" spans="1:8" x14ac:dyDescent="0.25">
      <c r="A39" s="1">
        <f>("1267")*1</f>
        <v>1267</v>
      </c>
      <c r="B39" s="1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C39" s="1" t="str">
        <f>"1"</f>
        <v>1</v>
      </c>
      <c r="D39" s="1" t="str">
        <f>"5"</f>
        <v>5</v>
      </c>
      <c r="E39" s="1" t="str">
        <f t="shared" ref="E39:E44" si="4">"1"</f>
        <v>1</v>
      </c>
      <c r="F39" s="2">
        <v>58000000</v>
      </c>
      <c r="H39" s="3"/>
    </row>
    <row r="40" spans="1:8" x14ac:dyDescent="0.25">
      <c r="A40" s="1">
        <f>("1403")*1</f>
        <v>1403</v>
      </c>
      <c r="B40" s="1" t="str">
        <f>"Счета по кредитным карточкам клиентов"</f>
        <v>Счета по кредитным карточкам клиентов</v>
      </c>
      <c r="C40" s="1" t="str">
        <f>"1"</f>
        <v>1</v>
      </c>
      <c r="D40" s="1" t="str">
        <f>"9"</f>
        <v>9</v>
      </c>
      <c r="E40" s="1" t="str">
        <f t="shared" si="4"/>
        <v>1</v>
      </c>
      <c r="F40" s="2">
        <v>3060088395.1199999</v>
      </c>
      <c r="H40" s="3"/>
    </row>
    <row r="41" spans="1:8" x14ac:dyDescent="0.25">
      <c r="A41" s="1">
        <f>("1403")*1</f>
        <v>1403</v>
      </c>
      <c r="B41" s="1" t="str">
        <f>"Счета по кредитным карточкам клиентов"</f>
        <v>Счета по кредитным карточкам клиентов</v>
      </c>
      <c r="C41" s="1" t="str">
        <f>"2"</f>
        <v>2</v>
      </c>
      <c r="D41" s="1" t="str">
        <f>"9"</f>
        <v>9</v>
      </c>
      <c r="E41" s="1" t="str">
        <f t="shared" si="4"/>
        <v>1</v>
      </c>
      <c r="F41" s="2">
        <v>5030135.58</v>
      </c>
      <c r="H41" s="3"/>
    </row>
    <row r="42" spans="1:8" x14ac:dyDescent="0.25">
      <c r="A42" s="1">
        <f>("1411")*1</f>
        <v>1411</v>
      </c>
      <c r="B42" s="1" t="str">
        <f>"Краткосрочные займы, предоставленные клиентам"</f>
        <v>Краткосрочные займы, предоставленные клиентам</v>
      </c>
      <c r="C42" s="1" t="str">
        <f>"2"</f>
        <v>2</v>
      </c>
      <c r="D42" s="1" t="str">
        <f>"9"</f>
        <v>9</v>
      </c>
      <c r="E42" s="1" t="str">
        <f t="shared" si="4"/>
        <v>1</v>
      </c>
      <c r="F42" s="2">
        <v>2079701.65</v>
      </c>
      <c r="H42" s="3"/>
    </row>
    <row r="43" spans="1:8" x14ac:dyDescent="0.25">
      <c r="A43" s="1">
        <f>("1411")*1</f>
        <v>1411</v>
      </c>
      <c r="B43" s="1" t="str">
        <f>"Краткосрочные займы, предоставленные клиентам"</f>
        <v>Краткосрочные займы, предоставленные клиентам</v>
      </c>
      <c r="C43" s="1" t="str">
        <f>"1"</f>
        <v>1</v>
      </c>
      <c r="D43" s="1" t="str">
        <f>"9"</f>
        <v>9</v>
      </c>
      <c r="E43" s="1" t="str">
        <f t="shared" si="4"/>
        <v>1</v>
      </c>
      <c r="F43" s="2">
        <v>8918079495.2700005</v>
      </c>
      <c r="H43" s="3"/>
    </row>
    <row r="44" spans="1:8" x14ac:dyDescent="0.25">
      <c r="A44" s="1">
        <f>("1411")*1</f>
        <v>1411</v>
      </c>
      <c r="B44" s="1" t="str">
        <f>"Краткосрочные займы, предоставленные клиентам"</f>
        <v>Краткосрочные займы, предоставленные клиентам</v>
      </c>
      <c r="C44" s="1" t="str">
        <f>"1"</f>
        <v>1</v>
      </c>
      <c r="D44" s="1" t="str">
        <f>"7"</f>
        <v>7</v>
      </c>
      <c r="E44" s="1" t="str">
        <f t="shared" si="4"/>
        <v>1</v>
      </c>
      <c r="F44" s="2">
        <v>12302290142.67</v>
      </c>
      <c r="H44" s="3"/>
    </row>
    <row r="45" spans="1:8" x14ac:dyDescent="0.25">
      <c r="A45" s="1">
        <f t="shared" ref="A45:A55" si="5">("1417")*1</f>
        <v>1417</v>
      </c>
      <c r="B45" s="1" t="str">
        <f t="shared" ref="B45:B55" si="6">"Долгосрочные займы, предоставленные клиентам"</f>
        <v>Долгосрочные займы, предоставленные клиентам</v>
      </c>
      <c r="C45" s="1" t="str">
        <f>"1"</f>
        <v>1</v>
      </c>
      <c r="D45" s="1" t="str">
        <f>"7"</f>
        <v>7</v>
      </c>
      <c r="E45" s="1" t="str">
        <f>"2"</f>
        <v>2</v>
      </c>
      <c r="F45" s="2">
        <v>28366575442.549999</v>
      </c>
      <c r="H45" s="3"/>
    </row>
    <row r="46" spans="1:8" x14ac:dyDescent="0.25">
      <c r="A46" s="1">
        <f t="shared" si="5"/>
        <v>1417</v>
      </c>
      <c r="B46" s="1" t="str">
        <f t="shared" si="6"/>
        <v>Долгосрочные займы, предоставленные клиентам</v>
      </c>
      <c r="C46" s="1" t="str">
        <f>"2"</f>
        <v>2</v>
      </c>
      <c r="D46" s="1" t="str">
        <f>"7"</f>
        <v>7</v>
      </c>
      <c r="E46" s="1" t="str">
        <f>"2"</f>
        <v>2</v>
      </c>
      <c r="F46" s="2">
        <v>14231663246.76</v>
      </c>
      <c r="H46" s="3"/>
    </row>
    <row r="47" spans="1:8" x14ac:dyDescent="0.25">
      <c r="A47" s="1">
        <f t="shared" si="5"/>
        <v>1417</v>
      </c>
      <c r="B47" s="1" t="str">
        <f t="shared" si="6"/>
        <v>Долгосрочные займы, предоставленные клиентам</v>
      </c>
      <c r="C47" s="1" t="str">
        <f>"1"</f>
        <v>1</v>
      </c>
      <c r="D47" s="1" t="str">
        <f>"6"</f>
        <v>6</v>
      </c>
      <c r="E47" s="1" t="str">
        <f>"1"</f>
        <v>1</v>
      </c>
      <c r="F47" s="2">
        <v>8139562000</v>
      </c>
      <c r="H47" s="3"/>
    </row>
    <row r="48" spans="1:8" x14ac:dyDescent="0.25">
      <c r="A48" s="1">
        <f t="shared" si="5"/>
        <v>1417</v>
      </c>
      <c r="B48" s="1" t="str">
        <f t="shared" si="6"/>
        <v>Долгосрочные займы, предоставленные клиентам</v>
      </c>
      <c r="C48" s="1" t="str">
        <f>"1"</f>
        <v>1</v>
      </c>
      <c r="D48" s="1" t="str">
        <f>"7"</f>
        <v>7</v>
      </c>
      <c r="E48" s="1" t="str">
        <f>"1"</f>
        <v>1</v>
      </c>
      <c r="F48" s="2">
        <v>230574993117.06</v>
      </c>
      <c r="H48" s="3"/>
    </row>
    <row r="49" spans="1:8" x14ac:dyDescent="0.25">
      <c r="A49" s="1">
        <f t="shared" si="5"/>
        <v>1417</v>
      </c>
      <c r="B49" s="1" t="str">
        <f t="shared" si="6"/>
        <v>Долгосрочные займы, предоставленные клиентам</v>
      </c>
      <c r="C49" s="1" t="str">
        <f>"1"</f>
        <v>1</v>
      </c>
      <c r="D49" s="1" t="str">
        <f>"7"</f>
        <v>7</v>
      </c>
      <c r="E49" s="1" t="str">
        <f>"3"</f>
        <v>3</v>
      </c>
      <c r="F49" s="2">
        <v>2113097073.0599999</v>
      </c>
      <c r="H49" s="3"/>
    </row>
    <row r="50" spans="1:8" x14ac:dyDescent="0.25">
      <c r="A50" s="1">
        <f t="shared" si="5"/>
        <v>1417</v>
      </c>
      <c r="B50" s="1" t="str">
        <f t="shared" si="6"/>
        <v>Долгосрочные займы, предоставленные клиентам</v>
      </c>
      <c r="C50" s="1" t="str">
        <f>"2"</f>
        <v>2</v>
      </c>
      <c r="D50" s="1" t="str">
        <f>"9"</f>
        <v>9</v>
      </c>
      <c r="E50" s="1" t="str">
        <f>"1"</f>
        <v>1</v>
      </c>
      <c r="F50" s="2">
        <v>47319158.219999999</v>
      </c>
      <c r="H50" s="3"/>
    </row>
    <row r="51" spans="1:8" x14ac:dyDescent="0.25">
      <c r="A51" s="1">
        <f t="shared" si="5"/>
        <v>1417</v>
      </c>
      <c r="B51" s="1" t="str">
        <f t="shared" si="6"/>
        <v>Долгосрочные займы, предоставленные клиентам</v>
      </c>
      <c r="C51" s="1" t="str">
        <f>"1"</f>
        <v>1</v>
      </c>
      <c r="D51" s="1" t="str">
        <f>"5"</f>
        <v>5</v>
      </c>
      <c r="E51" s="1" t="str">
        <f>"1"</f>
        <v>1</v>
      </c>
      <c r="F51" s="2">
        <v>13817001934.450001</v>
      </c>
      <c r="H51" s="3"/>
    </row>
    <row r="52" spans="1:8" x14ac:dyDescent="0.25">
      <c r="A52" s="1">
        <f t="shared" si="5"/>
        <v>1417</v>
      </c>
      <c r="B52" s="1" t="str">
        <f t="shared" si="6"/>
        <v>Долгосрочные займы, предоставленные клиентам</v>
      </c>
      <c r="C52" s="1" t="str">
        <f>"1"</f>
        <v>1</v>
      </c>
      <c r="D52" s="1" t="str">
        <f>"9"</f>
        <v>9</v>
      </c>
      <c r="E52" s="1" t="str">
        <f>"1"</f>
        <v>1</v>
      </c>
      <c r="F52" s="2">
        <v>757276381811.14001</v>
      </c>
      <c r="H52" s="3"/>
    </row>
    <row r="53" spans="1:8" x14ac:dyDescent="0.25">
      <c r="A53" s="1">
        <f t="shared" si="5"/>
        <v>1417</v>
      </c>
      <c r="B53" s="1" t="str">
        <f t="shared" si="6"/>
        <v>Долгосрочные займы, предоставленные клиентам</v>
      </c>
      <c r="C53" s="1" t="str">
        <f>"1"</f>
        <v>1</v>
      </c>
      <c r="D53" s="1" t="str">
        <f>"9"</f>
        <v>9</v>
      </c>
      <c r="E53" s="1" t="str">
        <f>"2"</f>
        <v>2</v>
      </c>
      <c r="F53" s="2">
        <v>245852663.40000001</v>
      </c>
      <c r="H53" s="3"/>
    </row>
    <row r="54" spans="1:8" x14ac:dyDescent="0.25">
      <c r="A54" s="1">
        <f t="shared" si="5"/>
        <v>1417</v>
      </c>
      <c r="B54" s="1" t="str">
        <f t="shared" si="6"/>
        <v>Долгосрочные займы, предоставленные клиентам</v>
      </c>
      <c r="C54" s="1" t="str">
        <f>"1"</f>
        <v>1</v>
      </c>
      <c r="D54" s="1" t="str">
        <f>"5"</f>
        <v>5</v>
      </c>
      <c r="E54" s="1" t="str">
        <f>"2"</f>
        <v>2</v>
      </c>
      <c r="F54" s="2">
        <v>14263560204.309999</v>
      </c>
      <c r="H54" s="3"/>
    </row>
    <row r="55" spans="1:8" x14ac:dyDescent="0.25">
      <c r="A55" s="1">
        <f t="shared" si="5"/>
        <v>1417</v>
      </c>
      <c r="B55" s="1" t="str">
        <f t="shared" si="6"/>
        <v>Долгосрочные займы, предоставленные клиентам</v>
      </c>
      <c r="C55" s="1" t="str">
        <f>"2"</f>
        <v>2</v>
      </c>
      <c r="D55" s="1" t="str">
        <f>"7"</f>
        <v>7</v>
      </c>
      <c r="E55" s="1" t="str">
        <f>"3"</f>
        <v>3</v>
      </c>
      <c r="F55" s="2">
        <v>17013729080.889999</v>
      </c>
      <c r="H55" s="3"/>
    </row>
    <row r="56" spans="1:8" x14ac:dyDescent="0.25">
      <c r="A56" s="1">
        <f>("1421")*1</f>
        <v>1421</v>
      </c>
      <c r="B56" s="1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C56" s="1" t="str">
        <f t="shared" ref="C56:C61" si="7">"1"</f>
        <v>1</v>
      </c>
      <c r="D56" s="1" t="str">
        <f>"7"</f>
        <v>7</v>
      </c>
      <c r="E56" s="1" t="str">
        <f>"1"</f>
        <v>1</v>
      </c>
      <c r="F56" s="2">
        <v>9256258.9100000001</v>
      </c>
      <c r="H56" s="3"/>
    </row>
    <row r="57" spans="1:8" x14ac:dyDescent="0.25">
      <c r="A57" s="1">
        <f t="shared" ref="A57:A63" si="8">("1424")*1</f>
        <v>1424</v>
      </c>
      <c r="B57" s="1" t="str">
        <f t="shared" ref="B57:B63" si="9">"Просроченная задолженность клиентов по займам"</f>
        <v>Просроченная задолженность клиентов по займам</v>
      </c>
      <c r="C57" s="1" t="str">
        <f t="shared" si="7"/>
        <v>1</v>
      </c>
      <c r="D57" s="1" t="str">
        <f>"7"</f>
        <v>7</v>
      </c>
      <c r="E57" s="1" t="str">
        <f>"1"</f>
        <v>1</v>
      </c>
      <c r="F57" s="2">
        <v>9161358041.5799999</v>
      </c>
      <c r="H57" s="3"/>
    </row>
    <row r="58" spans="1:8" x14ac:dyDescent="0.25">
      <c r="A58" s="1">
        <f t="shared" si="8"/>
        <v>1424</v>
      </c>
      <c r="B58" s="1" t="str">
        <f t="shared" si="9"/>
        <v>Просроченная задолженность клиентов по займам</v>
      </c>
      <c r="C58" s="1" t="str">
        <f t="shared" si="7"/>
        <v>1</v>
      </c>
      <c r="D58" s="1" t="str">
        <f>"5"</f>
        <v>5</v>
      </c>
      <c r="E58" s="1" t="str">
        <f>"1"</f>
        <v>1</v>
      </c>
      <c r="F58" s="2">
        <v>3806752226.25</v>
      </c>
      <c r="H58" s="3"/>
    </row>
    <row r="59" spans="1:8" x14ac:dyDescent="0.25">
      <c r="A59" s="1">
        <f t="shared" si="8"/>
        <v>1424</v>
      </c>
      <c r="B59" s="1" t="str">
        <f t="shared" si="9"/>
        <v>Просроченная задолженность клиентов по займам</v>
      </c>
      <c r="C59" s="1" t="str">
        <f t="shared" si="7"/>
        <v>1</v>
      </c>
      <c r="D59" s="1" t="str">
        <f>"7"</f>
        <v>7</v>
      </c>
      <c r="E59" s="1" t="str">
        <f>"2"</f>
        <v>2</v>
      </c>
      <c r="F59" s="2">
        <v>181784488.90000001</v>
      </c>
      <c r="H59" s="3"/>
    </row>
    <row r="60" spans="1:8" x14ac:dyDescent="0.25">
      <c r="A60" s="1">
        <f t="shared" si="8"/>
        <v>1424</v>
      </c>
      <c r="B60" s="1" t="str">
        <f t="shared" si="9"/>
        <v>Просроченная задолженность клиентов по займам</v>
      </c>
      <c r="C60" s="1" t="str">
        <f t="shared" si="7"/>
        <v>1</v>
      </c>
      <c r="D60" s="1" t="str">
        <f>"9"</f>
        <v>9</v>
      </c>
      <c r="E60" s="1" t="str">
        <f>"1"</f>
        <v>1</v>
      </c>
      <c r="F60" s="2">
        <v>28678794066.700001</v>
      </c>
      <c r="H60" s="3"/>
    </row>
    <row r="61" spans="1:8" x14ac:dyDescent="0.25">
      <c r="A61" s="1">
        <f t="shared" si="8"/>
        <v>1424</v>
      </c>
      <c r="B61" s="1" t="str">
        <f t="shared" si="9"/>
        <v>Просроченная задолженность клиентов по займам</v>
      </c>
      <c r="C61" s="1" t="str">
        <f t="shared" si="7"/>
        <v>1</v>
      </c>
      <c r="D61" s="1" t="str">
        <f>"9"</f>
        <v>9</v>
      </c>
      <c r="E61" s="1" t="str">
        <f>"2"</f>
        <v>2</v>
      </c>
      <c r="F61" s="2">
        <v>125610330.90000001</v>
      </c>
      <c r="H61" s="3"/>
    </row>
    <row r="62" spans="1:8" x14ac:dyDescent="0.25">
      <c r="A62" s="1">
        <f t="shared" si="8"/>
        <v>1424</v>
      </c>
      <c r="B62" s="1" t="str">
        <f t="shared" si="9"/>
        <v>Просроченная задолженность клиентов по займам</v>
      </c>
      <c r="C62" s="1" t="str">
        <f>"2"</f>
        <v>2</v>
      </c>
      <c r="D62" s="1" t="str">
        <f>"9"</f>
        <v>9</v>
      </c>
      <c r="E62" s="1" t="str">
        <f>"1"</f>
        <v>1</v>
      </c>
      <c r="F62" s="2">
        <v>14883701.560000001</v>
      </c>
      <c r="H62" s="3"/>
    </row>
    <row r="63" spans="1:8" x14ac:dyDescent="0.25">
      <c r="A63" s="1">
        <f t="shared" si="8"/>
        <v>1424</v>
      </c>
      <c r="B63" s="1" t="str">
        <f t="shared" si="9"/>
        <v>Просроченная задолженность клиентов по займам</v>
      </c>
      <c r="C63" s="1" t="str">
        <f>"2"</f>
        <v>2</v>
      </c>
      <c r="D63" s="1" t="str">
        <f>"7"</f>
        <v>7</v>
      </c>
      <c r="E63" s="1" t="str">
        <f>"3"</f>
        <v>3</v>
      </c>
      <c r="F63" s="2">
        <v>617885563.57000005</v>
      </c>
      <c r="H63" s="3"/>
    </row>
    <row r="64" spans="1:8" x14ac:dyDescent="0.25">
      <c r="A64" s="1">
        <f t="shared" ref="A64:A75" si="10">("1428")*1</f>
        <v>1428</v>
      </c>
      <c r="B64" s="1" t="str">
        <f t="shared" ref="B64:B75" si="11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C64" s="1" t="str">
        <f>"2"</f>
        <v>2</v>
      </c>
      <c r="D64" s="1" t="str">
        <f>"7"</f>
        <v>7</v>
      </c>
      <c r="E64" s="1" t="str">
        <f>"2"</f>
        <v>2</v>
      </c>
      <c r="F64" s="2">
        <v>-160411661.69999999</v>
      </c>
      <c r="H64" s="3"/>
    </row>
    <row r="65" spans="1:8" x14ac:dyDescent="0.25">
      <c r="A65" s="1">
        <f t="shared" si="10"/>
        <v>1428</v>
      </c>
      <c r="B65" s="1" t="str">
        <f t="shared" si="11"/>
        <v>Резервы (провизии) по займам и финансовому лизингу, предоставленным клиентам</v>
      </c>
      <c r="C65" s="1" t="str">
        <f>"2"</f>
        <v>2</v>
      </c>
      <c r="D65" s="1" t="str">
        <f>"9"</f>
        <v>9</v>
      </c>
      <c r="E65" s="1" t="str">
        <f>"2"</f>
        <v>2</v>
      </c>
      <c r="F65" s="2">
        <v>-78340.52</v>
      </c>
      <c r="H65" s="3"/>
    </row>
    <row r="66" spans="1:8" x14ac:dyDescent="0.25">
      <c r="A66" s="1">
        <f t="shared" si="10"/>
        <v>1428</v>
      </c>
      <c r="B66" s="1" t="str">
        <f t="shared" si="11"/>
        <v>Резервы (провизии) по займам и финансовому лизингу, предоставленным клиентам</v>
      </c>
      <c r="C66" s="1" t="str">
        <f>"1"</f>
        <v>1</v>
      </c>
      <c r="D66" s="1" t="str">
        <f>"5"</f>
        <v>5</v>
      </c>
      <c r="E66" s="1" t="str">
        <f>"1"</f>
        <v>1</v>
      </c>
      <c r="F66" s="2">
        <v>-42389587.630000003</v>
      </c>
      <c r="H66" s="3"/>
    </row>
    <row r="67" spans="1:8" x14ac:dyDescent="0.25">
      <c r="A67" s="1">
        <f t="shared" si="10"/>
        <v>1428</v>
      </c>
      <c r="B67" s="1" t="str">
        <f t="shared" si="11"/>
        <v>Резервы (провизии) по займам и финансовому лизингу, предоставленным клиентам</v>
      </c>
      <c r="C67" s="1" t="str">
        <f>"1"</f>
        <v>1</v>
      </c>
      <c r="D67" s="1" t="str">
        <f>"7"</f>
        <v>7</v>
      </c>
      <c r="E67" s="1" t="str">
        <f>"1"</f>
        <v>1</v>
      </c>
      <c r="F67" s="2">
        <v>-35104335809.029999</v>
      </c>
      <c r="H67" s="3"/>
    </row>
    <row r="68" spans="1:8" x14ac:dyDescent="0.25">
      <c r="A68" s="1">
        <f t="shared" si="10"/>
        <v>1428</v>
      </c>
      <c r="B68" s="1" t="str">
        <f t="shared" si="11"/>
        <v>Резервы (провизии) по займам и финансовому лизингу, предоставленным клиентам</v>
      </c>
      <c r="C68" s="1" t="str">
        <f>"1"</f>
        <v>1</v>
      </c>
      <c r="D68" s="1" t="str">
        <f>"7"</f>
        <v>7</v>
      </c>
      <c r="E68" s="1" t="str">
        <f>"2"</f>
        <v>2</v>
      </c>
      <c r="F68" s="2">
        <v>-18457375563.799999</v>
      </c>
      <c r="H68" s="3"/>
    </row>
    <row r="69" spans="1:8" x14ac:dyDescent="0.25">
      <c r="A69" s="1">
        <f t="shared" si="10"/>
        <v>1428</v>
      </c>
      <c r="B69" s="1" t="str">
        <f t="shared" si="11"/>
        <v>Резервы (провизии) по займам и финансовому лизингу, предоставленным клиентам</v>
      </c>
      <c r="C69" s="1" t="str">
        <f>"1"</f>
        <v>1</v>
      </c>
      <c r="D69" s="1" t="str">
        <f>"9"</f>
        <v>9</v>
      </c>
      <c r="E69" s="1" t="str">
        <f>"2"</f>
        <v>2</v>
      </c>
      <c r="F69" s="2">
        <v>-553146532.72000003</v>
      </c>
      <c r="H69" s="3"/>
    </row>
    <row r="70" spans="1:8" x14ac:dyDescent="0.25">
      <c r="A70" s="1">
        <f t="shared" si="10"/>
        <v>1428</v>
      </c>
      <c r="B70" s="1" t="str">
        <f t="shared" si="11"/>
        <v>Резервы (провизии) по займам и финансовому лизингу, предоставленным клиентам</v>
      </c>
      <c r="C70" s="1" t="str">
        <f>"2"</f>
        <v>2</v>
      </c>
      <c r="D70" s="1" t="str">
        <f>"9"</f>
        <v>9</v>
      </c>
      <c r="E70" s="1" t="str">
        <f>"1"</f>
        <v>1</v>
      </c>
      <c r="F70" s="2">
        <v>-51754873.539999999</v>
      </c>
      <c r="H70" s="3"/>
    </row>
    <row r="71" spans="1:8" x14ac:dyDescent="0.25">
      <c r="A71" s="1">
        <f t="shared" si="10"/>
        <v>1428</v>
      </c>
      <c r="B71" s="1" t="str">
        <f t="shared" si="11"/>
        <v>Резервы (провизии) по займам и финансовому лизингу, предоставленным клиентам</v>
      </c>
      <c r="C71" s="1" t="str">
        <f>"1"</f>
        <v>1</v>
      </c>
      <c r="D71" s="1" t="str">
        <f>"7"</f>
        <v>7</v>
      </c>
      <c r="E71" s="1" t="str">
        <f>"3"</f>
        <v>3</v>
      </c>
      <c r="F71" s="2">
        <v>-19266044.260000002</v>
      </c>
      <c r="H71" s="3"/>
    </row>
    <row r="72" spans="1:8" x14ac:dyDescent="0.25">
      <c r="A72" s="1">
        <f t="shared" si="10"/>
        <v>1428</v>
      </c>
      <c r="B72" s="1" t="str">
        <f t="shared" si="11"/>
        <v>Резервы (провизии) по займам и финансовому лизингу, предоставленным клиентам</v>
      </c>
      <c r="C72" s="1" t="str">
        <f>"1"</f>
        <v>1</v>
      </c>
      <c r="D72" s="1" t="str">
        <f>"5"</f>
        <v>5</v>
      </c>
      <c r="E72" s="1" t="str">
        <f>"2"</f>
        <v>2</v>
      </c>
      <c r="F72" s="2">
        <v>-419201719.61000001</v>
      </c>
      <c r="H72" s="3"/>
    </row>
    <row r="73" spans="1:8" x14ac:dyDescent="0.25">
      <c r="A73" s="1">
        <f t="shared" si="10"/>
        <v>1428</v>
      </c>
      <c r="B73" s="1" t="str">
        <f t="shared" si="11"/>
        <v>Резервы (провизии) по займам и финансовому лизингу, предоставленным клиентам</v>
      </c>
      <c r="C73" s="1" t="str">
        <f>"1"</f>
        <v>1</v>
      </c>
      <c r="D73" s="1" t="str">
        <f>"6"</f>
        <v>6</v>
      </c>
      <c r="E73" s="1" t="str">
        <f>"1"</f>
        <v>1</v>
      </c>
      <c r="F73" s="2">
        <v>-3297046771.48</v>
      </c>
      <c r="H73" s="3"/>
    </row>
    <row r="74" spans="1:8" x14ac:dyDescent="0.25">
      <c r="A74" s="1">
        <f t="shared" si="10"/>
        <v>1428</v>
      </c>
      <c r="B74" s="1" t="str">
        <f t="shared" si="11"/>
        <v>Резервы (провизии) по займам и финансовому лизингу, предоставленным клиентам</v>
      </c>
      <c r="C74" s="1" t="str">
        <f>"1"</f>
        <v>1</v>
      </c>
      <c r="D74" s="1" t="str">
        <f>"9"</f>
        <v>9</v>
      </c>
      <c r="E74" s="1" t="str">
        <f>"1"</f>
        <v>1</v>
      </c>
      <c r="F74" s="2">
        <v>-100168022147.52</v>
      </c>
      <c r="H74" s="3"/>
    </row>
    <row r="75" spans="1:8" x14ac:dyDescent="0.25">
      <c r="A75" s="1">
        <f t="shared" si="10"/>
        <v>1428</v>
      </c>
      <c r="B75" s="1" t="str">
        <f t="shared" si="11"/>
        <v>Резервы (провизии) по займам и финансовому лизингу, предоставленным клиентам</v>
      </c>
      <c r="C75" s="1" t="str">
        <f>"2"</f>
        <v>2</v>
      </c>
      <c r="D75" s="1" t="str">
        <f>"7"</f>
        <v>7</v>
      </c>
      <c r="E75" s="1" t="str">
        <f>"3"</f>
        <v>3</v>
      </c>
      <c r="F75" s="2">
        <v>-210496238.27000001</v>
      </c>
      <c r="H75" s="3"/>
    </row>
    <row r="76" spans="1:8" x14ac:dyDescent="0.25">
      <c r="A76" s="1">
        <f t="shared" ref="A76:A86" si="12">("1434")*1</f>
        <v>1434</v>
      </c>
      <c r="B76" s="1" t="str">
        <f t="shared" ref="B76:B86" si="13">"Дисконт по займам, предоставленным клиентам"</f>
        <v>Дисконт по займам, предоставленным клиентам</v>
      </c>
      <c r="C76" s="1" t="str">
        <f>"1"</f>
        <v>1</v>
      </c>
      <c r="D76" s="1" t="str">
        <f>"9"</f>
        <v>9</v>
      </c>
      <c r="E76" s="1" t="str">
        <f>"2"</f>
        <v>2</v>
      </c>
      <c r="F76" s="2">
        <v>-8087658.6699999999</v>
      </c>
      <c r="H76" s="3"/>
    </row>
    <row r="77" spans="1:8" x14ac:dyDescent="0.25">
      <c r="A77" s="1">
        <f t="shared" si="12"/>
        <v>1434</v>
      </c>
      <c r="B77" s="1" t="str">
        <f t="shared" si="13"/>
        <v>Дисконт по займам, предоставленным клиентам</v>
      </c>
      <c r="C77" s="1" t="str">
        <f>"1"</f>
        <v>1</v>
      </c>
      <c r="D77" s="1" t="str">
        <f>"7"</f>
        <v>7</v>
      </c>
      <c r="E77" s="1" t="str">
        <f>"2"</f>
        <v>2</v>
      </c>
      <c r="F77" s="2">
        <v>-1481846735.03</v>
      </c>
      <c r="H77" s="3"/>
    </row>
    <row r="78" spans="1:8" x14ac:dyDescent="0.25">
      <c r="A78" s="1">
        <f t="shared" si="12"/>
        <v>1434</v>
      </c>
      <c r="B78" s="1" t="str">
        <f t="shared" si="13"/>
        <v>Дисконт по займам, предоставленным клиентам</v>
      </c>
      <c r="C78" s="1" t="str">
        <f>"1"</f>
        <v>1</v>
      </c>
      <c r="D78" s="1" t="str">
        <f>"5"</f>
        <v>5</v>
      </c>
      <c r="E78" s="1" t="str">
        <f>"1"</f>
        <v>1</v>
      </c>
      <c r="F78" s="2">
        <v>-3849625139.8000002</v>
      </c>
      <c r="H78" s="3"/>
    </row>
    <row r="79" spans="1:8" x14ac:dyDescent="0.25">
      <c r="A79" s="1">
        <f t="shared" si="12"/>
        <v>1434</v>
      </c>
      <c r="B79" s="1" t="str">
        <f t="shared" si="13"/>
        <v>Дисконт по займам, предоставленным клиентам</v>
      </c>
      <c r="C79" s="1" t="str">
        <f>"1"</f>
        <v>1</v>
      </c>
      <c r="D79" s="1" t="str">
        <f>"9"</f>
        <v>9</v>
      </c>
      <c r="E79" s="1" t="str">
        <f>"1"</f>
        <v>1</v>
      </c>
      <c r="F79" s="2">
        <v>-14469430164.040001</v>
      </c>
      <c r="H79" s="3"/>
    </row>
    <row r="80" spans="1:8" x14ac:dyDescent="0.25">
      <c r="A80" s="1">
        <f t="shared" si="12"/>
        <v>1434</v>
      </c>
      <c r="B80" s="1" t="str">
        <f t="shared" si="13"/>
        <v>Дисконт по займам, предоставленным клиентам</v>
      </c>
      <c r="C80" s="1" t="str">
        <f>"2"</f>
        <v>2</v>
      </c>
      <c r="D80" s="1" t="str">
        <f>"7"</f>
        <v>7</v>
      </c>
      <c r="E80" s="1" t="str">
        <f>"3"</f>
        <v>3</v>
      </c>
      <c r="F80" s="2">
        <v>-102643694.02</v>
      </c>
      <c r="H80" s="3"/>
    </row>
    <row r="81" spans="1:8" x14ac:dyDescent="0.25">
      <c r="A81" s="1">
        <f t="shared" si="12"/>
        <v>1434</v>
      </c>
      <c r="B81" s="1" t="str">
        <f t="shared" si="13"/>
        <v>Дисконт по займам, предоставленным клиентам</v>
      </c>
      <c r="C81" s="1" t="str">
        <f>"2"</f>
        <v>2</v>
      </c>
      <c r="D81" s="1" t="str">
        <f>"7"</f>
        <v>7</v>
      </c>
      <c r="E81" s="1" t="str">
        <f>"2"</f>
        <v>2</v>
      </c>
      <c r="F81" s="2">
        <v>-39606765.5</v>
      </c>
      <c r="H81" s="3"/>
    </row>
    <row r="82" spans="1:8" x14ac:dyDescent="0.25">
      <c r="A82" s="1">
        <f t="shared" si="12"/>
        <v>1434</v>
      </c>
      <c r="B82" s="1" t="str">
        <f t="shared" si="13"/>
        <v>Дисконт по займам, предоставленным клиентам</v>
      </c>
      <c r="C82" s="1" t="str">
        <f>"1"</f>
        <v>1</v>
      </c>
      <c r="D82" s="1" t="str">
        <f>"5"</f>
        <v>5</v>
      </c>
      <c r="E82" s="1" t="str">
        <f>"2"</f>
        <v>2</v>
      </c>
      <c r="F82" s="2">
        <v>-175092765.55000001</v>
      </c>
      <c r="H82" s="3"/>
    </row>
    <row r="83" spans="1:8" x14ac:dyDescent="0.25">
      <c r="A83" s="1">
        <f t="shared" si="12"/>
        <v>1434</v>
      </c>
      <c r="B83" s="1" t="str">
        <f t="shared" si="13"/>
        <v>Дисконт по займам, предоставленным клиентам</v>
      </c>
      <c r="C83" s="1" t="str">
        <f>"1"</f>
        <v>1</v>
      </c>
      <c r="D83" s="1" t="str">
        <f>"6"</f>
        <v>6</v>
      </c>
      <c r="E83" s="1" t="str">
        <f>"1"</f>
        <v>1</v>
      </c>
      <c r="F83" s="2">
        <v>-33301731.010000002</v>
      </c>
      <c r="H83" s="3"/>
    </row>
    <row r="84" spans="1:8" x14ac:dyDescent="0.25">
      <c r="A84" s="1">
        <f t="shared" si="12"/>
        <v>1434</v>
      </c>
      <c r="B84" s="1" t="str">
        <f t="shared" si="13"/>
        <v>Дисконт по займам, предоставленным клиентам</v>
      </c>
      <c r="C84" s="1" t="str">
        <f>"2"</f>
        <v>2</v>
      </c>
      <c r="D84" s="1" t="str">
        <f>"9"</f>
        <v>9</v>
      </c>
      <c r="E84" s="1" t="str">
        <f>"1"</f>
        <v>1</v>
      </c>
      <c r="F84" s="2">
        <v>-24050229.829999998</v>
      </c>
      <c r="H84" s="3"/>
    </row>
    <row r="85" spans="1:8" x14ac:dyDescent="0.25">
      <c r="A85" s="1">
        <f t="shared" si="12"/>
        <v>1434</v>
      </c>
      <c r="B85" s="1" t="str">
        <f t="shared" si="13"/>
        <v>Дисконт по займам, предоставленным клиентам</v>
      </c>
      <c r="C85" s="1" t="str">
        <f>"1"</f>
        <v>1</v>
      </c>
      <c r="D85" s="1" t="str">
        <f>"7"</f>
        <v>7</v>
      </c>
      <c r="E85" s="1" t="str">
        <f>"1"</f>
        <v>1</v>
      </c>
      <c r="F85" s="2">
        <v>-11718390853.15</v>
      </c>
      <c r="H85" s="3"/>
    </row>
    <row r="86" spans="1:8" x14ac:dyDescent="0.25">
      <c r="A86" s="1">
        <f t="shared" si="12"/>
        <v>1434</v>
      </c>
      <c r="B86" s="1" t="str">
        <f t="shared" si="13"/>
        <v>Дисконт по займам, предоставленным клиентам</v>
      </c>
      <c r="C86" s="1" t="str">
        <f>"1"</f>
        <v>1</v>
      </c>
      <c r="D86" s="1" t="str">
        <f>"7"</f>
        <v>7</v>
      </c>
      <c r="E86" s="1" t="str">
        <f>"3"</f>
        <v>3</v>
      </c>
      <c r="F86" s="2">
        <v>-2072375.18</v>
      </c>
      <c r="H86" s="3"/>
    </row>
    <row r="87" spans="1:8" x14ac:dyDescent="0.25">
      <c r="A87" s="1">
        <f>("1435")*1</f>
        <v>1435</v>
      </c>
      <c r="B87" s="1" t="str">
        <f>"Премия по займам, предоставленным клиентам"</f>
        <v>Премия по займам, предоставленным клиентам</v>
      </c>
      <c r="C87" s="1" t="str">
        <f>"2"</f>
        <v>2</v>
      </c>
      <c r="D87" s="1" t="str">
        <f>"9"</f>
        <v>9</v>
      </c>
      <c r="E87" s="1" t="str">
        <f>"1"</f>
        <v>1</v>
      </c>
      <c r="F87" s="2">
        <v>1401015.05</v>
      </c>
      <c r="H87" s="3"/>
    </row>
    <row r="88" spans="1:8" x14ac:dyDescent="0.25">
      <c r="A88" s="1">
        <f>("1435")*1</f>
        <v>1435</v>
      </c>
      <c r="B88" s="1" t="str">
        <f>"Премия по займам, предоставленным клиентам"</f>
        <v>Премия по займам, предоставленным клиентам</v>
      </c>
      <c r="C88" s="1" t="str">
        <f>"1"</f>
        <v>1</v>
      </c>
      <c r="D88" s="1" t="str">
        <f>"9"</f>
        <v>9</v>
      </c>
      <c r="E88" s="1" t="str">
        <f>"1"</f>
        <v>1</v>
      </c>
      <c r="F88" s="2">
        <v>3195041896.52</v>
      </c>
      <c r="H88" s="3"/>
    </row>
    <row r="89" spans="1:8" x14ac:dyDescent="0.25">
      <c r="A89" s="1">
        <f>("1435")*1</f>
        <v>1435</v>
      </c>
      <c r="B89" s="1" t="str">
        <f>"Премия по займам, предоставленным клиентам"</f>
        <v>Премия по займам, предоставленным клиентам</v>
      </c>
      <c r="C89" s="1" t="str">
        <f>"1"</f>
        <v>1</v>
      </c>
      <c r="D89" s="1" t="str">
        <f>"9"</f>
        <v>9</v>
      </c>
      <c r="E89" s="1" t="str">
        <f>"2"</f>
        <v>2</v>
      </c>
      <c r="F89" s="2">
        <v>31867.33</v>
      </c>
      <c r="H89" s="3"/>
    </row>
    <row r="90" spans="1:8" x14ac:dyDescent="0.25">
      <c r="A90" s="1">
        <f>("1435")*1</f>
        <v>1435</v>
      </c>
      <c r="B90" s="1" t="str">
        <f>"Премия по займам, предоставленным клиентам"</f>
        <v>Премия по займам, предоставленным клиентам</v>
      </c>
      <c r="C90" s="1" t="str">
        <f>"1"</f>
        <v>1</v>
      </c>
      <c r="D90" s="1" t="str">
        <f>"7"</f>
        <v>7</v>
      </c>
      <c r="E90" s="1" t="str">
        <f>"1"</f>
        <v>1</v>
      </c>
      <c r="F90" s="2">
        <v>5815185.4400000004</v>
      </c>
      <c r="H90" s="3"/>
    </row>
    <row r="91" spans="1:8" x14ac:dyDescent="0.25">
      <c r="A91" s="1">
        <f t="shared" ref="A91:A98" si="14">("1452")*1</f>
        <v>1452</v>
      </c>
      <c r="B91" s="1" t="str">
        <f t="shared" ref="B91:B98" si="15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C91" s="1" t="str">
        <f>"1"</f>
        <v>1</v>
      </c>
      <c r="D91" s="1" t="str">
        <f>"1"</f>
        <v>1</v>
      </c>
      <c r="E91" s="1" t="str">
        <f>"2"</f>
        <v>2</v>
      </c>
      <c r="F91" s="2">
        <v>13579623000</v>
      </c>
      <c r="H91" s="3"/>
    </row>
    <row r="92" spans="1:8" x14ac:dyDescent="0.25">
      <c r="A92" s="1">
        <f t="shared" si="14"/>
        <v>1452</v>
      </c>
      <c r="B92" s="1" t="str">
        <f t="shared" si="15"/>
        <v>Ценные бумаги, учитываемые по справедливой стоимости через прочий совокупный доход</v>
      </c>
      <c r="C92" s="1" t="str">
        <f>"1"</f>
        <v>1</v>
      </c>
      <c r="D92" s="1" t="str">
        <f>"1"</f>
        <v>1</v>
      </c>
      <c r="E92" s="1" t="str">
        <f>"1"</f>
        <v>1</v>
      </c>
      <c r="F92" s="2">
        <v>65539119000</v>
      </c>
      <c r="H92" s="3"/>
    </row>
    <row r="93" spans="1:8" x14ac:dyDescent="0.25">
      <c r="A93" s="1">
        <f t="shared" si="14"/>
        <v>1452</v>
      </c>
      <c r="B93" s="1" t="str">
        <f t="shared" si="15"/>
        <v>Ценные бумаги, учитываемые по справедливой стоимости через прочий совокупный доход</v>
      </c>
      <c r="C93" s="1" t="str">
        <f>"2"</f>
        <v>2</v>
      </c>
      <c r="D93" s="1" t="str">
        <f>"4"</f>
        <v>4</v>
      </c>
      <c r="E93" s="1" t="str">
        <f t="shared" ref="E93:E102" si="16">"2"</f>
        <v>2</v>
      </c>
      <c r="F93" s="2">
        <v>925300000</v>
      </c>
      <c r="H93" s="3"/>
    </row>
    <row r="94" spans="1:8" x14ac:dyDescent="0.25">
      <c r="A94" s="1">
        <f t="shared" si="14"/>
        <v>1452</v>
      </c>
      <c r="B94" s="1" t="str">
        <f t="shared" si="15"/>
        <v>Ценные бумаги, учитываемые по справедливой стоимости через прочий совокупный доход</v>
      </c>
      <c r="C94" s="1" t="str">
        <f>"2"</f>
        <v>2</v>
      </c>
      <c r="D94" s="1" t="str">
        <f>"1"</f>
        <v>1</v>
      </c>
      <c r="E94" s="1" t="str">
        <f t="shared" si="16"/>
        <v>2</v>
      </c>
      <c r="F94" s="2">
        <v>1850600000</v>
      </c>
      <c r="H94" s="3"/>
    </row>
    <row r="95" spans="1:8" x14ac:dyDescent="0.25">
      <c r="A95" s="1">
        <f t="shared" si="14"/>
        <v>1452</v>
      </c>
      <c r="B95" s="1" t="str">
        <f t="shared" si="15"/>
        <v>Ценные бумаги, учитываемые по справедливой стоимости через прочий совокупный доход</v>
      </c>
      <c r="C95" s="1" t="str">
        <f>"2"</f>
        <v>2</v>
      </c>
      <c r="D95" s="1" t="str">
        <f>"5"</f>
        <v>5</v>
      </c>
      <c r="E95" s="1" t="str">
        <f t="shared" si="16"/>
        <v>2</v>
      </c>
      <c r="F95" s="2">
        <v>11886866450</v>
      </c>
      <c r="H95" s="3"/>
    </row>
    <row r="96" spans="1:8" x14ac:dyDescent="0.25">
      <c r="A96" s="1">
        <f t="shared" si="14"/>
        <v>1452</v>
      </c>
      <c r="B96" s="1" t="str">
        <f t="shared" si="15"/>
        <v>Ценные бумаги, учитываемые по справедливой стоимости через прочий совокупный доход</v>
      </c>
      <c r="C96" s="1" t="str">
        <f>"1"</f>
        <v>1</v>
      </c>
      <c r="D96" s="1" t="str">
        <f>"6"</f>
        <v>6</v>
      </c>
      <c r="E96" s="1" t="str">
        <f t="shared" si="16"/>
        <v>2</v>
      </c>
      <c r="F96" s="2">
        <v>20490768500</v>
      </c>
      <c r="H96" s="3"/>
    </row>
    <row r="97" spans="1:8" x14ac:dyDescent="0.25">
      <c r="A97" s="1">
        <f t="shared" si="14"/>
        <v>1452</v>
      </c>
      <c r="B97" s="1" t="str">
        <f t="shared" si="15"/>
        <v>Ценные бумаги, учитываемые по справедливой стоимости через прочий совокупный доход</v>
      </c>
      <c r="C97" s="1" t="str">
        <f>"2"</f>
        <v>2</v>
      </c>
      <c r="D97" s="1" t="str">
        <f>"3"</f>
        <v>3</v>
      </c>
      <c r="E97" s="1" t="str">
        <f t="shared" si="16"/>
        <v>2</v>
      </c>
      <c r="F97" s="2">
        <v>1478580000</v>
      </c>
      <c r="H97" s="3"/>
    </row>
    <row r="98" spans="1:8" x14ac:dyDescent="0.25">
      <c r="A98" s="1">
        <f t="shared" si="14"/>
        <v>1452</v>
      </c>
      <c r="B98" s="1" t="str">
        <f t="shared" si="15"/>
        <v>Ценные бумаги, учитываемые по справедливой стоимости через прочий совокупный доход</v>
      </c>
      <c r="C98" s="1" t="str">
        <f>"2"</f>
        <v>2</v>
      </c>
      <c r="D98" s="1" t="str">
        <f>"7"</f>
        <v>7</v>
      </c>
      <c r="E98" s="1" t="str">
        <f t="shared" si="16"/>
        <v>2</v>
      </c>
      <c r="F98" s="2">
        <v>1387950000</v>
      </c>
      <c r="H98" s="3"/>
    </row>
    <row r="99" spans="1:8" x14ac:dyDescent="0.25">
      <c r="A99" s="1">
        <f t="shared" ref="A99:A105" si="17">("1453")*1</f>
        <v>1453</v>
      </c>
      <c r="B99" s="1" t="str">
        <f t="shared" ref="B99:B105" si="18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C99" s="1" t="str">
        <f>"2"</f>
        <v>2</v>
      </c>
      <c r="D99" s="1" t="str">
        <f>"4"</f>
        <v>4</v>
      </c>
      <c r="E99" s="1" t="str">
        <f t="shared" si="16"/>
        <v>2</v>
      </c>
      <c r="F99" s="2">
        <v>-18392734.030000001</v>
      </c>
      <c r="H99" s="3"/>
    </row>
    <row r="100" spans="1:8" x14ac:dyDescent="0.25">
      <c r="A100" s="1">
        <f t="shared" si="17"/>
        <v>1453</v>
      </c>
      <c r="B100" s="1" t="str">
        <f t="shared" si="18"/>
        <v>Дисконт по приобретенным ценным бумагам, учитываемым по справедливой стоимости через прочий совокупный доход</v>
      </c>
      <c r="C100" s="1" t="str">
        <f>"2"</f>
        <v>2</v>
      </c>
      <c r="D100" s="1" t="str">
        <f>"3"</f>
        <v>3</v>
      </c>
      <c r="E100" s="1" t="str">
        <f t="shared" si="16"/>
        <v>2</v>
      </c>
      <c r="F100" s="2">
        <v>-7545124.7400000002</v>
      </c>
      <c r="H100" s="3"/>
    </row>
    <row r="101" spans="1:8" x14ac:dyDescent="0.25">
      <c r="A101" s="1">
        <f t="shared" si="17"/>
        <v>1453</v>
      </c>
      <c r="B101" s="1" t="str">
        <f t="shared" si="18"/>
        <v>Дисконт по приобретенным ценным бумагам, учитываемым по справедливой стоимости через прочий совокупный доход</v>
      </c>
      <c r="C101" s="1" t="str">
        <f>"2"</f>
        <v>2</v>
      </c>
      <c r="D101" s="1" t="str">
        <f>"5"</f>
        <v>5</v>
      </c>
      <c r="E101" s="1" t="str">
        <f t="shared" si="16"/>
        <v>2</v>
      </c>
      <c r="F101" s="2">
        <v>-57093748.890000001</v>
      </c>
      <c r="H101" s="3"/>
    </row>
    <row r="102" spans="1:8" x14ac:dyDescent="0.25">
      <c r="A102" s="1">
        <f t="shared" si="17"/>
        <v>1453</v>
      </c>
      <c r="B102" s="1" t="str">
        <f t="shared" si="18"/>
        <v>Дисконт по приобретенным ценным бумагам, учитываемым по справедливой стоимости через прочий совокупный доход</v>
      </c>
      <c r="C102" s="1" t="str">
        <f>"1"</f>
        <v>1</v>
      </c>
      <c r="D102" s="1" t="str">
        <f>"6"</f>
        <v>6</v>
      </c>
      <c r="E102" s="1" t="str">
        <f t="shared" si="16"/>
        <v>2</v>
      </c>
      <c r="F102" s="2">
        <v>-405704507.30000001</v>
      </c>
      <c r="H102" s="3"/>
    </row>
    <row r="103" spans="1:8" x14ac:dyDescent="0.25">
      <c r="A103" s="1">
        <f t="shared" si="17"/>
        <v>1453</v>
      </c>
      <c r="B103" s="1" t="str">
        <f t="shared" si="18"/>
        <v>Дисконт по приобретенным ценным бумагам, учитываемым по справедливой стоимости через прочий совокупный доход</v>
      </c>
      <c r="C103" s="1" t="str">
        <f>"1"</f>
        <v>1</v>
      </c>
      <c r="D103" s="1" t="str">
        <f>"1"</f>
        <v>1</v>
      </c>
      <c r="E103" s="1" t="str">
        <f>"1"</f>
        <v>1</v>
      </c>
      <c r="F103" s="2">
        <v>-1406851961.2</v>
      </c>
      <c r="H103" s="3"/>
    </row>
    <row r="104" spans="1:8" x14ac:dyDescent="0.25">
      <c r="A104" s="1">
        <f t="shared" si="17"/>
        <v>1453</v>
      </c>
      <c r="B104" s="1" t="str">
        <f t="shared" si="18"/>
        <v>Дисконт по приобретенным ценным бумагам, учитываемым по справедливой стоимости через прочий совокупный доход</v>
      </c>
      <c r="C104" s="1" t="str">
        <f>"2"</f>
        <v>2</v>
      </c>
      <c r="D104" s="1" t="str">
        <f>"1"</f>
        <v>1</v>
      </c>
      <c r="E104" s="1" t="str">
        <f>"2"</f>
        <v>2</v>
      </c>
      <c r="F104" s="2">
        <v>-35638632.729999997</v>
      </c>
      <c r="H104" s="3"/>
    </row>
    <row r="105" spans="1:8" x14ac:dyDescent="0.25">
      <c r="A105" s="1">
        <f t="shared" si="17"/>
        <v>1453</v>
      </c>
      <c r="B105" s="1" t="str">
        <f t="shared" si="18"/>
        <v>Дисконт по приобретенным ценным бумагам, учитываемым по справедливой стоимости через прочий совокупный доход</v>
      </c>
      <c r="C105" s="1" t="str">
        <f>"1"</f>
        <v>1</v>
      </c>
      <c r="D105" s="1" t="str">
        <f>"1"</f>
        <v>1</v>
      </c>
      <c r="E105" s="1" t="str">
        <f>"2"</f>
        <v>2</v>
      </c>
      <c r="F105" s="2">
        <v>-5886138.2699999996</v>
      </c>
      <c r="H105" s="3"/>
    </row>
    <row r="106" spans="1:8" x14ac:dyDescent="0.25">
      <c r="A106" s="1">
        <f>("1454")*1</f>
        <v>1454</v>
      </c>
      <c r="B106" s="1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C106" s="1" t="str">
        <f>"2"</f>
        <v>2</v>
      </c>
      <c r="D106" s="1" t="str">
        <f>"5"</f>
        <v>5</v>
      </c>
      <c r="E106" s="1" t="str">
        <f>"2"</f>
        <v>2</v>
      </c>
      <c r="F106" s="2">
        <v>752566698.54999995</v>
      </c>
      <c r="H106" s="3"/>
    </row>
    <row r="107" spans="1:8" x14ac:dyDescent="0.25">
      <c r="A107" s="1">
        <f>("1454")*1</f>
        <v>1454</v>
      </c>
      <c r="B107" s="1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C107" s="1" t="str">
        <f>"2"</f>
        <v>2</v>
      </c>
      <c r="D107" s="1" t="str">
        <f>"7"</f>
        <v>7</v>
      </c>
      <c r="E107" s="1" t="str">
        <f>"2"</f>
        <v>2</v>
      </c>
      <c r="F107" s="2">
        <v>42864554.890000001</v>
      </c>
      <c r="H107" s="3"/>
    </row>
    <row r="108" spans="1:8" x14ac:dyDescent="0.25">
      <c r="A108" s="1">
        <f>("1454")*1</f>
        <v>1454</v>
      </c>
      <c r="B108" s="1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C108" s="1" t="str">
        <f>"1"</f>
        <v>1</v>
      </c>
      <c r="D108" s="1" t="str">
        <f>"1"</f>
        <v>1</v>
      </c>
      <c r="E108" s="1" t="str">
        <f>"2"</f>
        <v>2</v>
      </c>
      <c r="F108" s="2">
        <v>910438992.64999998</v>
      </c>
      <c r="H108" s="3"/>
    </row>
    <row r="109" spans="1:8" x14ac:dyDescent="0.25">
      <c r="A109" s="1">
        <f>("1454")*1</f>
        <v>1454</v>
      </c>
      <c r="B109" s="1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C109" s="1" t="str">
        <f>"1"</f>
        <v>1</v>
      </c>
      <c r="D109" s="1" t="str">
        <f>"1"</f>
        <v>1</v>
      </c>
      <c r="E109" s="1" t="str">
        <f>"1"</f>
        <v>1</v>
      </c>
      <c r="F109" s="2">
        <v>5011273.8499999996</v>
      </c>
      <c r="H109" s="3"/>
    </row>
    <row r="110" spans="1:8" x14ac:dyDescent="0.25">
      <c r="A110" s="1">
        <f>("1456")*1</f>
        <v>1456</v>
      </c>
      <c r="B110" s="1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10" s="1" t="str">
        <f>"2"</f>
        <v>2</v>
      </c>
      <c r="D110" s="1" t="str">
        <f>"7"</f>
        <v>7</v>
      </c>
      <c r="E110" s="1" t="str">
        <f>"2"</f>
        <v>2</v>
      </c>
      <c r="F110" s="2">
        <v>77341815.819999993</v>
      </c>
      <c r="H110" s="3"/>
    </row>
    <row r="111" spans="1:8" x14ac:dyDescent="0.25">
      <c r="A111" s="1">
        <f>("1456")*1</f>
        <v>1456</v>
      </c>
      <c r="B111" s="1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11" s="1" t="str">
        <f>"2"</f>
        <v>2</v>
      </c>
      <c r="D111" s="1" t="str">
        <f>"3"</f>
        <v>3</v>
      </c>
      <c r="E111" s="1" t="str">
        <f>"2"</f>
        <v>2</v>
      </c>
      <c r="F111" s="2">
        <v>9443567.25</v>
      </c>
      <c r="H111" s="3"/>
    </row>
    <row r="112" spans="1:8" x14ac:dyDescent="0.25">
      <c r="A112" s="1">
        <f>("1456")*1</f>
        <v>1456</v>
      </c>
      <c r="B112" s="1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12" s="1" t="str">
        <f>"2"</f>
        <v>2</v>
      </c>
      <c r="D112" s="1" t="str">
        <f>"5"</f>
        <v>5</v>
      </c>
      <c r="E112" s="1" t="str">
        <f>"2"</f>
        <v>2</v>
      </c>
      <c r="F112" s="2">
        <v>59648918.57</v>
      </c>
      <c r="H112" s="3"/>
    </row>
    <row r="113" spans="1:8" x14ac:dyDescent="0.25">
      <c r="A113" s="1">
        <f>("1456")*1</f>
        <v>1456</v>
      </c>
      <c r="B113" s="1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13" s="1" t="str">
        <f>"2"</f>
        <v>2</v>
      </c>
      <c r="D113" s="1" t="str">
        <f>"1"</f>
        <v>1</v>
      </c>
      <c r="E113" s="1" t="str">
        <f>"2"</f>
        <v>2</v>
      </c>
      <c r="F113" s="2">
        <v>6236341.5700000003</v>
      </c>
      <c r="H113" s="3"/>
    </row>
    <row r="114" spans="1:8" x14ac:dyDescent="0.25">
      <c r="A114" s="1">
        <f>("1456")*1</f>
        <v>1456</v>
      </c>
      <c r="B114" s="1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14" s="1" t="str">
        <f>"1"</f>
        <v>1</v>
      </c>
      <c r="D114" s="1" t="str">
        <f>"1"</f>
        <v>1</v>
      </c>
      <c r="E114" s="1" t="str">
        <f>"1"</f>
        <v>1</v>
      </c>
      <c r="F114" s="2">
        <v>16055078.17</v>
      </c>
      <c r="H114" s="3"/>
    </row>
    <row r="115" spans="1:8" x14ac:dyDescent="0.25">
      <c r="A115" s="1">
        <f t="shared" ref="A115:A122" si="19">("1457")*1</f>
        <v>1457</v>
      </c>
      <c r="B115" s="1" t="str">
        <f t="shared" ref="B115:B122" si="20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15" s="1" t="str">
        <f>"2"</f>
        <v>2</v>
      </c>
      <c r="D115" s="1" t="str">
        <f>"7"</f>
        <v>7</v>
      </c>
      <c r="E115" s="1" t="str">
        <f>"2"</f>
        <v>2</v>
      </c>
      <c r="F115" s="2">
        <v>-154072350.71000001</v>
      </c>
      <c r="H115" s="3"/>
    </row>
    <row r="116" spans="1:8" x14ac:dyDescent="0.25">
      <c r="A116" s="1">
        <f t="shared" si="19"/>
        <v>1457</v>
      </c>
      <c r="B116" s="1" t="str">
        <f t="shared" si="20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16" s="1" t="str">
        <f>"1"</f>
        <v>1</v>
      </c>
      <c r="D116" s="1" t="str">
        <f>"1"</f>
        <v>1</v>
      </c>
      <c r="E116" s="1" t="str">
        <f>"1"</f>
        <v>1</v>
      </c>
      <c r="F116" s="2">
        <v>-3456879556.6500001</v>
      </c>
      <c r="H116" s="3"/>
    </row>
    <row r="117" spans="1:8" x14ac:dyDescent="0.25">
      <c r="A117" s="1">
        <f t="shared" si="19"/>
        <v>1457</v>
      </c>
      <c r="B117" s="1" t="str">
        <f t="shared" si="20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17" s="1" t="str">
        <f>"2"</f>
        <v>2</v>
      </c>
      <c r="D117" s="1" t="str">
        <f>"3"</f>
        <v>3</v>
      </c>
      <c r="E117" s="1" t="str">
        <f t="shared" ref="E117:E127" si="21">"2"</f>
        <v>2</v>
      </c>
      <c r="F117" s="2">
        <v>-391652130.50999999</v>
      </c>
      <c r="H117" s="3"/>
    </row>
    <row r="118" spans="1:8" x14ac:dyDescent="0.25">
      <c r="A118" s="1">
        <f t="shared" si="19"/>
        <v>1457</v>
      </c>
      <c r="B118" s="1" t="str">
        <f t="shared" si="20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18" s="1" t="str">
        <f>"2"</f>
        <v>2</v>
      </c>
      <c r="D118" s="1" t="str">
        <f>"1"</f>
        <v>1</v>
      </c>
      <c r="E118" s="1" t="str">
        <f t="shared" si="21"/>
        <v>2</v>
      </c>
      <c r="F118" s="2">
        <v>-167843812.68000001</v>
      </c>
      <c r="H118" s="3"/>
    </row>
    <row r="119" spans="1:8" x14ac:dyDescent="0.25">
      <c r="A119" s="1">
        <f t="shared" si="19"/>
        <v>1457</v>
      </c>
      <c r="B119" s="1" t="str">
        <f t="shared" si="20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19" s="1" t="str">
        <f>"1"</f>
        <v>1</v>
      </c>
      <c r="D119" s="1" t="str">
        <f>"6"</f>
        <v>6</v>
      </c>
      <c r="E119" s="1" t="str">
        <f t="shared" si="21"/>
        <v>2</v>
      </c>
      <c r="F119" s="2">
        <v>-2155641555.1999998</v>
      </c>
      <c r="H119" s="3"/>
    </row>
    <row r="120" spans="1:8" x14ac:dyDescent="0.25">
      <c r="A120" s="1">
        <f t="shared" si="19"/>
        <v>1457</v>
      </c>
      <c r="B120" s="1" t="str">
        <f t="shared" si="20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20" s="1" t="str">
        <f>"1"</f>
        <v>1</v>
      </c>
      <c r="D120" s="1" t="str">
        <f>"1"</f>
        <v>1</v>
      </c>
      <c r="E120" s="1" t="str">
        <f t="shared" si="21"/>
        <v>2</v>
      </c>
      <c r="F120" s="2">
        <v>-442217486.77999997</v>
      </c>
      <c r="H120" s="3"/>
    </row>
    <row r="121" spans="1:8" x14ac:dyDescent="0.25">
      <c r="A121" s="1">
        <f t="shared" si="19"/>
        <v>1457</v>
      </c>
      <c r="B121" s="1" t="str">
        <f t="shared" si="20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21" s="1" t="str">
        <f>"2"</f>
        <v>2</v>
      </c>
      <c r="D121" s="1" t="str">
        <f>"4"</f>
        <v>4</v>
      </c>
      <c r="E121" s="1" t="str">
        <f t="shared" si="21"/>
        <v>2</v>
      </c>
      <c r="F121" s="2">
        <v>-340808725.97000003</v>
      </c>
      <c r="H121" s="3"/>
    </row>
    <row r="122" spans="1:8" x14ac:dyDescent="0.25">
      <c r="A122" s="1">
        <f t="shared" si="19"/>
        <v>1457</v>
      </c>
      <c r="B122" s="1" t="str">
        <f t="shared" si="20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22" s="1" t="str">
        <f>"2"</f>
        <v>2</v>
      </c>
      <c r="D122" s="1" t="str">
        <f>"5"</f>
        <v>5</v>
      </c>
      <c r="E122" s="1" t="str">
        <f t="shared" si="21"/>
        <v>2</v>
      </c>
      <c r="F122" s="2">
        <v>-4245416666.23</v>
      </c>
      <c r="H122" s="3"/>
    </row>
    <row r="123" spans="1:8" x14ac:dyDescent="0.25">
      <c r="A123" s="1">
        <f>("1459")*1</f>
        <v>1459</v>
      </c>
      <c r="B123" s="1" t="str">
        <f>"Просроченная задолженность по ценным бумагам, учитываемым по справедливой стоимости через прочий совокупный доход"</f>
        <v>Просроченная задолженность по ценным бумагам, учитываемым по справедливой стоимости через прочий совокупный доход</v>
      </c>
      <c r="C123" s="1" t="str">
        <f>"2"</f>
        <v>2</v>
      </c>
      <c r="D123" s="1" t="str">
        <f>"5"</f>
        <v>5</v>
      </c>
      <c r="E123" s="1" t="str">
        <f t="shared" si="21"/>
        <v>2</v>
      </c>
      <c r="F123" s="2">
        <v>2313250000</v>
      </c>
      <c r="H123" s="3"/>
    </row>
    <row r="124" spans="1:8" x14ac:dyDescent="0.25">
      <c r="A124" s="1">
        <f t="shared" ref="A124:A130" si="22">("1481")*1</f>
        <v>1481</v>
      </c>
      <c r="B124" s="1" t="str">
        <f t="shared" ref="B124:B130" si="23">"Ценные бумаги, учитываемые по амортизированной стоимости"</f>
        <v>Ценные бумаги, учитываемые по амортизированной стоимости</v>
      </c>
      <c r="C124" s="1" t="str">
        <f>"1"</f>
        <v>1</v>
      </c>
      <c r="D124" s="1" t="str">
        <f>"1"</f>
        <v>1</v>
      </c>
      <c r="E124" s="1" t="str">
        <f t="shared" si="21"/>
        <v>2</v>
      </c>
      <c r="F124" s="2">
        <v>68757192400</v>
      </c>
      <c r="H124" s="3"/>
    </row>
    <row r="125" spans="1:8" x14ac:dyDescent="0.25">
      <c r="A125" s="1">
        <f t="shared" si="22"/>
        <v>1481</v>
      </c>
      <c r="B125" s="1" t="str">
        <f t="shared" si="23"/>
        <v>Ценные бумаги, учитываемые по амортизированной стоимости</v>
      </c>
      <c r="C125" s="1" t="str">
        <f>"2"</f>
        <v>2</v>
      </c>
      <c r="D125" s="1" t="str">
        <f>"5"</f>
        <v>5</v>
      </c>
      <c r="E125" s="1" t="str">
        <f t="shared" si="21"/>
        <v>2</v>
      </c>
      <c r="F125" s="2">
        <v>13972030000</v>
      </c>
      <c r="H125" s="3"/>
    </row>
    <row r="126" spans="1:8" x14ac:dyDescent="0.25">
      <c r="A126" s="1">
        <f t="shared" si="22"/>
        <v>1481</v>
      </c>
      <c r="B126" s="1" t="str">
        <f t="shared" si="23"/>
        <v>Ценные бумаги, учитываемые по амортизированной стоимости</v>
      </c>
      <c r="C126" s="1" t="str">
        <f>"2"</f>
        <v>2</v>
      </c>
      <c r="D126" s="1" t="str">
        <f>"4"</f>
        <v>4</v>
      </c>
      <c r="E126" s="1" t="str">
        <f t="shared" si="21"/>
        <v>2</v>
      </c>
      <c r="F126" s="2">
        <v>3224670500</v>
      </c>
      <c r="H126" s="3"/>
    </row>
    <row r="127" spans="1:8" x14ac:dyDescent="0.25">
      <c r="A127" s="1">
        <f t="shared" si="22"/>
        <v>1481</v>
      </c>
      <c r="B127" s="1" t="str">
        <f t="shared" si="23"/>
        <v>Ценные бумаги, учитываемые по амортизированной стоимости</v>
      </c>
      <c r="C127" s="1" t="str">
        <f>"1"</f>
        <v>1</v>
      </c>
      <c r="D127" s="1" t="str">
        <f>"4"</f>
        <v>4</v>
      </c>
      <c r="E127" s="1" t="str">
        <f t="shared" si="21"/>
        <v>2</v>
      </c>
      <c r="F127" s="2">
        <v>4626500000</v>
      </c>
      <c r="H127" s="3"/>
    </row>
    <row r="128" spans="1:8" x14ac:dyDescent="0.25">
      <c r="A128" s="1">
        <f t="shared" si="22"/>
        <v>1481</v>
      </c>
      <c r="B128" s="1" t="str">
        <f t="shared" si="23"/>
        <v>Ценные бумаги, учитываемые по амортизированной стоимости</v>
      </c>
      <c r="C128" s="1" t="str">
        <f>"1"</f>
        <v>1</v>
      </c>
      <c r="D128" s="1" t="str">
        <f>"1"</f>
        <v>1</v>
      </c>
      <c r="E128" s="1" t="str">
        <f>"1"</f>
        <v>1</v>
      </c>
      <c r="F128" s="2">
        <v>53625250700</v>
      </c>
      <c r="H128" s="3"/>
    </row>
    <row r="129" spans="1:8" x14ac:dyDescent="0.25">
      <c r="A129" s="1">
        <f t="shared" si="22"/>
        <v>1481</v>
      </c>
      <c r="B129" s="1" t="str">
        <f t="shared" si="23"/>
        <v>Ценные бумаги, учитываемые по амортизированной стоимости</v>
      </c>
      <c r="C129" s="1" t="str">
        <f>"2"</f>
        <v>2</v>
      </c>
      <c r="D129" s="1" t="str">
        <f>"1"</f>
        <v>1</v>
      </c>
      <c r="E129" s="1" t="str">
        <f>"2"</f>
        <v>2</v>
      </c>
      <c r="F129" s="2">
        <v>74486650000</v>
      </c>
      <c r="H129" s="3"/>
    </row>
    <row r="130" spans="1:8" x14ac:dyDescent="0.25">
      <c r="A130" s="1">
        <f t="shared" si="22"/>
        <v>1481</v>
      </c>
      <c r="B130" s="1" t="str">
        <f t="shared" si="23"/>
        <v>Ценные бумаги, учитываемые по амортизированной стоимости</v>
      </c>
      <c r="C130" s="1" t="str">
        <f>"1"</f>
        <v>1</v>
      </c>
      <c r="D130" s="1" t="str">
        <f>"6"</f>
        <v>6</v>
      </c>
      <c r="E130" s="1" t="str">
        <f>"2"</f>
        <v>2</v>
      </c>
      <c r="F130" s="2">
        <v>4443753250</v>
      </c>
      <c r="H130" s="3"/>
    </row>
    <row r="131" spans="1:8" x14ac:dyDescent="0.25">
      <c r="A131" s="1">
        <f>("1482")*1</f>
        <v>1482</v>
      </c>
      <c r="B131" s="1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C131" s="1" t="str">
        <f>"2"</f>
        <v>2</v>
      </c>
      <c r="D131" s="1" t="str">
        <f>"1"</f>
        <v>1</v>
      </c>
      <c r="E131" s="1" t="str">
        <f>"2"</f>
        <v>2</v>
      </c>
      <c r="F131" s="2">
        <v>-708086865.96000004</v>
      </c>
      <c r="H131" s="3"/>
    </row>
    <row r="132" spans="1:8" x14ac:dyDescent="0.25">
      <c r="A132" s="1">
        <f>("1482")*1</f>
        <v>1482</v>
      </c>
      <c r="B132" s="1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C132" s="1" t="str">
        <f>"1"</f>
        <v>1</v>
      </c>
      <c r="D132" s="1" t="str">
        <f>"1"</f>
        <v>1</v>
      </c>
      <c r="E132" s="1" t="str">
        <f>"2"</f>
        <v>2</v>
      </c>
      <c r="F132" s="2">
        <v>-142083590.22</v>
      </c>
      <c r="H132" s="3"/>
    </row>
    <row r="133" spans="1:8" x14ac:dyDescent="0.25">
      <c r="A133" s="1">
        <f>("1482")*1</f>
        <v>1482</v>
      </c>
      <c r="B133" s="1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C133" s="1" t="str">
        <f>"1"</f>
        <v>1</v>
      </c>
      <c r="D133" s="1" t="str">
        <f>"1"</f>
        <v>1</v>
      </c>
      <c r="E133" s="1" t="str">
        <f>"1"</f>
        <v>1</v>
      </c>
      <c r="F133" s="2">
        <v>-1696345275.73</v>
      </c>
      <c r="H133" s="3"/>
    </row>
    <row r="134" spans="1:8" x14ac:dyDescent="0.25">
      <c r="A134" s="1">
        <f>("1482")*1</f>
        <v>1482</v>
      </c>
      <c r="B134" s="1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C134" s="1" t="str">
        <f>"2"</f>
        <v>2</v>
      </c>
      <c r="D134" s="1" t="str">
        <f>"4"</f>
        <v>4</v>
      </c>
      <c r="E134" s="1" t="str">
        <f>"2"</f>
        <v>2</v>
      </c>
      <c r="F134" s="2">
        <v>-80852783.400000006</v>
      </c>
      <c r="H134" s="3"/>
    </row>
    <row r="135" spans="1:8" x14ac:dyDescent="0.25">
      <c r="A135" s="1">
        <f>("1482")*1</f>
        <v>1482</v>
      </c>
      <c r="B135" s="1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C135" s="1" t="str">
        <f>"1"</f>
        <v>1</v>
      </c>
      <c r="D135" s="1" t="str">
        <f>"4"</f>
        <v>4</v>
      </c>
      <c r="E135" s="1" t="str">
        <f>"2"</f>
        <v>2</v>
      </c>
      <c r="F135" s="2">
        <v>-16120618.24</v>
      </c>
      <c r="H135" s="3"/>
    </row>
    <row r="136" spans="1:8" x14ac:dyDescent="0.25">
      <c r="A136" s="1">
        <f t="shared" ref="A136:A141" si="24">("1483")*1</f>
        <v>1483</v>
      </c>
      <c r="B136" s="1" t="str">
        <f t="shared" ref="B136:B141" si="25"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C136" s="1" t="str">
        <f>"1"</f>
        <v>1</v>
      </c>
      <c r="D136" s="1" t="str">
        <f>"4"</f>
        <v>4</v>
      </c>
      <c r="E136" s="1" t="str">
        <f>"2"</f>
        <v>2</v>
      </c>
      <c r="F136" s="2">
        <v>109784800.09</v>
      </c>
      <c r="H136" s="3"/>
    </row>
    <row r="137" spans="1:8" x14ac:dyDescent="0.25">
      <c r="A137" s="1">
        <f t="shared" si="24"/>
        <v>1483</v>
      </c>
      <c r="B137" s="1" t="str">
        <f t="shared" si="25"/>
        <v>Премия по ценным бумагам, учитываемым по амортизированной стоимости</v>
      </c>
      <c r="C137" s="1" t="str">
        <f>"1"</f>
        <v>1</v>
      </c>
      <c r="D137" s="1" t="str">
        <f>"6"</f>
        <v>6</v>
      </c>
      <c r="E137" s="1" t="str">
        <f>"2"</f>
        <v>2</v>
      </c>
      <c r="F137" s="2">
        <v>139183297.52000001</v>
      </c>
      <c r="H137" s="3"/>
    </row>
    <row r="138" spans="1:8" x14ac:dyDescent="0.25">
      <c r="A138" s="1">
        <f t="shared" si="24"/>
        <v>1483</v>
      </c>
      <c r="B138" s="1" t="str">
        <f t="shared" si="25"/>
        <v>Премия по ценным бумагам, учитываемым по амортизированной стоимости</v>
      </c>
      <c r="C138" s="1" t="str">
        <f>"1"</f>
        <v>1</v>
      </c>
      <c r="D138" s="1" t="str">
        <f>"1"</f>
        <v>1</v>
      </c>
      <c r="E138" s="1" t="str">
        <f>"2"</f>
        <v>2</v>
      </c>
      <c r="F138" s="2">
        <v>2553981225.0500002</v>
      </c>
      <c r="H138" s="3"/>
    </row>
    <row r="139" spans="1:8" x14ac:dyDescent="0.25">
      <c r="A139" s="1">
        <f t="shared" si="24"/>
        <v>1483</v>
      </c>
      <c r="B139" s="1" t="str">
        <f t="shared" si="25"/>
        <v>Премия по ценным бумагам, учитываемым по амортизированной стоимости</v>
      </c>
      <c r="C139" s="1" t="str">
        <f>"1"</f>
        <v>1</v>
      </c>
      <c r="D139" s="1" t="str">
        <f>"1"</f>
        <v>1</v>
      </c>
      <c r="E139" s="1" t="str">
        <f>"1"</f>
        <v>1</v>
      </c>
      <c r="F139" s="2">
        <v>86230699.489999995</v>
      </c>
      <c r="H139" s="3"/>
    </row>
    <row r="140" spans="1:8" x14ac:dyDescent="0.25">
      <c r="A140" s="1">
        <f t="shared" si="24"/>
        <v>1483</v>
      </c>
      <c r="B140" s="1" t="str">
        <f t="shared" si="25"/>
        <v>Премия по ценным бумагам, учитываемым по амортизированной стоимости</v>
      </c>
      <c r="C140" s="1" t="str">
        <f>"2"</f>
        <v>2</v>
      </c>
      <c r="D140" s="1" t="str">
        <f>"1"</f>
        <v>1</v>
      </c>
      <c r="E140" s="1" t="str">
        <f t="shared" ref="E140:E146" si="26">"2"</f>
        <v>2</v>
      </c>
      <c r="F140" s="2">
        <v>153761625.72</v>
      </c>
      <c r="H140" s="3"/>
    </row>
    <row r="141" spans="1:8" x14ac:dyDescent="0.25">
      <c r="A141" s="1">
        <f t="shared" si="24"/>
        <v>1483</v>
      </c>
      <c r="B141" s="1" t="str">
        <f t="shared" si="25"/>
        <v>Премия по ценным бумагам, учитываемым по амортизированной стоимости</v>
      </c>
      <c r="C141" s="1" t="str">
        <f>"2"</f>
        <v>2</v>
      </c>
      <c r="D141" s="1" t="str">
        <f>"5"</f>
        <v>5</v>
      </c>
      <c r="E141" s="1" t="str">
        <f t="shared" si="26"/>
        <v>2</v>
      </c>
      <c r="F141" s="2">
        <v>314961127.43000001</v>
      </c>
      <c r="H141" s="3"/>
    </row>
    <row r="142" spans="1:8" x14ac:dyDescent="0.25">
      <c r="A142" s="1">
        <f>("1485")*1</f>
        <v>1485</v>
      </c>
      <c r="B142" s="1" t="str">
        <f>"Просроченная задолженность по ценным бумагам, учитываемым по амортизированной стоимости"</f>
        <v>Просроченная задолженность по ценным бумагам, учитываемым по амортизированной стоимости</v>
      </c>
      <c r="C142" s="1" t="str">
        <f>"2"</f>
        <v>2</v>
      </c>
      <c r="D142" s="1" t="str">
        <f>"5"</f>
        <v>5</v>
      </c>
      <c r="E142" s="1" t="str">
        <f t="shared" si="26"/>
        <v>2</v>
      </c>
      <c r="F142" s="2">
        <v>6939750000</v>
      </c>
      <c r="H142" s="3"/>
    </row>
    <row r="143" spans="1:8" x14ac:dyDescent="0.25">
      <c r="A143" s="1">
        <f>("1486")*1</f>
        <v>1486</v>
      </c>
      <c r="B143" s="1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C143" s="1" t="str">
        <f>"1"</f>
        <v>1</v>
      </c>
      <c r="D143" s="1" t="str">
        <f>"4"</f>
        <v>4</v>
      </c>
      <c r="E143" s="1" t="str">
        <f t="shared" si="26"/>
        <v>2</v>
      </c>
      <c r="F143" s="2">
        <v>-7411588.2300000004</v>
      </c>
      <c r="H143" s="3"/>
    </row>
    <row r="144" spans="1:8" x14ac:dyDescent="0.25">
      <c r="A144" s="1">
        <f>("1486")*1</f>
        <v>1486</v>
      </c>
      <c r="B144" s="1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C144" s="1" t="str">
        <f>"1"</f>
        <v>1</v>
      </c>
      <c r="D144" s="1" t="str">
        <f>"6"</f>
        <v>6</v>
      </c>
      <c r="E144" s="1" t="str">
        <f t="shared" si="26"/>
        <v>2</v>
      </c>
      <c r="F144" s="2">
        <v>-6941873.5599999996</v>
      </c>
      <c r="H144" s="3"/>
    </row>
    <row r="145" spans="1:8" x14ac:dyDescent="0.25">
      <c r="A145" s="1">
        <f>("1486")*1</f>
        <v>1486</v>
      </c>
      <c r="B145" s="1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C145" s="1" t="str">
        <f>"2"</f>
        <v>2</v>
      </c>
      <c r="D145" s="1" t="str">
        <f>"4"</f>
        <v>4</v>
      </c>
      <c r="E145" s="1" t="str">
        <f t="shared" si="26"/>
        <v>2</v>
      </c>
      <c r="F145" s="2">
        <v>-1131394604.3199999</v>
      </c>
      <c r="H145" s="3"/>
    </row>
    <row r="146" spans="1:8" x14ac:dyDescent="0.25">
      <c r="A146" s="1">
        <f>("1486")*1</f>
        <v>1486</v>
      </c>
      <c r="B146" s="1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C146" s="1" t="str">
        <f>"2"</f>
        <v>2</v>
      </c>
      <c r="D146" s="1" t="str">
        <f>"5"</f>
        <v>5</v>
      </c>
      <c r="E146" s="1" t="str">
        <f t="shared" si="26"/>
        <v>2</v>
      </c>
      <c r="F146" s="2">
        <v>-8262893574.8900003</v>
      </c>
      <c r="H146" s="3"/>
    </row>
    <row r="147" spans="1:8" x14ac:dyDescent="0.25">
      <c r="A147" s="1">
        <f>("1551")*1</f>
        <v>1551</v>
      </c>
      <c r="B147" s="1" t="str">
        <f>"Расчеты с другими банками"</f>
        <v>Расчеты с другими банками</v>
      </c>
      <c r="C147" s="1" t="str">
        <f>"1"</f>
        <v>1</v>
      </c>
      <c r="D147" s="1" t="str">
        <f>"4"</f>
        <v>4</v>
      </c>
      <c r="E147" s="1" t="str">
        <f>"1"</f>
        <v>1</v>
      </c>
      <c r="F147" s="2">
        <v>6314146.0099999998</v>
      </c>
      <c r="H147" s="3"/>
    </row>
    <row r="148" spans="1:8" x14ac:dyDescent="0.25">
      <c r="A148" s="1">
        <f>("1552")*1</f>
        <v>1552</v>
      </c>
      <c r="B148" s="1" t="str">
        <f>"Расчеты с клиентами"</f>
        <v>Расчеты с клиентами</v>
      </c>
      <c r="C148" s="1" t="str">
        <f>"1"</f>
        <v>1</v>
      </c>
      <c r="D148" s="1" t="str">
        <f>"6"</f>
        <v>6</v>
      </c>
      <c r="E148" s="1" t="str">
        <f>"1"</f>
        <v>1</v>
      </c>
      <c r="F148" s="2">
        <v>3965087.79</v>
      </c>
      <c r="H148" s="3"/>
    </row>
    <row r="149" spans="1:8" x14ac:dyDescent="0.25">
      <c r="A149" s="1">
        <f>("1602")*1</f>
        <v>1602</v>
      </c>
      <c r="B149" s="1" t="str">
        <f>"Прочие запасы"</f>
        <v>Прочие запасы</v>
      </c>
      <c r="C149" s="1" t="str">
        <f>""</f>
        <v/>
      </c>
      <c r="D149" s="1" t="str">
        <f>""</f>
        <v/>
      </c>
      <c r="E149" s="1" t="str">
        <f>""</f>
        <v/>
      </c>
      <c r="F149" s="2">
        <v>400581475.85000002</v>
      </c>
      <c r="H149" s="3"/>
    </row>
    <row r="150" spans="1:8" x14ac:dyDescent="0.25">
      <c r="A150" s="1">
        <f>("1603")*1</f>
        <v>1603</v>
      </c>
      <c r="B150" s="1" t="str">
        <f>"Монеты, изготовленные из драгоценных металлов, на складе"</f>
        <v>Монеты, изготовленные из драгоценных металлов, на складе</v>
      </c>
      <c r="C150" s="1" t="str">
        <f>"2"</f>
        <v>2</v>
      </c>
      <c r="D150" s="1" t="str">
        <f>""</f>
        <v/>
      </c>
      <c r="E150" s="1" t="str">
        <f>""</f>
        <v/>
      </c>
      <c r="F150" s="2">
        <v>1853393.21</v>
      </c>
      <c r="H150" s="3"/>
    </row>
    <row r="151" spans="1:8" x14ac:dyDescent="0.25">
      <c r="A151" s="1">
        <f>("1604")*1</f>
        <v>1604</v>
      </c>
      <c r="B151" s="1" t="str">
        <f>"Коллекционные монеты, изготовленные из недрагоценных металлов, на складе"</f>
        <v>Коллекционные монеты, изготовленные из недрагоценных металлов, на складе</v>
      </c>
      <c r="C151" s="1" t="str">
        <f>"2"</f>
        <v>2</v>
      </c>
      <c r="D151" s="1" t="str">
        <f>""</f>
        <v/>
      </c>
      <c r="E151" s="1" t="str">
        <f>""</f>
        <v/>
      </c>
      <c r="F151" s="2">
        <v>107174.02</v>
      </c>
      <c r="H151" s="3"/>
    </row>
    <row r="152" spans="1:8" x14ac:dyDescent="0.25">
      <c r="A152" s="1">
        <f>("1610")*1</f>
        <v>1610</v>
      </c>
      <c r="B152" s="1" t="str">
        <f>"Долгосрочные активы, предназначенные для продажи"</f>
        <v>Долгосрочные активы, предназначенные для продажи</v>
      </c>
      <c r="C152" s="1" t="str">
        <f>""</f>
        <v/>
      </c>
      <c r="D152" s="1" t="str">
        <f>""</f>
        <v/>
      </c>
      <c r="E152" s="1" t="str">
        <f>""</f>
        <v/>
      </c>
      <c r="F152" s="2">
        <v>1467730128.6099999</v>
      </c>
      <c r="H152" s="3"/>
    </row>
    <row r="153" spans="1:8" x14ac:dyDescent="0.25">
      <c r="A153" s="1">
        <f>("1651")*1</f>
        <v>1651</v>
      </c>
      <c r="B153" s="1" t="str">
        <f>"Строящиеся (устанавливаемые) основные средства"</f>
        <v>Строящиеся (устанавливаемые) основные средства</v>
      </c>
      <c r="C153" s="1" t="str">
        <f>""</f>
        <v/>
      </c>
      <c r="D153" s="1" t="str">
        <f>""</f>
        <v/>
      </c>
      <c r="E153" s="1" t="str">
        <f>""</f>
        <v/>
      </c>
      <c r="F153" s="2">
        <v>2098342.39</v>
      </c>
      <c r="H153" s="3"/>
    </row>
    <row r="154" spans="1:8" x14ac:dyDescent="0.25">
      <c r="A154" s="1">
        <f>("1652")*1</f>
        <v>1652</v>
      </c>
      <c r="B154" s="1" t="str">
        <f>"Земля, здания и сооружения"</f>
        <v>Земля, здания и сооружения</v>
      </c>
      <c r="C154" s="1" t="str">
        <f>""</f>
        <v/>
      </c>
      <c r="D154" s="1" t="str">
        <f>""</f>
        <v/>
      </c>
      <c r="E154" s="1" t="str">
        <f>""</f>
        <v/>
      </c>
      <c r="F154" s="2">
        <v>11721256586.780001</v>
      </c>
      <c r="H154" s="3"/>
    </row>
    <row r="155" spans="1:8" x14ac:dyDescent="0.25">
      <c r="A155" s="1">
        <f>("1653")*1</f>
        <v>1653</v>
      </c>
      <c r="B155" s="1" t="str">
        <f>"Компьютерное оборудование"</f>
        <v>Компьютерное оборудование</v>
      </c>
      <c r="C155" s="1" t="str">
        <f>""</f>
        <v/>
      </c>
      <c r="D155" s="1" t="str">
        <f>""</f>
        <v/>
      </c>
      <c r="E155" s="1" t="str">
        <f>""</f>
        <v/>
      </c>
      <c r="F155" s="2">
        <v>5663777427.1499996</v>
      </c>
      <c r="H155" s="3"/>
    </row>
    <row r="156" spans="1:8" x14ac:dyDescent="0.25">
      <c r="A156" s="1">
        <f>("1654")*1</f>
        <v>1654</v>
      </c>
      <c r="B156" s="1" t="str">
        <f>"Прочие основные средства"</f>
        <v>Прочие основные средства</v>
      </c>
      <c r="C156" s="1" t="str">
        <f>""</f>
        <v/>
      </c>
      <c r="D156" s="1" t="str">
        <f>""</f>
        <v/>
      </c>
      <c r="E156" s="1" t="str">
        <f>""</f>
        <v/>
      </c>
      <c r="F156" s="2">
        <v>11831137764.940001</v>
      </c>
      <c r="H156" s="3"/>
    </row>
    <row r="157" spans="1:8" x14ac:dyDescent="0.25">
      <c r="A157" s="1">
        <f>("1655")*1</f>
        <v>1655</v>
      </c>
      <c r="B157" s="1" t="str">
        <f>"Активы в форме права пользования"</f>
        <v>Активы в форме права пользования</v>
      </c>
      <c r="C157" s="1" t="str">
        <f>""</f>
        <v/>
      </c>
      <c r="D157" s="1" t="str">
        <f>""</f>
        <v/>
      </c>
      <c r="E157" s="1" t="str">
        <f>""</f>
        <v/>
      </c>
      <c r="F157" s="2">
        <v>4847277312.4799995</v>
      </c>
      <c r="H157" s="3"/>
    </row>
    <row r="158" spans="1:8" x14ac:dyDescent="0.25">
      <c r="A158" s="1">
        <f>("1657")*1</f>
        <v>1657</v>
      </c>
      <c r="B158" s="1" t="str">
        <f>"Капитальные затраты по активам в форме права пользования"</f>
        <v>Капитальные затраты по активам в форме права пользования</v>
      </c>
      <c r="C158" s="1" t="str">
        <f>""</f>
        <v/>
      </c>
      <c r="D158" s="1" t="str">
        <f>""</f>
        <v/>
      </c>
      <c r="E158" s="1" t="str">
        <f>""</f>
        <v/>
      </c>
      <c r="F158" s="2">
        <v>785468360.02999997</v>
      </c>
      <c r="H158" s="3"/>
    </row>
    <row r="159" spans="1:8" x14ac:dyDescent="0.25">
      <c r="A159" s="1">
        <f>("1658")*1</f>
        <v>1658</v>
      </c>
      <c r="B159" s="1" t="str">
        <f>"Транспортные средства"</f>
        <v>Транспортные средства</v>
      </c>
      <c r="C159" s="1" t="str">
        <f>""</f>
        <v/>
      </c>
      <c r="D159" s="1" t="str">
        <f>""</f>
        <v/>
      </c>
      <c r="E159" s="1" t="str">
        <f>""</f>
        <v/>
      </c>
      <c r="F159" s="2">
        <v>908368031.16999996</v>
      </c>
      <c r="H159" s="3"/>
    </row>
    <row r="160" spans="1:8" x14ac:dyDescent="0.25">
      <c r="A160" s="1">
        <f>("1659")*1</f>
        <v>1659</v>
      </c>
      <c r="B160" s="1" t="str">
        <f>"Нематериальные активы"</f>
        <v>Нематериальные активы</v>
      </c>
      <c r="C160" s="1" t="str">
        <f>""</f>
        <v/>
      </c>
      <c r="D160" s="1" t="str">
        <f>""</f>
        <v/>
      </c>
      <c r="E160" s="1" t="str">
        <f>""</f>
        <v/>
      </c>
      <c r="F160" s="2">
        <v>21712471530.66</v>
      </c>
      <c r="H160" s="3"/>
    </row>
    <row r="161" spans="1:8" x14ac:dyDescent="0.25">
      <c r="A161" s="1">
        <f>("1692")*1</f>
        <v>1692</v>
      </c>
      <c r="B161" s="1" t="str">
        <f>"Начисленная амортизация по зданиям и сооружениям"</f>
        <v>Начисленная амортизация по зданиям и сооружениям</v>
      </c>
      <c r="C161" s="1" t="str">
        <f>""</f>
        <v/>
      </c>
      <c r="D161" s="1" t="str">
        <f>""</f>
        <v/>
      </c>
      <c r="E161" s="1" t="str">
        <f>""</f>
        <v/>
      </c>
      <c r="F161" s="2">
        <v>-2712904884</v>
      </c>
      <c r="H161" s="3"/>
    </row>
    <row r="162" spans="1:8" x14ac:dyDescent="0.25">
      <c r="A162" s="1">
        <f>("1693")*1</f>
        <v>1693</v>
      </c>
      <c r="B162" s="1" t="str">
        <f>"Начисленная амортизация по компьютерному оборудованию"</f>
        <v>Начисленная амортизация по компьютерному оборудованию</v>
      </c>
      <c r="C162" s="1" t="str">
        <f>""</f>
        <v/>
      </c>
      <c r="D162" s="1" t="str">
        <f>""</f>
        <v/>
      </c>
      <c r="E162" s="1" t="str">
        <f>""</f>
        <v/>
      </c>
      <c r="F162" s="2">
        <v>-3485274391.1999998</v>
      </c>
      <c r="H162" s="3"/>
    </row>
    <row r="163" spans="1:8" x14ac:dyDescent="0.25">
      <c r="A163" s="1">
        <f>("1694")*1</f>
        <v>1694</v>
      </c>
      <c r="B163" s="1" t="str">
        <f>"Начисленная амортизация по прочим основным средствам"</f>
        <v>Начисленная амортизация по прочим основным средствам</v>
      </c>
      <c r="C163" s="1" t="str">
        <f>""</f>
        <v/>
      </c>
      <c r="D163" s="1" t="str">
        <f>""</f>
        <v/>
      </c>
      <c r="E163" s="1" t="str">
        <f>""</f>
        <v/>
      </c>
      <c r="F163" s="2">
        <v>-9435977176.0599995</v>
      </c>
      <c r="H163" s="3"/>
    </row>
    <row r="164" spans="1:8" x14ac:dyDescent="0.25">
      <c r="A164" s="1">
        <f>("1695")*1</f>
        <v>1695</v>
      </c>
      <c r="B164" s="1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C164" s="1" t="str">
        <f>""</f>
        <v/>
      </c>
      <c r="D164" s="1" t="str">
        <f>""</f>
        <v/>
      </c>
      <c r="E164" s="1" t="str">
        <f>""</f>
        <v/>
      </c>
      <c r="F164" s="2">
        <v>-2178637618.0300002</v>
      </c>
      <c r="H164" s="3"/>
    </row>
    <row r="165" spans="1:8" x14ac:dyDescent="0.25">
      <c r="A165" s="1">
        <f>("1697")*1</f>
        <v>1697</v>
      </c>
      <c r="B165" s="1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C165" s="1" t="str">
        <f>""</f>
        <v/>
      </c>
      <c r="D165" s="1" t="str">
        <f>""</f>
        <v/>
      </c>
      <c r="E165" s="1" t="str">
        <f>""</f>
        <v/>
      </c>
      <c r="F165" s="2">
        <v>-785125932.02999997</v>
      </c>
      <c r="H165" s="3"/>
    </row>
    <row r="166" spans="1:8" x14ac:dyDescent="0.25">
      <c r="A166" s="1">
        <f>("1698")*1</f>
        <v>1698</v>
      </c>
      <c r="B166" s="1" t="str">
        <f>"Начисленная амортизация по транспортным средствам"</f>
        <v>Начисленная амортизация по транспортным средствам</v>
      </c>
      <c r="C166" s="1" t="str">
        <f>""</f>
        <v/>
      </c>
      <c r="D166" s="1" t="str">
        <f>""</f>
        <v/>
      </c>
      <c r="E166" s="1" t="str">
        <f>""</f>
        <v/>
      </c>
      <c r="F166" s="2">
        <v>-513180022.57999998</v>
      </c>
      <c r="H166" s="3"/>
    </row>
    <row r="167" spans="1:8" x14ac:dyDescent="0.25">
      <c r="A167" s="1">
        <f>("1699")*1</f>
        <v>1699</v>
      </c>
      <c r="B167" s="1" t="str">
        <f>"Начисленная амортизация по нематериальным активам"</f>
        <v>Начисленная амортизация по нематериальным активам</v>
      </c>
      <c r="C167" s="1" t="str">
        <f>""</f>
        <v/>
      </c>
      <c r="D167" s="1" t="str">
        <f>""</f>
        <v/>
      </c>
      <c r="E167" s="1" t="str">
        <f>""</f>
        <v/>
      </c>
      <c r="F167" s="2">
        <v>-14917964801.51</v>
      </c>
      <c r="H167" s="3"/>
    </row>
    <row r="168" spans="1:8" x14ac:dyDescent="0.25">
      <c r="A168" s="1">
        <f>("1705")*1</f>
        <v>1705</v>
      </c>
      <c r="B168" s="1" t="str">
        <f>"Начисленные доходы по корреспондентским счетам"</f>
        <v>Начисленные доходы по корреспондентским счетам</v>
      </c>
      <c r="C168" s="1" t="str">
        <f>"2"</f>
        <v>2</v>
      </c>
      <c r="D168" s="1" t="str">
        <f>"4"</f>
        <v>4</v>
      </c>
      <c r="E168" s="1" t="str">
        <f>"2"</f>
        <v>2</v>
      </c>
      <c r="F168" s="2">
        <v>196024.8</v>
      </c>
      <c r="H168" s="3"/>
    </row>
    <row r="169" spans="1:8" x14ac:dyDescent="0.25">
      <c r="A169" s="1">
        <f>("1705")*1</f>
        <v>1705</v>
      </c>
      <c r="B169" s="1" t="str">
        <f>"Начисленные доходы по корреспондентским счетам"</f>
        <v>Начисленные доходы по корреспондентским счетам</v>
      </c>
      <c r="C169" s="1" t="str">
        <f>"2"</f>
        <v>2</v>
      </c>
      <c r="D169" s="1" t="str">
        <f>"3"</f>
        <v>3</v>
      </c>
      <c r="E169" s="1" t="str">
        <f>"2"</f>
        <v>2</v>
      </c>
      <c r="F169" s="2">
        <v>50537.86</v>
      </c>
      <c r="H169" s="3"/>
    </row>
    <row r="170" spans="1:8" x14ac:dyDescent="0.25">
      <c r="A170" s="1">
        <f>("1705")*1</f>
        <v>1705</v>
      </c>
      <c r="B170" s="1" t="str">
        <f>"Начисленные доходы по корреспондентским счетам"</f>
        <v>Начисленные доходы по корреспондентским счетам</v>
      </c>
      <c r="C170" s="1" t="str">
        <f>"2"</f>
        <v>2</v>
      </c>
      <c r="D170" s="1" t="str">
        <f>"4"</f>
        <v>4</v>
      </c>
      <c r="E170" s="1" t="str">
        <f>"3"</f>
        <v>3</v>
      </c>
      <c r="F170" s="2">
        <v>49738.75</v>
      </c>
      <c r="H170" s="3"/>
    </row>
    <row r="171" spans="1:8" x14ac:dyDescent="0.25">
      <c r="A171" s="1">
        <f>("1710")*1</f>
        <v>1710</v>
      </c>
      <c r="B171" s="1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C171" s="1" t="str">
        <f>"1"</f>
        <v>1</v>
      </c>
      <c r="D171" s="1" t="str">
        <f>"3"</f>
        <v>3</v>
      </c>
      <c r="E171" s="1" t="str">
        <f>"2"</f>
        <v>2</v>
      </c>
      <c r="F171" s="2">
        <v>942731597.17999995</v>
      </c>
      <c r="H171" s="3"/>
    </row>
    <row r="172" spans="1:8" x14ac:dyDescent="0.25">
      <c r="A172" s="1">
        <f t="shared" ref="A172:A183" si="27">("1740")*1</f>
        <v>1740</v>
      </c>
      <c r="B172" s="1" t="str">
        <f t="shared" ref="B172:B183" si="28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C172" s="1" t="str">
        <f>"1"</f>
        <v>1</v>
      </c>
      <c r="D172" s="1" t="str">
        <f>"6"</f>
        <v>6</v>
      </c>
      <c r="E172" s="1" t="str">
        <f>"1"</f>
        <v>1</v>
      </c>
      <c r="F172" s="2">
        <v>140480029.84999999</v>
      </c>
      <c r="H172" s="3"/>
    </row>
    <row r="173" spans="1:8" x14ac:dyDescent="0.25">
      <c r="A173" s="1">
        <f t="shared" si="27"/>
        <v>1740</v>
      </c>
      <c r="B173" s="1" t="str">
        <f t="shared" si="28"/>
        <v>Начисленные доходы по займам и финансовому лизингу, предоставленным клиентам</v>
      </c>
      <c r="C173" s="1" t="str">
        <f>"1"</f>
        <v>1</v>
      </c>
      <c r="D173" s="1" t="str">
        <f>"7"</f>
        <v>7</v>
      </c>
      <c r="E173" s="1" t="str">
        <f>"1"</f>
        <v>1</v>
      </c>
      <c r="F173" s="2">
        <v>7939848657.8500004</v>
      </c>
      <c r="H173" s="3"/>
    </row>
    <row r="174" spans="1:8" x14ac:dyDescent="0.25">
      <c r="A174" s="1">
        <f t="shared" si="27"/>
        <v>1740</v>
      </c>
      <c r="B174" s="1" t="str">
        <f t="shared" si="28"/>
        <v>Начисленные доходы по займам и финансовому лизингу, предоставленным клиентам</v>
      </c>
      <c r="C174" s="1" t="str">
        <f>"2"</f>
        <v>2</v>
      </c>
      <c r="D174" s="1" t="str">
        <f>"7"</f>
        <v>7</v>
      </c>
      <c r="E174" s="1" t="str">
        <f>"3"</f>
        <v>3</v>
      </c>
      <c r="F174" s="2">
        <v>73554050.859999999</v>
      </c>
      <c r="H174" s="3"/>
    </row>
    <row r="175" spans="1:8" x14ac:dyDescent="0.25">
      <c r="A175" s="1">
        <f t="shared" si="27"/>
        <v>1740</v>
      </c>
      <c r="B175" s="1" t="str">
        <f t="shared" si="28"/>
        <v>Начисленные доходы по займам и финансовому лизингу, предоставленным клиентам</v>
      </c>
      <c r="C175" s="1" t="str">
        <f>"1"</f>
        <v>1</v>
      </c>
      <c r="D175" s="1" t="str">
        <f>"9"</f>
        <v>9</v>
      </c>
      <c r="E175" s="1" t="str">
        <f>"1"</f>
        <v>1</v>
      </c>
      <c r="F175" s="2">
        <v>15025370122.93</v>
      </c>
      <c r="H175" s="3"/>
    </row>
    <row r="176" spans="1:8" x14ac:dyDescent="0.25">
      <c r="A176" s="1">
        <f t="shared" si="27"/>
        <v>1740</v>
      </c>
      <c r="B176" s="1" t="str">
        <f t="shared" si="28"/>
        <v>Начисленные доходы по займам и финансовому лизингу, предоставленным клиентам</v>
      </c>
      <c r="C176" s="1" t="str">
        <f>"1"</f>
        <v>1</v>
      </c>
      <c r="D176" s="1" t="str">
        <f>"7"</f>
        <v>7</v>
      </c>
      <c r="E176" s="1" t="str">
        <f>"2"</f>
        <v>2</v>
      </c>
      <c r="F176" s="2">
        <v>20901882341.43</v>
      </c>
      <c r="H176" s="3"/>
    </row>
    <row r="177" spans="1:8" x14ac:dyDescent="0.25">
      <c r="A177" s="1">
        <f t="shared" si="27"/>
        <v>1740</v>
      </c>
      <c r="B177" s="1" t="str">
        <f t="shared" si="28"/>
        <v>Начисленные доходы по займам и финансовому лизингу, предоставленным клиентам</v>
      </c>
      <c r="C177" s="1" t="str">
        <f>"2"</f>
        <v>2</v>
      </c>
      <c r="D177" s="1" t="str">
        <f>"9"</f>
        <v>9</v>
      </c>
      <c r="E177" s="1" t="str">
        <f>"2"</f>
        <v>2</v>
      </c>
      <c r="F177" s="2">
        <v>1526.75</v>
      </c>
      <c r="H177" s="3"/>
    </row>
    <row r="178" spans="1:8" x14ac:dyDescent="0.25">
      <c r="A178" s="1">
        <f t="shared" si="27"/>
        <v>1740</v>
      </c>
      <c r="B178" s="1" t="str">
        <f t="shared" si="28"/>
        <v>Начисленные доходы по займам и финансовому лизингу, предоставленным клиентам</v>
      </c>
      <c r="C178" s="1" t="str">
        <f>"1"</f>
        <v>1</v>
      </c>
      <c r="D178" s="1" t="str">
        <f>"5"</f>
        <v>5</v>
      </c>
      <c r="E178" s="1" t="str">
        <f>"1"</f>
        <v>1</v>
      </c>
      <c r="F178" s="2">
        <v>78863400.599999994</v>
      </c>
      <c r="H178" s="3"/>
    </row>
    <row r="179" spans="1:8" x14ac:dyDescent="0.25">
      <c r="A179" s="1">
        <f t="shared" si="27"/>
        <v>1740</v>
      </c>
      <c r="B179" s="1" t="str">
        <f t="shared" si="28"/>
        <v>Начисленные доходы по займам и финансовому лизингу, предоставленным клиентам</v>
      </c>
      <c r="C179" s="1" t="str">
        <f>"1"</f>
        <v>1</v>
      </c>
      <c r="D179" s="1" t="str">
        <f>"9"</f>
        <v>9</v>
      </c>
      <c r="E179" s="1" t="str">
        <f>"2"</f>
        <v>2</v>
      </c>
      <c r="F179" s="2">
        <v>1816217.23</v>
      </c>
      <c r="H179" s="3"/>
    </row>
    <row r="180" spans="1:8" x14ac:dyDescent="0.25">
      <c r="A180" s="1">
        <f t="shared" si="27"/>
        <v>1740</v>
      </c>
      <c r="B180" s="1" t="str">
        <f t="shared" si="28"/>
        <v>Начисленные доходы по займам и финансовому лизингу, предоставленным клиентам</v>
      </c>
      <c r="C180" s="1" t="str">
        <f>"1"</f>
        <v>1</v>
      </c>
      <c r="D180" s="1" t="str">
        <f>"5"</f>
        <v>5</v>
      </c>
      <c r="E180" s="1" t="str">
        <f>"2"</f>
        <v>2</v>
      </c>
      <c r="F180" s="2">
        <v>16799001.93</v>
      </c>
      <c r="H180" s="3"/>
    </row>
    <row r="181" spans="1:8" x14ac:dyDescent="0.25">
      <c r="A181" s="1">
        <f t="shared" si="27"/>
        <v>1740</v>
      </c>
      <c r="B181" s="1" t="str">
        <f t="shared" si="28"/>
        <v>Начисленные доходы по займам и финансовому лизингу, предоставленным клиентам</v>
      </c>
      <c r="C181" s="1" t="str">
        <f>"1"</f>
        <v>1</v>
      </c>
      <c r="D181" s="1" t="str">
        <f>"7"</f>
        <v>7</v>
      </c>
      <c r="E181" s="1" t="str">
        <f>"3"</f>
        <v>3</v>
      </c>
      <c r="F181" s="2">
        <v>12957918.93</v>
      </c>
      <c r="H181" s="3"/>
    </row>
    <row r="182" spans="1:8" x14ac:dyDescent="0.25">
      <c r="A182" s="1">
        <f t="shared" si="27"/>
        <v>1740</v>
      </c>
      <c r="B182" s="1" t="str">
        <f t="shared" si="28"/>
        <v>Начисленные доходы по займам и финансовому лизингу, предоставленным клиентам</v>
      </c>
      <c r="C182" s="1" t="str">
        <f>"2"</f>
        <v>2</v>
      </c>
      <c r="D182" s="1" t="str">
        <f>"7"</f>
        <v>7</v>
      </c>
      <c r="E182" s="1" t="str">
        <f>"2"</f>
        <v>2</v>
      </c>
      <c r="F182" s="2">
        <v>24411318.77</v>
      </c>
      <c r="H182" s="3"/>
    </row>
    <row r="183" spans="1:8" x14ac:dyDescent="0.25">
      <c r="A183" s="1">
        <f t="shared" si="27"/>
        <v>1740</v>
      </c>
      <c r="B183" s="1" t="str">
        <f t="shared" si="28"/>
        <v>Начисленные доходы по займам и финансовому лизингу, предоставленным клиентам</v>
      </c>
      <c r="C183" s="1" t="str">
        <f>"2"</f>
        <v>2</v>
      </c>
      <c r="D183" s="1" t="str">
        <f>"9"</f>
        <v>9</v>
      </c>
      <c r="E183" s="1" t="str">
        <f>"1"</f>
        <v>1</v>
      </c>
      <c r="F183" s="2">
        <v>3059150.76</v>
      </c>
      <c r="H183" s="3"/>
    </row>
    <row r="184" spans="1:8" x14ac:dyDescent="0.25">
      <c r="A184" s="1">
        <f t="shared" ref="A184:A191" si="29">("1741")*1</f>
        <v>1741</v>
      </c>
      <c r="B184" s="1" t="str">
        <f t="shared" ref="B184:B191" si="30"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C184" s="1" t="str">
        <f>"1"</f>
        <v>1</v>
      </c>
      <c r="D184" s="1" t="str">
        <f>"7"</f>
        <v>7</v>
      </c>
      <c r="E184" s="1" t="str">
        <f>"2"</f>
        <v>2</v>
      </c>
      <c r="F184" s="2">
        <v>2363337358.7800002</v>
      </c>
      <c r="H184" s="3"/>
    </row>
    <row r="185" spans="1:8" x14ac:dyDescent="0.25">
      <c r="A185" s="1">
        <f t="shared" si="29"/>
        <v>1741</v>
      </c>
      <c r="B185" s="1" t="str">
        <f t="shared" si="30"/>
        <v>Просроченное вознаграждение по займам и финансовому лизингу, предоставленным клиентам</v>
      </c>
      <c r="C185" s="1" t="str">
        <f>"1"</f>
        <v>1</v>
      </c>
      <c r="D185" s="1" t="str">
        <f>"5"</f>
        <v>5</v>
      </c>
      <c r="E185" s="1" t="str">
        <f>"1"</f>
        <v>1</v>
      </c>
      <c r="F185" s="2">
        <v>36913745.32</v>
      </c>
      <c r="H185" s="3"/>
    </row>
    <row r="186" spans="1:8" x14ac:dyDescent="0.25">
      <c r="A186" s="1">
        <f t="shared" si="29"/>
        <v>1741</v>
      </c>
      <c r="B186" s="1" t="str">
        <f t="shared" si="30"/>
        <v>Просроченное вознаграждение по займам и финансовому лизингу, предоставленным клиентам</v>
      </c>
      <c r="C186" s="1" t="str">
        <f>"1"</f>
        <v>1</v>
      </c>
      <c r="D186" s="1" t="str">
        <f>"7"</f>
        <v>7</v>
      </c>
      <c r="E186" s="1" t="str">
        <f>"1"</f>
        <v>1</v>
      </c>
      <c r="F186" s="2">
        <v>29514069898.419998</v>
      </c>
      <c r="H186" s="3"/>
    </row>
    <row r="187" spans="1:8" x14ac:dyDescent="0.25">
      <c r="A187" s="1">
        <f t="shared" si="29"/>
        <v>1741</v>
      </c>
      <c r="B187" s="1" t="str">
        <f t="shared" si="30"/>
        <v>Просроченное вознаграждение по займам и финансовому лизингу, предоставленным клиентам</v>
      </c>
      <c r="C187" s="1" t="str">
        <f>"2"</f>
        <v>2</v>
      </c>
      <c r="D187" s="1" t="str">
        <f>"7"</f>
        <v>7</v>
      </c>
      <c r="E187" s="1" t="str">
        <f>"3"</f>
        <v>3</v>
      </c>
      <c r="F187" s="2">
        <v>121863735.3</v>
      </c>
      <c r="H187" s="3"/>
    </row>
    <row r="188" spans="1:8" x14ac:dyDescent="0.25">
      <c r="A188" s="1">
        <f t="shared" si="29"/>
        <v>1741</v>
      </c>
      <c r="B188" s="1" t="str">
        <f t="shared" si="30"/>
        <v>Просроченное вознаграждение по займам и финансовому лизингу, предоставленным клиентам</v>
      </c>
      <c r="C188" s="1" t="str">
        <f>"2"</f>
        <v>2</v>
      </c>
      <c r="D188" s="1" t="str">
        <f>"9"</f>
        <v>9</v>
      </c>
      <c r="E188" s="1" t="str">
        <f>"2"</f>
        <v>2</v>
      </c>
      <c r="F188" s="2">
        <v>82458.11</v>
      </c>
      <c r="H188" s="3"/>
    </row>
    <row r="189" spans="1:8" x14ac:dyDescent="0.25">
      <c r="A189" s="1">
        <f t="shared" si="29"/>
        <v>1741</v>
      </c>
      <c r="B189" s="1" t="str">
        <f t="shared" si="30"/>
        <v>Просроченное вознаграждение по займам и финансовому лизингу, предоставленным клиентам</v>
      </c>
      <c r="C189" s="1" t="str">
        <f>"1"</f>
        <v>1</v>
      </c>
      <c r="D189" s="1" t="str">
        <f>"9"</f>
        <v>9</v>
      </c>
      <c r="E189" s="1" t="str">
        <f>"2"</f>
        <v>2</v>
      </c>
      <c r="F189" s="2">
        <v>456753981.98000002</v>
      </c>
      <c r="H189" s="3"/>
    </row>
    <row r="190" spans="1:8" x14ac:dyDescent="0.25">
      <c r="A190" s="1">
        <f t="shared" si="29"/>
        <v>1741</v>
      </c>
      <c r="B190" s="1" t="str">
        <f t="shared" si="30"/>
        <v>Просроченное вознаграждение по займам и финансовому лизингу, предоставленным клиентам</v>
      </c>
      <c r="C190" s="1" t="str">
        <f>"2"</f>
        <v>2</v>
      </c>
      <c r="D190" s="1" t="str">
        <f>"9"</f>
        <v>9</v>
      </c>
      <c r="E190" s="1" t="str">
        <f>"1"</f>
        <v>1</v>
      </c>
      <c r="F190" s="2">
        <v>35725819.530000001</v>
      </c>
      <c r="H190" s="3"/>
    </row>
    <row r="191" spans="1:8" x14ac:dyDescent="0.25">
      <c r="A191" s="1">
        <f t="shared" si="29"/>
        <v>1741</v>
      </c>
      <c r="B191" s="1" t="str">
        <f t="shared" si="30"/>
        <v>Просроченное вознаграждение по займам и финансовому лизингу, предоставленным клиентам</v>
      </c>
      <c r="C191" s="1" t="str">
        <f>"1"</f>
        <v>1</v>
      </c>
      <c r="D191" s="1" t="str">
        <f>"9"</f>
        <v>9</v>
      </c>
      <c r="E191" s="1" t="str">
        <f>"1"</f>
        <v>1</v>
      </c>
      <c r="F191" s="2">
        <v>14374011003.129999</v>
      </c>
      <c r="H191" s="3"/>
    </row>
    <row r="192" spans="1:8" x14ac:dyDescent="0.25">
      <c r="A192" s="1">
        <f t="shared" ref="A192:A199" si="31">("1745")*1</f>
        <v>1745</v>
      </c>
      <c r="B192" s="1" t="str">
        <f t="shared" ref="B192:B199" si="32"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C192" s="1" t="str">
        <f>"2"</f>
        <v>2</v>
      </c>
      <c r="D192" s="1" t="str">
        <f>"4"</f>
        <v>4</v>
      </c>
      <c r="E192" s="1" t="str">
        <f>"1"</f>
        <v>1</v>
      </c>
      <c r="F192" s="2">
        <v>0.03</v>
      </c>
      <c r="H192" s="3"/>
    </row>
    <row r="193" spans="1:8" x14ac:dyDescent="0.25">
      <c r="A193" s="1">
        <f t="shared" si="31"/>
        <v>1745</v>
      </c>
      <c r="B193" s="1" t="str">
        <f t="shared" si="32"/>
        <v>Начисленные доходы по ценным бумагам, учитываемым по амортизированной стоимости</v>
      </c>
      <c r="C193" s="1" t="str">
        <f>"1"</f>
        <v>1</v>
      </c>
      <c r="D193" s="1" t="str">
        <f>"4"</f>
        <v>4</v>
      </c>
      <c r="E193" s="1" t="str">
        <f>"2"</f>
        <v>2</v>
      </c>
      <c r="F193" s="2">
        <v>43334982.030000001</v>
      </c>
      <c r="H193" s="3"/>
    </row>
    <row r="194" spans="1:8" x14ac:dyDescent="0.25">
      <c r="A194" s="1">
        <f t="shared" si="31"/>
        <v>1745</v>
      </c>
      <c r="B194" s="1" t="str">
        <f t="shared" si="32"/>
        <v>Начисленные доходы по ценным бумагам, учитываемым по амортизированной стоимости</v>
      </c>
      <c r="C194" s="1" t="str">
        <f>"1"</f>
        <v>1</v>
      </c>
      <c r="D194" s="1" t="str">
        <f>"1"</f>
        <v>1</v>
      </c>
      <c r="E194" s="1" t="str">
        <f>"1"</f>
        <v>1</v>
      </c>
      <c r="F194" s="2">
        <v>2118812535.0999999</v>
      </c>
      <c r="H194" s="3"/>
    </row>
    <row r="195" spans="1:8" x14ac:dyDescent="0.25">
      <c r="A195" s="1">
        <f t="shared" si="31"/>
        <v>1745</v>
      </c>
      <c r="B195" s="1" t="str">
        <f t="shared" si="32"/>
        <v>Начисленные доходы по ценным бумагам, учитываемым по амортизированной стоимости</v>
      </c>
      <c r="C195" s="1" t="str">
        <f>"2"</f>
        <v>2</v>
      </c>
      <c r="D195" s="1" t="str">
        <f>"5"</f>
        <v>5</v>
      </c>
      <c r="E195" s="1" t="str">
        <f t="shared" ref="E195:E204" si="33">"2"</f>
        <v>2</v>
      </c>
      <c r="F195" s="2">
        <v>93567663.810000002</v>
      </c>
      <c r="H195" s="3"/>
    </row>
    <row r="196" spans="1:8" x14ac:dyDescent="0.25">
      <c r="A196" s="1">
        <f t="shared" si="31"/>
        <v>1745</v>
      </c>
      <c r="B196" s="1" t="str">
        <f t="shared" si="32"/>
        <v>Начисленные доходы по ценным бумагам, учитываемым по амортизированной стоимости</v>
      </c>
      <c r="C196" s="1" t="str">
        <f>"2"</f>
        <v>2</v>
      </c>
      <c r="D196" s="1" t="str">
        <f>"4"</f>
        <v>4</v>
      </c>
      <c r="E196" s="1" t="str">
        <f t="shared" si="33"/>
        <v>2</v>
      </c>
      <c r="F196" s="2">
        <v>46901046.590000004</v>
      </c>
      <c r="H196" s="3"/>
    </row>
    <row r="197" spans="1:8" x14ac:dyDescent="0.25">
      <c r="A197" s="1">
        <f t="shared" si="31"/>
        <v>1745</v>
      </c>
      <c r="B197" s="1" t="str">
        <f t="shared" si="32"/>
        <v>Начисленные доходы по ценным бумагам, учитываемым по амортизированной стоимости</v>
      </c>
      <c r="C197" s="1" t="str">
        <f>"1"</f>
        <v>1</v>
      </c>
      <c r="D197" s="1" t="str">
        <f>"6"</f>
        <v>6</v>
      </c>
      <c r="E197" s="1" t="str">
        <f t="shared" si="33"/>
        <v>2</v>
      </c>
      <c r="F197" s="2">
        <v>44978805.240000002</v>
      </c>
      <c r="H197" s="3"/>
    </row>
    <row r="198" spans="1:8" x14ac:dyDescent="0.25">
      <c r="A198" s="1">
        <f t="shared" si="31"/>
        <v>1745</v>
      </c>
      <c r="B198" s="1" t="str">
        <f t="shared" si="32"/>
        <v>Начисленные доходы по ценным бумагам, учитываемым по амортизированной стоимости</v>
      </c>
      <c r="C198" s="1" t="str">
        <f>"1"</f>
        <v>1</v>
      </c>
      <c r="D198" s="1" t="str">
        <f>"1"</f>
        <v>1</v>
      </c>
      <c r="E198" s="1" t="str">
        <f t="shared" si="33"/>
        <v>2</v>
      </c>
      <c r="F198" s="2">
        <v>1058145936.33</v>
      </c>
      <c r="H198" s="3"/>
    </row>
    <row r="199" spans="1:8" x14ac:dyDescent="0.25">
      <c r="A199" s="1">
        <f t="shared" si="31"/>
        <v>1745</v>
      </c>
      <c r="B199" s="1" t="str">
        <f t="shared" si="32"/>
        <v>Начисленные доходы по ценным бумагам, учитываемым по амортизированной стоимости</v>
      </c>
      <c r="C199" s="1" t="str">
        <f>"2"</f>
        <v>2</v>
      </c>
      <c r="D199" s="1" t="str">
        <f>"1"</f>
        <v>1</v>
      </c>
      <c r="E199" s="1" t="str">
        <f t="shared" si="33"/>
        <v>2</v>
      </c>
      <c r="F199" s="2">
        <v>290868647.19</v>
      </c>
      <c r="H199" s="3"/>
    </row>
    <row r="200" spans="1:8" x14ac:dyDescent="0.25">
      <c r="A200" s="1">
        <f t="shared" ref="A200:A207" si="34">("1746")*1</f>
        <v>1746</v>
      </c>
      <c r="B200" s="1" t="str">
        <f t="shared" ref="B200:B207" si="35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C200" s="1" t="str">
        <f>"1"</f>
        <v>1</v>
      </c>
      <c r="D200" s="1" t="str">
        <f>"6"</f>
        <v>6</v>
      </c>
      <c r="E200" s="1" t="str">
        <f t="shared" si="33"/>
        <v>2</v>
      </c>
      <c r="F200" s="2">
        <v>70579316.290000007</v>
      </c>
      <c r="H200" s="3"/>
    </row>
    <row r="201" spans="1:8" x14ac:dyDescent="0.25">
      <c r="A201" s="1">
        <f t="shared" si="34"/>
        <v>1746</v>
      </c>
      <c r="B201" s="1" t="str">
        <f t="shared" si="35"/>
        <v>Начисленные доходы по ценным бумагам, учитываемым по справедливой стоимости через прочий совокупный доход</v>
      </c>
      <c r="C201" s="1" t="str">
        <f>"2"</f>
        <v>2</v>
      </c>
      <c r="D201" s="1" t="str">
        <f>"3"</f>
        <v>3</v>
      </c>
      <c r="E201" s="1" t="str">
        <f t="shared" si="33"/>
        <v>2</v>
      </c>
      <c r="F201" s="2">
        <v>11707105.65</v>
      </c>
      <c r="H201" s="3"/>
    </row>
    <row r="202" spans="1:8" x14ac:dyDescent="0.25">
      <c r="A202" s="1">
        <f t="shared" si="34"/>
        <v>1746</v>
      </c>
      <c r="B202" s="1" t="str">
        <f t="shared" si="35"/>
        <v>Начисленные доходы по ценным бумагам, учитываемым по справедливой стоимости через прочий совокупный доход</v>
      </c>
      <c r="C202" s="1" t="str">
        <f>"2"</f>
        <v>2</v>
      </c>
      <c r="D202" s="1" t="str">
        <f>"1"</f>
        <v>1</v>
      </c>
      <c r="E202" s="1" t="str">
        <f t="shared" si="33"/>
        <v>2</v>
      </c>
      <c r="F202" s="2">
        <v>1182042.99</v>
      </c>
      <c r="H202" s="3"/>
    </row>
    <row r="203" spans="1:8" x14ac:dyDescent="0.25">
      <c r="A203" s="1">
        <f t="shared" si="34"/>
        <v>1746</v>
      </c>
      <c r="B203" s="1" t="str">
        <f t="shared" si="35"/>
        <v>Начисленные доходы по ценным бумагам, учитываемым по справедливой стоимости через прочий совокупный доход</v>
      </c>
      <c r="C203" s="1" t="str">
        <f>"2"</f>
        <v>2</v>
      </c>
      <c r="D203" s="1" t="str">
        <f>"5"</f>
        <v>5</v>
      </c>
      <c r="E203" s="1" t="str">
        <f t="shared" si="33"/>
        <v>2</v>
      </c>
      <c r="F203" s="2">
        <v>94162765.879999995</v>
      </c>
      <c r="H203" s="3"/>
    </row>
    <row r="204" spans="1:8" x14ac:dyDescent="0.25">
      <c r="A204" s="1">
        <f t="shared" si="34"/>
        <v>1746</v>
      </c>
      <c r="B204" s="1" t="str">
        <f t="shared" si="35"/>
        <v>Начисленные доходы по ценным бумагам, учитываемым по справедливой стоимости через прочий совокупный доход</v>
      </c>
      <c r="C204" s="1" t="str">
        <f>"1"</f>
        <v>1</v>
      </c>
      <c r="D204" s="1" t="str">
        <f>"1"</f>
        <v>1</v>
      </c>
      <c r="E204" s="1" t="str">
        <f t="shared" si="33"/>
        <v>2</v>
      </c>
      <c r="F204" s="2">
        <v>296943104.26999998</v>
      </c>
      <c r="H204" s="3"/>
    </row>
    <row r="205" spans="1:8" x14ac:dyDescent="0.25">
      <c r="A205" s="1">
        <f t="shared" si="34"/>
        <v>1746</v>
      </c>
      <c r="B205" s="1" t="str">
        <f t="shared" si="35"/>
        <v>Начисленные доходы по ценным бумагам, учитываемым по справедливой стоимости через прочий совокупный доход</v>
      </c>
      <c r="C205" s="1" t="str">
        <f>"1"</f>
        <v>1</v>
      </c>
      <c r="D205" s="1" t="str">
        <f>"1"</f>
        <v>1</v>
      </c>
      <c r="E205" s="1" t="str">
        <f>"1"</f>
        <v>1</v>
      </c>
      <c r="F205" s="2">
        <v>3896929872.6900001</v>
      </c>
      <c r="H205" s="3"/>
    </row>
    <row r="206" spans="1:8" x14ac:dyDescent="0.25">
      <c r="A206" s="1">
        <f t="shared" si="34"/>
        <v>1746</v>
      </c>
      <c r="B206" s="1" t="str">
        <f t="shared" si="35"/>
        <v>Начисленные доходы по ценным бумагам, учитываемым по справедливой стоимости через прочий совокупный доход</v>
      </c>
      <c r="C206" s="1" t="str">
        <f>"2"</f>
        <v>2</v>
      </c>
      <c r="D206" s="1" t="str">
        <f>"4"</f>
        <v>4</v>
      </c>
      <c r="E206" s="1" t="str">
        <f>"2"</f>
        <v>2</v>
      </c>
      <c r="F206" s="2">
        <v>13457974.960000001</v>
      </c>
      <c r="H206" s="3"/>
    </row>
    <row r="207" spans="1:8" x14ac:dyDescent="0.25">
      <c r="A207" s="1">
        <f t="shared" si="34"/>
        <v>1746</v>
      </c>
      <c r="B207" s="1" t="str">
        <f t="shared" si="35"/>
        <v>Начисленные доходы по ценным бумагам, учитываемым по справедливой стоимости через прочий совокупный доход</v>
      </c>
      <c r="C207" s="1" t="str">
        <f>"2"</f>
        <v>2</v>
      </c>
      <c r="D207" s="1" t="str">
        <f>"7"</f>
        <v>7</v>
      </c>
      <c r="E207" s="1" t="str">
        <f>"2"</f>
        <v>2</v>
      </c>
      <c r="F207" s="2">
        <v>2867467.69</v>
      </c>
      <c r="H207" s="3"/>
    </row>
    <row r="208" spans="1:8" x14ac:dyDescent="0.25">
      <c r="A208" s="1">
        <f>("1750")*1</f>
        <v>1750</v>
      </c>
      <c r="B208" s="1" t="str">
        <f>"Просроченное вознаграждение по ценным бумагам"</f>
        <v>Просроченное вознаграждение по ценным бумагам</v>
      </c>
      <c r="C208" s="1" t="str">
        <f>"2"</f>
        <v>2</v>
      </c>
      <c r="D208" s="1" t="str">
        <f>"4"</f>
        <v>4</v>
      </c>
      <c r="E208" s="1" t="str">
        <f>"2"</f>
        <v>2</v>
      </c>
      <c r="F208" s="2">
        <v>70549498.5</v>
      </c>
      <c r="H208" s="3"/>
    </row>
    <row r="209" spans="1:8" x14ac:dyDescent="0.25">
      <c r="A209" s="1">
        <f>("1750")*1</f>
        <v>1750</v>
      </c>
      <c r="B209" s="1" t="str">
        <f>"Просроченное вознаграждение по ценным бумагам"</f>
        <v>Просроченное вознаграждение по ценным бумагам</v>
      </c>
      <c r="C209" s="1" t="str">
        <f>"2"</f>
        <v>2</v>
      </c>
      <c r="D209" s="1" t="str">
        <f>"5"</f>
        <v>5</v>
      </c>
      <c r="E209" s="1" t="str">
        <f>"2"</f>
        <v>2</v>
      </c>
      <c r="F209" s="2">
        <v>1828969955.8800001</v>
      </c>
      <c r="H209" s="3"/>
    </row>
    <row r="210" spans="1:8" x14ac:dyDescent="0.25">
      <c r="A210" s="1">
        <f>("1793")*1</f>
        <v>1793</v>
      </c>
      <c r="B210" s="1" t="str">
        <f>"Расходы будущих периодов"</f>
        <v>Расходы будущих периодов</v>
      </c>
      <c r="C210" s="1" t="str">
        <f>"1"</f>
        <v>1</v>
      </c>
      <c r="D210" s="1" t="str">
        <f>"7"</f>
        <v>7</v>
      </c>
      <c r="E210" s="1" t="str">
        <f t="shared" ref="E210:E218" si="36">"1"</f>
        <v>1</v>
      </c>
      <c r="F210" s="2">
        <v>556155605.90999997</v>
      </c>
      <c r="H210" s="3"/>
    </row>
    <row r="211" spans="1:8" x14ac:dyDescent="0.25">
      <c r="A211" s="1">
        <f>("1793")*1</f>
        <v>1793</v>
      </c>
      <c r="B211" s="1" t="str">
        <f>"Расходы будущих периодов"</f>
        <v>Расходы будущих периодов</v>
      </c>
      <c r="C211" s="1" t="str">
        <f>"1"</f>
        <v>1</v>
      </c>
      <c r="D211" s="1" t="str">
        <f>"5"</f>
        <v>5</v>
      </c>
      <c r="E211" s="1" t="str">
        <f t="shared" si="36"/>
        <v>1</v>
      </c>
      <c r="F211" s="2">
        <v>2244133102.27</v>
      </c>
      <c r="H211" s="3"/>
    </row>
    <row r="212" spans="1:8" x14ac:dyDescent="0.25">
      <c r="A212" s="1">
        <f>("1793")*1</f>
        <v>1793</v>
      </c>
      <c r="B212" s="1" t="str">
        <f>"Расходы будущих периодов"</f>
        <v>Расходы будущих периодов</v>
      </c>
      <c r="C212" s="1" t="str">
        <f>"1"</f>
        <v>1</v>
      </c>
      <c r="D212" s="1" t="str">
        <f>"9"</f>
        <v>9</v>
      </c>
      <c r="E212" s="1" t="str">
        <f t="shared" si="36"/>
        <v>1</v>
      </c>
      <c r="F212" s="2">
        <v>2038642.83</v>
      </c>
      <c r="H212" s="3"/>
    </row>
    <row r="213" spans="1:8" x14ac:dyDescent="0.25">
      <c r="A213" s="1">
        <f>("1793")*1</f>
        <v>1793</v>
      </c>
      <c r="B213" s="1" t="str">
        <f>"Расходы будущих периодов"</f>
        <v>Расходы будущих периодов</v>
      </c>
      <c r="C213" s="1" t="str">
        <f>"1"</f>
        <v>1</v>
      </c>
      <c r="D213" s="1" t="str">
        <f>"8"</f>
        <v>8</v>
      </c>
      <c r="E213" s="1" t="str">
        <f t="shared" si="36"/>
        <v>1</v>
      </c>
      <c r="F213" s="2">
        <v>4800</v>
      </c>
      <c r="H213" s="3"/>
    </row>
    <row r="214" spans="1:8" x14ac:dyDescent="0.25">
      <c r="A214" s="1">
        <f>("1793")*1</f>
        <v>1793</v>
      </c>
      <c r="B214" s="1" t="str">
        <f>"Расходы будущих периодов"</f>
        <v>Расходы будущих периодов</v>
      </c>
      <c r="C214" s="1" t="str">
        <f>"2"</f>
        <v>2</v>
      </c>
      <c r="D214" s="1" t="str">
        <f>"7"</f>
        <v>7</v>
      </c>
      <c r="E214" s="1" t="str">
        <f t="shared" si="36"/>
        <v>1</v>
      </c>
      <c r="F214" s="2">
        <v>109049215.45999999</v>
      </c>
      <c r="H214" s="3"/>
    </row>
    <row r="215" spans="1:8" x14ac:dyDescent="0.25">
      <c r="A215" s="1">
        <f>("1811")*1</f>
        <v>1811</v>
      </c>
      <c r="B215" s="1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C215" s="1" t="str">
        <f>"2"</f>
        <v>2</v>
      </c>
      <c r="D215" s="1" t="str">
        <f>""</f>
        <v/>
      </c>
      <c r="E215" s="1" t="str">
        <f t="shared" si="36"/>
        <v>1</v>
      </c>
      <c r="F215" s="2">
        <v>52043.13</v>
      </c>
      <c r="H215" s="3"/>
    </row>
    <row r="216" spans="1:8" x14ac:dyDescent="0.25">
      <c r="A216" s="1">
        <f>("1811")*1</f>
        <v>1811</v>
      </c>
      <c r="B216" s="1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C216" s="1" t="str">
        <f t="shared" ref="C216:C222" si="37">"1"</f>
        <v>1</v>
      </c>
      <c r="D216" s="1" t="str">
        <f>""</f>
        <v/>
      </c>
      <c r="E216" s="1" t="str">
        <f t="shared" si="36"/>
        <v>1</v>
      </c>
      <c r="F216" s="2">
        <v>105999129.98999999</v>
      </c>
      <c r="H216" s="3"/>
    </row>
    <row r="217" spans="1:8" x14ac:dyDescent="0.25">
      <c r="A217" s="1">
        <f>("1812")*1</f>
        <v>1812</v>
      </c>
      <c r="B217" s="1" t="str">
        <f>"Начисленные комиссионные доходы за агентские услуги"</f>
        <v>Начисленные комиссионные доходы за агентские услуги</v>
      </c>
      <c r="C217" s="1" t="str">
        <f t="shared" si="37"/>
        <v>1</v>
      </c>
      <c r="D217" s="1" t="str">
        <f>""</f>
        <v/>
      </c>
      <c r="E217" s="1" t="str">
        <f t="shared" si="36"/>
        <v>1</v>
      </c>
      <c r="F217" s="2">
        <v>830286563.08000004</v>
      </c>
      <c r="H217" s="3"/>
    </row>
    <row r="218" spans="1:8" x14ac:dyDescent="0.25">
      <c r="A218" s="1">
        <f>("1815")*1</f>
        <v>1815</v>
      </c>
      <c r="B218" s="1" t="str">
        <f>"Начисленные комиссионные доходы за услуги по доверительным операциям"</f>
        <v>Начисленные комиссионные доходы за услуги по доверительным операциям</v>
      </c>
      <c r="C218" s="1" t="str">
        <f t="shared" si="37"/>
        <v>1</v>
      </c>
      <c r="D218" s="1" t="str">
        <f>""</f>
        <v/>
      </c>
      <c r="E218" s="1" t="str">
        <f t="shared" si="36"/>
        <v>1</v>
      </c>
      <c r="F218" s="2">
        <v>279337.01</v>
      </c>
      <c r="H218" s="3"/>
    </row>
    <row r="219" spans="1:8" x14ac:dyDescent="0.25">
      <c r="A219" s="1">
        <f>("1816")*1</f>
        <v>1816</v>
      </c>
      <c r="B219" s="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C219" s="1" t="str">
        <f t="shared" si="37"/>
        <v>1</v>
      </c>
      <c r="D219" s="1" t="str">
        <f>""</f>
        <v/>
      </c>
      <c r="E219" s="1" t="str">
        <f>"2"</f>
        <v>2</v>
      </c>
      <c r="F219" s="2">
        <v>78003215.629999995</v>
      </c>
      <c r="H219" s="3"/>
    </row>
    <row r="220" spans="1:8" x14ac:dyDescent="0.25">
      <c r="A220" s="1">
        <f>("1816")*1</f>
        <v>1816</v>
      </c>
      <c r="B220" s="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C220" s="1" t="str">
        <f t="shared" si="37"/>
        <v>1</v>
      </c>
      <c r="D220" s="1" t="str">
        <f>""</f>
        <v/>
      </c>
      <c r="E220" s="1" t="str">
        <f>"1"</f>
        <v>1</v>
      </c>
      <c r="F220" s="2">
        <v>142184877.53</v>
      </c>
      <c r="H220" s="3"/>
    </row>
    <row r="221" spans="1:8" x14ac:dyDescent="0.25">
      <c r="A221" s="1">
        <f>("1816")*1</f>
        <v>1816</v>
      </c>
      <c r="B221" s="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C221" s="1" t="str">
        <f t="shared" si="37"/>
        <v>1</v>
      </c>
      <c r="D221" s="1" t="str">
        <f>""</f>
        <v/>
      </c>
      <c r="E221" s="1" t="str">
        <f>"3"</f>
        <v>3</v>
      </c>
      <c r="F221" s="2">
        <v>8320241.7599999998</v>
      </c>
      <c r="H221" s="3"/>
    </row>
    <row r="222" spans="1:8" x14ac:dyDescent="0.25">
      <c r="A222" s="1">
        <f>("1817")*1</f>
        <v>1817</v>
      </c>
      <c r="B222" s="1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C222" s="1" t="str">
        <f t="shared" si="37"/>
        <v>1</v>
      </c>
      <c r="D222" s="1" t="str">
        <f>""</f>
        <v/>
      </c>
      <c r="E222" s="1" t="str">
        <f>"1"</f>
        <v>1</v>
      </c>
      <c r="F222" s="2">
        <v>6760596.6600000001</v>
      </c>
      <c r="H222" s="3"/>
    </row>
    <row r="223" spans="1:8" x14ac:dyDescent="0.25">
      <c r="A223" s="1">
        <f>("1817")*1</f>
        <v>1817</v>
      </c>
      <c r="B223" s="1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C223" s="1" t="str">
        <f>"2"</f>
        <v>2</v>
      </c>
      <c r="D223" s="1" t="str">
        <f>""</f>
        <v/>
      </c>
      <c r="E223" s="1" t="str">
        <f>"1"</f>
        <v>1</v>
      </c>
      <c r="F223" s="2">
        <v>145516.03</v>
      </c>
      <c r="H223" s="3"/>
    </row>
    <row r="224" spans="1:8" x14ac:dyDescent="0.25">
      <c r="A224" s="1">
        <f>("1818")*1</f>
        <v>1818</v>
      </c>
      <c r="B224" s="1" t="str">
        <f>"Начисленные прочие комиссионные доходы"</f>
        <v>Начисленные прочие комиссионные доходы</v>
      </c>
      <c r="C224" s="1" t="str">
        <f>"2"</f>
        <v>2</v>
      </c>
      <c r="D224" s="1" t="str">
        <f>""</f>
        <v/>
      </c>
      <c r="E224" s="1" t="str">
        <f>"3"</f>
        <v>3</v>
      </c>
      <c r="F224" s="2">
        <v>281538.06</v>
      </c>
      <c r="H224" s="3"/>
    </row>
    <row r="225" spans="1:8" x14ac:dyDescent="0.25">
      <c r="A225" s="1">
        <f>("1818")*1</f>
        <v>1818</v>
      </c>
      <c r="B225" s="1" t="str">
        <f>"Начисленные прочие комиссионные доходы"</f>
        <v>Начисленные прочие комиссионные доходы</v>
      </c>
      <c r="C225" s="1" t="str">
        <f>"2"</f>
        <v>2</v>
      </c>
      <c r="D225" s="1" t="str">
        <f>""</f>
        <v/>
      </c>
      <c r="E225" s="1" t="str">
        <f>"1"</f>
        <v>1</v>
      </c>
      <c r="F225" s="2">
        <v>178038.23</v>
      </c>
      <c r="H225" s="3"/>
    </row>
    <row r="226" spans="1:8" x14ac:dyDescent="0.25">
      <c r="A226" s="1">
        <f>("1818")*1</f>
        <v>1818</v>
      </c>
      <c r="B226" s="1" t="str">
        <f>"Начисленные прочие комиссионные доходы"</f>
        <v>Начисленные прочие комиссионные доходы</v>
      </c>
      <c r="C226" s="1" t="str">
        <f>"2"</f>
        <v>2</v>
      </c>
      <c r="D226" s="1" t="str">
        <f>""</f>
        <v/>
      </c>
      <c r="E226" s="1" t="str">
        <f>"2"</f>
        <v>2</v>
      </c>
      <c r="F226" s="2">
        <v>532318.92000000004</v>
      </c>
      <c r="H226" s="3"/>
    </row>
    <row r="227" spans="1:8" x14ac:dyDescent="0.25">
      <c r="A227" s="1">
        <f>("1818")*1</f>
        <v>1818</v>
      </c>
      <c r="B227" s="1" t="str">
        <f>"Начисленные прочие комиссионные доходы"</f>
        <v>Начисленные прочие комиссионные доходы</v>
      </c>
      <c r="C227" s="1" t="str">
        <f>"1"</f>
        <v>1</v>
      </c>
      <c r="D227" s="1" t="str">
        <f>""</f>
        <v/>
      </c>
      <c r="E227" s="1" t="str">
        <f>"1"</f>
        <v>1</v>
      </c>
      <c r="F227" s="2">
        <v>402353747.63</v>
      </c>
      <c r="H227" s="3"/>
    </row>
    <row r="228" spans="1:8" x14ac:dyDescent="0.25">
      <c r="A228" s="1">
        <f>("1819")*1</f>
        <v>1819</v>
      </c>
      <c r="B228" s="1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C228" s="1" t="str">
        <f>"1"</f>
        <v>1</v>
      </c>
      <c r="D228" s="1" t="str">
        <f>""</f>
        <v/>
      </c>
      <c r="E228" s="1" t="str">
        <f>"1"</f>
        <v>1</v>
      </c>
      <c r="F228" s="2">
        <v>21003868.140000001</v>
      </c>
      <c r="H228" s="3"/>
    </row>
    <row r="229" spans="1:8" x14ac:dyDescent="0.25">
      <c r="A229" s="1">
        <f>("1821")*1</f>
        <v>1821</v>
      </c>
      <c r="B229" s="1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C229" s="1" t="str">
        <f>"1"</f>
        <v>1</v>
      </c>
      <c r="D229" s="1" t="str">
        <f>""</f>
        <v/>
      </c>
      <c r="E229" s="1" t="str">
        <f>"1"</f>
        <v>1</v>
      </c>
      <c r="F229" s="2">
        <v>1239883.28</v>
      </c>
      <c r="H229" s="3"/>
    </row>
    <row r="230" spans="1:8" x14ac:dyDescent="0.25">
      <c r="A230" s="1">
        <f>("1822")*1</f>
        <v>1822</v>
      </c>
      <c r="B230" s="1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C230" s="1" t="str">
        <f>"2"</f>
        <v>2</v>
      </c>
      <c r="D230" s="1" t="str">
        <f>""</f>
        <v/>
      </c>
      <c r="E230" s="1" t="str">
        <f>"2"</f>
        <v>2</v>
      </c>
      <c r="F230" s="2">
        <v>3005263.35</v>
      </c>
      <c r="H230" s="3"/>
    </row>
    <row r="231" spans="1:8" x14ac:dyDescent="0.25">
      <c r="A231" s="1">
        <f>("1825")*1</f>
        <v>1825</v>
      </c>
      <c r="B231" s="1" t="str">
        <f>"Начисленные комиссионные доходы за услуги по инкассации"</f>
        <v>Начисленные комиссионные доходы за услуги по инкассации</v>
      </c>
      <c r="C231" s="1" t="str">
        <f>"1"</f>
        <v>1</v>
      </c>
      <c r="D231" s="1" t="str">
        <f>""</f>
        <v/>
      </c>
      <c r="E231" s="1" t="str">
        <f t="shared" ref="E231:E237" si="38">"1"</f>
        <v>1</v>
      </c>
      <c r="F231" s="2">
        <v>462500</v>
      </c>
      <c r="H231" s="3"/>
    </row>
    <row r="232" spans="1:8" x14ac:dyDescent="0.25">
      <c r="A232" s="1">
        <f>("1831")*1</f>
        <v>1831</v>
      </c>
      <c r="B232" s="1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C232" s="1" t="str">
        <f>"2"</f>
        <v>2</v>
      </c>
      <c r="D232" s="1" t="str">
        <f>""</f>
        <v/>
      </c>
      <c r="E232" s="1" t="str">
        <f t="shared" si="38"/>
        <v>1</v>
      </c>
      <c r="F232" s="2">
        <v>34478.1</v>
      </c>
      <c r="H232" s="3"/>
    </row>
    <row r="233" spans="1:8" x14ac:dyDescent="0.25">
      <c r="A233" s="1">
        <f>("1831")*1</f>
        <v>1831</v>
      </c>
      <c r="B233" s="1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C233" s="1" t="str">
        <f>"1"</f>
        <v>1</v>
      </c>
      <c r="D233" s="1" t="str">
        <f>""</f>
        <v/>
      </c>
      <c r="E233" s="1" t="str">
        <f t="shared" si="38"/>
        <v>1</v>
      </c>
      <c r="F233" s="2">
        <v>7599189.1299999999</v>
      </c>
      <c r="H233" s="3"/>
    </row>
    <row r="234" spans="1:8" x14ac:dyDescent="0.25">
      <c r="A234" s="1">
        <f>("1836")*1</f>
        <v>1836</v>
      </c>
      <c r="B234" s="1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C234" s="1" t="str">
        <f>"1"</f>
        <v>1</v>
      </c>
      <c r="D234" s="1" t="str">
        <f>""</f>
        <v/>
      </c>
      <c r="E234" s="1" t="str">
        <f t="shared" si="38"/>
        <v>1</v>
      </c>
      <c r="F234" s="2">
        <v>15155105.720000001</v>
      </c>
      <c r="H234" s="3"/>
    </row>
    <row r="235" spans="1:8" x14ac:dyDescent="0.25">
      <c r="A235" s="1">
        <f>("1837")*1</f>
        <v>1837</v>
      </c>
      <c r="B235" s="1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C235" s="1" t="str">
        <f>"2"</f>
        <v>2</v>
      </c>
      <c r="D235" s="1" t="str">
        <f>""</f>
        <v/>
      </c>
      <c r="E235" s="1" t="str">
        <f t="shared" si="38"/>
        <v>1</v>
      </c>
      <c r="F235" s="2">
        <v>184102.74</v>
      </c>
      <c r="H235" s="3"/>
    </row>
    <row r="236" spans="1:8" x14ac:dyDescent="0.25">
      <c r="A236" s="1">
        <f>("1837")*1</f>
        <v>1837</v>
      </c>
      <c r="B236" s="1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C236" s="1" t="str">
        <f>"1"</f>
        <v>1</v>
      </c>
      <c r="D236" s="1" t="str">
        <f>""</f>
        <v/>
      </c>
      <c r="E236" s="1" t="str">
        <f t="shared" si="38"/>
        <v>1</v>
      </c>
      <c r="F236" s="2">
        <v>17626475.41</v>
      </c>
      <c r="H236" s="3"/>
    </row>
    <row r="237" spans="1:8" x14ac:dyDescent="0.25">
      <c r="A237" s="1">
        <f>("1838")*1</f>
        <v>1838</v>
      </c>
      <c r="B237" s="1" t="str">
        <f>"Просроченные прочие комиссионные доходы"</f>
        <v>Просроченные прочие комиссионные доходы</v>
      </c>
      <c r="C237" s="1" t="str">
        <f>"2"</f>
        <v>2</v>
      </c>
      <c r="D237" s="1" t="str">
        <f>""</f>
        <v/>
      </c>
      <c r="E237" s="1" t="str">
        <f t="shared" si="38"/>
        <v>1</v>
      </c>
      <c r="F237" s="2">
        <v>55538.35</v>
      </c>
      <c r="H237" s="3"/>
    </row>
    <row r="238" spans="1:8" x14ac:dyDescent="0.25">
      <c r="A238" s="1">
        <f>("1838")*1</f>
        <v>1838</v>
      </c>
      <c r="B238" s="1" t="str">
        <f>"Просроченные прочие комиссионные доходы"</f>
        <v>Просроченные прочие комиссионные доходы</v>
      </c>
      <c r="C238" s="1" t="str">
        <f>"1"</f>
        <v>1</v>
      </c>
      <c r="D238" s="1" t="str">
        <f>""</f>
        <v/>
      </c>
      <c r="E238" s="1" t="str">
        <f>"2"</f>
        <v>2</v>
      </c>
      <c r="F238" s="2">
        <v>1867181.38</v>
      </c>
      <c r="H238" s="3"/>
    </row>
    <row r="239" spans="1:8" x14ac:dyDescent="0.25">
      <c r="A239" s="1">
        <f>("1838")*1</f>
        <v>1838</v>
      </c>
      <c r="B239" s="1" t="str">
        <f>"Просроченные прочие комиссионные доходы"</f>
        <v>Просроченные прочие комиссионные доходы</v>
      </c>
      <c r="C239" s="1" t="str">
        <f>"2"</f>
        <v>2</v>
      </c>
      <c r="D239" s="1" t="str">
        <f>""</f>
        <v/>
      </c>
      <c r="E239" s="1" t="str">
        <f>"3"</f>
        <v>3</v>
      </c>
      <c r="F239" s="2">
        <v>15804276.869999999</v>
      </c>
      <c r="H239" s="3"/>
    </row>
    <row r="240" spans="1:8" x14ac:dyDescent="0.25">
      <c r="A240" s="1">
        <f>("1838")*1</f>
        <v>1838</v>
      </c>
      <c r="B240" s="1" t="str">
        <f>"Просроченные прочие комиссионные доходы"</f>
        <v>Просроченные прочие комиссионные доходы</v>
      </c>
      <c r="C240" s="1" t="str">
        <f>"1"</f>
        <v>1</v>
      </c>
      <c r="D240" s="1" t="str">
        <f>""</f>
        <v/>
      </c>
      <c r="E240" s="1" t="str">
        <f>"1"</f>
        <v>1</v>
      </c>
      <c r="F240" s="2">
        <v>280180748.72000003</v>
      </c>
      <c r="H240" s="3"/>
    </row>
    <row r="241" spans="1:8" x14ac:dyDescent="0.25">
      <c r="A241" s="1">
        <f>("1839")*1</f>
        <v>1839</v>
      </c>
      <c r="B241" s="1" t="str">
        <f>"Просроченные комиссионные доходы по профессиональной деятельности на рынке ценных бумаг"</f>
        <v>Просроченные комиссионные доходы по профессиональной деятельности на рынке ценных бумаг</v>
      </c>
      <c r="C241" s="1" t="str">
        <f>"1"</f>
        <v>1</v>
      </c>
      <c r="D241" s="1" t="str">
        <f>""</f>
        <v/>
      </c>
      <c r="E241" s="1" t="str">
        <f>"1"</f>
        <v>1</v>
      </c>
      <c r="F241" s="2">
        <v>20150293.449999999</v>
      </c>
      <c r="H241" s="3"/>
    </row>
    <row r="242" spans="1:8" x14ac:dyDescent="0.25">
      <c r="A242" s="1">
        <f>("1841")*1</f>
        <v>1841</v>
      </c>
      <c r="B242" s="1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C242" s="1" t="str">
        <f>"1"</f>
        <v>1</v>
      </c>
      <c r="D242" s="1" t="str">
        <f>""</f>
        <v/>
      </c>
      <c r="E242" s="1" t="str">
        <f>"1"</f>
        <v>1</v>
      </c>
      <c r="F242" s="2">
        <v>1001878.06</v>
      </c>
      <c r="H242" s="3"/>
    </row>
    <row r="243" spans="1:8" x14ac:dyDescent="0.25">
      <c r="A243" s="1">
        <f t="shared" ref="A243:A248" si="39">("1845")*1</f>
        <v>1845</v>
      </c>
      <c r="B243" s="1" t="str">
        <f t="shared" ref="B243:B248" si="40"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C243" s="1" t="str">
        <f>"2"</f>
        <v>2</v>
      </c>
      <c r="D243" s="1" t="str">
        <f>""</f>
        <v/>
      </c>
      <c r="E243" s="1" t="str">
        <f>"3"</f>
        <v>3</v>
      </c>
      <c r="F243" s="2">
        <v>-15805660.35</v>
      </c>
      <c r="H243" s="3"/>
    </row>
    <row r="244" spans="1:8" x14ac:dyDescent="0.25">
      <c r="A244" s="1">
        <f t="shared" si="39"/>
        <v>1845</v>
      </c>
      <c r="B244" s="1" t="str">
        <f t="shared" si="40"/>
        <v>Резервы (провизии) по начисленным и просроченным комиссионным доходам</v>
      </c>
      <c r="C244" s="1" t="str">
        <f>"2"</f>
        <v>2</v>
      </c>
      <c r="D244" s="1" t="str">
        <f>""</f>
        <v/>
      </c>
      <c r="E244" s="1" t="str">
        <f>"2"</f>
        <v>2</v>
      </c>
      <c r="F244" s="2">
        <v>-7829.15</v>
      </c>
      <c r="H244" s="3"/>
    </row>
    <row r="245" spans="1:8" x14ac:dyDescent="0.25">
      <c r="A245" s="1">
        <f t="shared" si="39"/>
        <v>1845</v>
      </c>
      <c r="B245" s="1" t="str">
        <f t="shared" si="40"/>
        <v>Резервы (провизии) по начисленным и просроченным комиссионным доходам</v>
      </c>
      <c r="C245" s="1" t="str">
        <f>"1"</f>
        <v>1</v>
      </c>
      <c r="D245" s="1" t="str">
        <f>""</f>
        <v/>
      </c>
      <c r="E245" s="1" t="str">
        <f>"1"</f>
        <v>1</v>
      </c>
      <c r="F245" s="2">
        <v>-316622342.56999999</v>
      </c>
      <c r="H245" s="3"/>
    </row>
    <row r="246" spans="1:8" x14ac:dyDescent="0.25">
      <c r="A246" s="1">
        <f t="shared" si="39"/>
        <v>1845</v>
      </c>
      <c r="B246" s="1" t="str">
        <f t="shared" si="40"/>
        <v>Резервы (провизии) по начисленным и просроченным комиссионным доходам</v>
      </c>
      <c r="C246" s="1" t="str">
        <f>"1"</f>
        <v>1</v>
      </c>
      <c r="D246" s="1" t="str">
        <f>""</f>
        <v/>
      </c>
      <c r="E246" s="1" t="str">
        <f>"3"</f>
        <v>3</v>
      </c>
      <c r="F246" s="2">
        <v>-71454.210000000006</v>
      </c>
      <c r="H246" s="3"/>
    </row>
    <row r="247" spans="1:8" x14ac:dyDescent="0.25">
      <c r="A247" s="1">
        <f t="shared" si="39"/>
        <v>1845</v>
      </c>
      <c r="B247" s="1" t="str">
        <f t="shared" si="40"/>
        <v>Резервы (провизии) по начисленным и просроченным комиссионным доходам</v>
      </c>
      <c r="C247" s="1" t="str">
        <f>"1"</f>
        <v>1</v>
      </c>
      <c r="D247" s="1" t="str">
        <f>""</f>
        <v/>
      </c>
      <c r="E247" s="1" t="str">
        <f>"2"</f>
        <v>2</v>
      </c>
      <c r="F247" s="2">
        <v>-2069609.26</v>
      </c>
      <c r="H247" s="3"/>
    </row>
    <row r="248" spans="1:8" x14ac:dyDescent="0.25">
      <c r="A248" s="1">
        <f t="shared" si="39"/>
        <v>1845</v>
      </c>
      <c r="B248" s="1" t="str">
        <f t="shared" si="40"/>
        <v>Резервы (провизии) по начисленным и просроченным комиссионным доходам</v>
      </c>
      <c r="C248" s="1" t="str">
        <f>"2"</f>
        <v>2</v>
      </c>
      <c r="D248" s="1" t="str">
        <f>""</f>
        <v/>
      </c>
      <c r="E248" s="1" t="str">
        <f>"1"</f>
        <v>1</v>
      </c>
      <c r="F248" s="2">
        <v>-147201.38</v>
      </c>
      <c r="H248" s="3"/>
    </row>
    <row r="249" spans="1:8" x14ac:dyDescent="0.25">
      <c r="A249" s="1">
        <f>("1851")*1</f>
        <v>1851</v>
      </c>
      <c r="B249" s="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C249" s="1" t="str">
        <f>"1"</f>
        <v>1</v>
      </c>
      <c r="D249" s="1" t="str">
        <f>"1"</f>
        <v>1</v>
      </c>
      <c r="E249" s="1" t="str">
        <f>"1"</f>
        <v>1</v>
      </c>
      <c r="F249" s="2">
        <v>508078660.17000002</v>
      </c>
      <c r="H249" s="3"/>
    </row>
    <row r="250" spans="1:8" x14ac:dyDescent="0.25">
      <c r="A250" s="1">
        <f>("1852")*1</f>
        <v>1852</v>
      </c>
      <c r="B250" s="1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C250" s="1" t="str">
        <f>"1"</f>
        <v>1</v>
      </c>
      <c r="D250" s="1" t="str">
        <f>"5"</f>
        <v>5</v>
      </c>
      <c r="E250" s="1" t="str">
        <f>"2"</f>
        <v>2</v>
      </c>
      <c r="F250" s="2">
        <v>13925765000</v>
      </c>
      <c r="H250" s="3"/>
    </row>
    <row r="251" spans="1:8" x14ac:dyDescent="0.25">
      <c r="A251" s="1">
        <f>("1854")*1</f>
        <v>1854</v>
      </c>
      <c r="B251" s="1" t="str">
        <f>"Расчеты с работниками"</f>
        <v>Расчеты с работниками</v>
      </c>
      <c r="C251" s="1" t="str">
        <f>""</f>
        <v/>
      </c>
      <c r="D251" s="1" t="str">
        <f>""</f>
        <v/>
      </c>
      <c r="E251" s="1" t="str">
        <f>""</f>
        <v/>
      </c>
      <c r="F251" s="2">
        <v>6397846.2400000002</v>
      </c>
      <c r="H251" s="3"/>
    </row>
    <row r="252" spans="1:8" x14ac:dyDescent="0.25">
      <c r="A252" s="1">
        <f>("1856")*1</f>
        <v>1856</v>
      </c>
      <c r="B252" s="1" t="str">
        <f>"Дебиторы по капитальным вложениям"</f>
        <v>Дебиторы по капитальным вложениям</v>
      </c>
      <c r="C252" s="1" t="str">
        <f>"1"</f>
        <v>1</v>
      </c>
      <c r="D252" s="1" t="str">
        <f>"7"</f>
        <v>7</v>
      </c>
      <c r="E252" s="1" t="str">
        <f t="shared" ref="E252:E257" si="41">"1"</f>
        <v>1</v>
      </c>
      <c r="F252" s="2">
        <v>861251193.20000005</v>
      </c>
      <c r="H252" s="3"/>
    </row>
    <row r="253" spans="1:8" x14ac:dyDescent="0.25">
      <c r="A253" s="1">
        <f>("1856")*1</f>
        <v>1856</v>
      </c>
      <c r="B253" s="1" t="str">
        <f>"Дебиторы по капитальным вложениям"</f>
        <v>Дебиторы по капитальным вложениям</v>
      </c>
      <c r="C253" s="1" t="str">
        <f>"1"</f>
        <v>1</v>
      </c>
      <c r="D253" s="1" t="str">
        <f>"9"</f>
        <v>9</v>
      </c>
      <c r="E253" s="1" t="str">
        <f t="shared" si="41"/>
        <v>1</v>
      </c>
      <c r="F253" s="2">
        <v>40481589.039999999</v>
      </c>
      <c r="H253" s="3"/>
    </row>
    <row r="254" spans="1:8" x14ac:dyDescent="0.25">
      <c r="A254" s="1">
        <f>("1856")*1</f>
        <v>1856</v>
      </c>
      <c r="B254" s="1" t="str">
        <f>"Дебиторы по капитальным вложениям"</f>
        <v>Дебиторы по капитальным вложениям</v>
      </c>
      <c r="C254" s="1" t="str">
        <f>"1"</f>
        <v>1</v>
      </c>
      <c r="D254" s="1" t="str">
        <f>"1"</f>
        <v>1</v>
      </c>
      <c r="E254" s="1" t="str">
        <f t="shared" si="41"/>
        <v>1</v>
      </c>
      <c r="F254" s="2">
        <v>72000</v>
      </c>
      <c r="H254" s="3"/>
    </row>
    <row r="255" spans="1:8" x14ac:dyDescent="0.25">
      <c r="A255" s="1">
        <f>("1856")*1</f>
        <v>1856</v>
      </c>
      <c r="B255" s="1" t="str">
        <f>"Дебиторы по капитальным вложениям"</f>
        <v>Дебиторы по капитальным вложениям</v>
      </c>
      <c r="C255" s="1" t="str">
        <f>"2"</f>
        <v>2</v>
      </c>
      <c r="D255" s="1" t="str">
        <f>"7"</f>
        <v>7</v>
      </c>
      <c r="E255" s="1" t="str">
        <f t="shared" si="41"/>
        <v>1</v>
      </c>
      <c r="F255" s="2">
        <v>92766328.420000002</v>
      </c>
      <c r="H255" s="3"/>
    </row>
    <row r="256" spans="1:8" x14ac:dyDescent="0.25">
      <c r="A256" s="1">
        <f t="shared" ref="A256:A271" si="42">("1860")*1</f>
        <v>1860</v>
      </c>
      <c r="B256" s="1" t="str">
        <f t="shared" ref="B256:B271" si="43">"Прочие дебиторы по банковской деятельности"</f>
        <v>Прочие дебиторы по банковской деятельности</v>
      </c>
      <c r="C256" s="1" t="str">
        <f>"1"</f>
        <v>1</v>
      </c>
      <c r="D256" s="1" t="str">
        <f>"7"</f>
        <v>7</v>
      </c>
      <c r="E256" s="1" t="str">
        <f t="shared" si="41"/>
        <v>1</v>
      </c>
      <c r="F256" s="2">
        <v>2968957621.4400001</v>
      </c>
      <c r="H256" s="3"/>
    </row>
    <row r="257" spans="1:8" x14ac:dyDescent="0.25">
      <c r="A257" s="1">
        <f t="shared" si="42"/>
        <v>1860</v>
      </c>
      <c r="B257" s="1" t="str">
        <f t="shared" si="43"/>
        <v>Прочие дебиторы по банковской деятельности</v>
      </c>
      <c r="C257" s="1" t="str">
        <f>"1"</f>
        <v>1</v>
      </c>
      <c r="D257" s="1" t="str">
        <f>"4"</f>
        <v>4</v>
      </c>
      <c r="E257" s="1" t="str">
        <f t="shared" si="41"/>
        <v>1</v>
      </c>
      <c r="F257" s="2">
        <v>544090.4</v>
      </c>
      <c r="H257" s="3"/>
    </row>
    <row r="258" spans="1:8" x14ac:dyDescent="0.25">
      <c r="A258" s="1">
        <f t="shared" si="42"/>
        <v>1860</v>
      </c>
      <c r="B258" s="1" t="str">
        <f t="shared" si="43"/>
        <v>Прочие дебиторы по банковской деятельности</v>
      </c>
      <c r="C258" s="1" t="str">
        <f>"1"</f>
        <v>1</v>
      </c>
      <c r="D258" s="1" t="str">
        <f>"4"</f>
        <v>4</v>
      </c>
      <c r="E258" s="1" t="str">
        <f>"2"</f>
        <v>2</v>
      </c>
      <c r="F258" s="2">
        <v>13250078.550000001</v>
      </c>
      <c r="H258" s="3"/>
    </row>
    <row r="259" spans="1:8" x14ac:dyDescent="0.25">
      <c r="A259" s="1">
        <f t="shared" si="42"/>
        <v>1860</v>
      </c>
      <c r="B259" s="1" t="str">
        <f t="shared" si="43"/>
        <v>Прочие дебиторы по банковской деятельности</v>
      </c>
      <c r="C259" s="1" t="str">
        <f>"2"</f>
        <v>2</v>
      </c>
      <c r="D259" s="1" t="str">
        <f>"4"</f>
        <v>4</v>
      </c>
      <c r="E259" s="1" t="str">
        <f>"2"</f>
        <v>2</v>
      </c>
      <c r="F259" s="2">
        <v>4891635.5</v>
      </c>
      <c r="H259" s="3"/>
    </row>
    <row r="260" spans="1:8" x14ac:dyDescent="0.25">
      <c r="A260" s="1">
        <f t="shared" si="42"/>
        <v>1860</v>
      </c>
      <c r="B260" s="1" t="str">
        <f t="shared" si="43"/>
        <v>Прочие дебиторы по банковской деятельности</v>
      </c>
      <c r="C260" s="1" t="str">
        <f>"2"</f>
        <v>2</v>
      </c>
      <c r="D260" s="1" t="str">
        <f>"4"</f>
        <v>4</v>
      </c>
      <c r="E260" s="1" t="str">
        <f>"3"</f>
        <v>3</v>
      </c>
      <c r="F260" s="2">
        <v>72016637.540000007</v>
      </c>
      <c r="H260" s="3"/>
    </row>
    <row r="261" spans="1:8" x14ac:dyDescent="0.25">
      <c r="A261" s="1">
        <f t="shared" si="42"/>
        <v>1860</v>
      </c>
      <c r="B261" s="1" t="str">
        <f t="shared" si="43"/>
        <v>Прочие дебиторы по банковской деятельности</v>
      </c>
      <c r="C261" s="1" t="str">
        <f>"2"</f>
        <v>2</v>
      </c>
      <c r="D261" s="1" t="str">
        <f>"5"</f>
        <v>5</v>
      </c>
      <c r="E261" s="1" t="str">
        <f>"2"</f>
        <v>2</v>
      </c>
      <c r="F261" s="2">
        <v>26684610.079999998</v>
      </c>
      <c r="H261" s="3"/>
    </row>
    <row r="262" spans="1:8" x14ac:dyDescent="0.25">
      <c r="A262" s="1">
        <f t="shared" si="42"/>
        <v>1860</v>
      </c>
      <c r="B262" s="1" t="str">
        <f t="shared" si="43"/>
        <v>Прочие дебиторы по банковской деятельности</v>
      </c>
      <c r="C262" s="1" t="str">
        <f>"2"</f>
        <v>2</v>
      </c>
      <c r="D262" s="1" t="str">
        <f>"9"</f>
        <v>9</v>
      </c>
      <c r="E262" s="1" t="str">
        <f>"2"</f>
        <v>2</v>
      </c>
      <c r="F262" s="2">
        <v>61967.81</v>
      </c>
      <c r="H262" s="3"/>
    </row>
    <row r="263" spans="1:8" x14ac:dyDescent="0.25">
      <c r="A263" s="1">
        <f t="shared" si="42"/>
        <v>1860</v>
      </c>
      <c r="B263" s="1" t="str">
        <f t="shared" si="43"/>
        <v>Прочие дебиторы по банковской деятельности</v>
      </c>
      <c r="C263" s="1" t="str">
        <f>"2"</f>
        <v>2</v>
      </c>
      <c r="D263" s="1" t="str">
        <f>"7"</f>
        <v>7</v>
      </c>
      <c r="E263" s="1" t="str">
        <f>"3"</f>
        <v>3</v>
      </c>
      <c r="F263" s="2">
        <v>69184311.849999994</v>
      </c>
      <c r="H263" s="3"/>
    </row>
    <row r="264" spans="1:8" x14ac:dyDescent="0.25">
      <c r="A264" s="1">
        <f t="shared" si="42"/>
        <v>1860</v>
      </c>
      <c r="B264" s="1" t="str">
        <f t="shared" si="43"/>
        <v>Прочие дебиторы по банковской деятельности</v>
      </c>
      <c r="C264" s="1" t="str">
        <f>"1"</f>
        <v>1</v>
      </c>
      <c r="D264" s="1" t="str">
        <f>"7"</f>
        <v>7</v>
      </c>
      <c r="E264" s="1" t="str">
        <f>"2"</f>
        <v>2</v>
      </c>
      <c r="F264" s="2">
        <v>1419501350.9100001</v>
      </c>
      <c r="H264" s="3"/>
    </row>
    <row r="265" spans="1:8" x14ac:dyDescent="0.25">
      <c r="A265" s="1">
        <f t="shared" si="42"/>
        <v>1860</v>
      </c>
      <c r="B265" s="1" t="str">
        <f t="shared" si="43"/>
        <v>Прочие дебиторы по банковской деятельности</v>
      </c>
      <c r="C265" s="1" t="str">
        <f>"1"</f>
        <v>1</v>
      </c>
      <c r="D265" s="1" t="str">
        <f>"6"</f>
        <v>6</v>
      </c>
      <c r="E265" s="1" t="str">
        <f>"1"</f>
        <v>1</v>
      </c>
      <c r="F265" s="2">
        <v>38915</v>
      </c>
      <c r="H265" s="3"/>
    </row>
    <row r="266" spans="1:8" x14ac:dyDescent="0.25">
      <c r="A266" s="1">
        <f t="shared" si="42"/>
        <v>1860</v>
      </c>
      <c r="B266" s="1" t="str">
        <f t="shared" si="43"/>
        <v>Прочие дебиторы по банковской деятельности</v>
      </c>
      <c r="C266" s="1" t="str">
        <f>"1"</f>
        <v>1</v>
      </c>
      <c r="D266" s="1" t="str">
        <f>"9"</f>
        <v>9</v>
      </c>
      <c r="E266" s="1" t="str">
        <f>"1"</f>
        <v>1</v>
      </c>
      <c r="F266" s="2">
        <v>1869382338.3599999</v>
      </c>
      <c r="H266" s="3"/>
    </row>
    <row r="267" spans="1:8" x14ac:dyDescent="0.25">
      <c r="A267" s="1">
        <f t="shared" si="42"/>
        <v>1860</v>
      </c>
      <c r="B267" s="1" t="str">
        <f t="shared" si="43"/>
        <v>Прочие дебиторы по банковской деятельности</v>
      </c>
      <c r="C267" s="1" t="str">
        <f>"1"</f>
        <v>1</v>
      </c>
      <c r="D267" s="1" t="str">
        <f>"5"</f>
        <v>5</v>
      </c>
      <c r="E267" s="1" t="str">
        <f>"1"</f>
        <v>1</v>
      </c>
      <c r="F267" s="2">
        <v>78432767.310000002</v>
      </c>
      <c r="H267" s="3"/>
    </row>
    <row r="268" spans="1:8" x14ac:dyDescent="0.25">
      <c r="A268" s="1">
        <f t="shared" si="42"/>
        <v>1860</v>
      </c>
      <c r="B268" s="1" t="str">
        <f t="shared" si="43"/>
        <v>Прочие дебиторы по банковской деятельности</v>
      </c>
      <c r="C268" s="1" t="str">
        <f>"1"</f>
        <v>1</v>
      </c>
      <c r="D268" s="1" t="str">
        <f>"9"</f>
        <v>9</v>
      </c>
      <c r="E268" s="1" t="str">
        <f>"2"</f>
        <v>2</v>
      </c>
      <c r="F268" s="2">
        <v>23316261.82</v>
      </c>
      <c r="H268" s="3"/>
    </row>
    <row r="269" spans="1:8" x14ac:dyDescent="0.25">
      <c r="A269" s="1">
        <f t="shared" si="42"/>
        <v>1860</v>
      </c>
      <c r="B269" s="1" t="str">
        <f t="shared" si="43"/>
        <v>Прочие дебиторы по банковской деятельности</v>
      </c>
      <c r="C269" s="1" t="str">
        <f>"2"</f>
        <v>2</v>
      </c>
      <c r="D269" s="1" t="str">
        <f>"5"</f>
        <v>5</v>
      </c>
      <c r="E269" s="1" t="str">
        <f t="shared" ref="E269:E278" si="44">"1"</f>
        <v>1</v>
      </c>
      <c r="F269" s="2">
        <v>8058677.2800000003</v>
      </c>
      <c r="H269" s="3"/>
    </row>
    <row r="270" spans="1:8" x14ac:dyDescent="0.25">
      <c r="A270" s="1">
        <f t="shared" si="42"/>
        <v>1860</v>
      </c>
      <c r="B270" s="1" t="str">
        <f t="shared" si="43"/>
        <v>Прочие дебиторы по банковской деятельности</v>
      </c>
      <c r="C270" s="1" t="str">
        <f>"1"</f>
        <v>1</v>
      </c>
      <c r="D270" s="1" t="str">
        <f>"1"</f>
        <v>1</v>
      </c>
      <c r="E270" s="1" t="str">
        <f t="shared" si="44"/>
        <v>1</v>
      </c>
      <c r="F270" s="2">
        <v>28418</v>
      </c>
      <c r="H270" s="3"/>
    </row>
    <row r="271" spans="1:8" x14ac:dyDescent="0.25">
      <c r="A271" s="1">
        <f t="shared" si="42"/>
        <v>1860</v>
      </c>
      <c r="B271" s="1" t="str">
        <f t="shared" si="43"/>
        <v>Прочие дебиторы по банковской деятельности</v>
      </c>
      <c r="C271" s="1" t="str">
        <f>"2"</f>
        <v>2</v>
      </c>
      <c r="D271" s="1" t="str">
        <f>"9"</f>
        <v>9</v>
      </c>
      <c r="E271" s="1" t="str">
        <f t="shared" si="44"/>
        <v>1</v>
      </c>
      <c r="F271" s="2">
        <v>1572342.79</v>
      </c>
      <c r="H271" s="3"/>
    </row>
    <row r="272" spans="1:8" x14ac:dyDescent="0.25">
      <c r="A272" s="1">
        <f>("1861")*1</f>
        <v>1861</v>
      </c>
      <c r="B272" s="1" t="str">
        <f>"Дебиторы по гарантиям"</f>
        <v>Дебиторы по гарантиям</v>
      </c>
      <c r="C272" s="1" t="str">
        <f>"1"</f>
        <v>1</v>
      </c>
      <c r="D272" s="1" t="str">
        <f>"7"</f>
        <v>7</v>
      </c>
      <c r="E272" s="1" t="str">
        <f t="shared" si="44"/>
        <v>1</v>
      </c>
      <c r="F272" s="2">
        <v>1195370404</v>
      </c>
      <c r="H272" s="3"/>
    </row>
    <row r="273" spans="1:8" x14ac:dyDescent="0.25">
      <c r="A273" s="1">
        <f t="shared" ref="A273:A278" si="45">("1867")*1</f>
        <v>1867</v>
      </c>
      <c r="B273" s="1" t="str">
        <f t="shared" ref="B273:B278" si="46">"Прочие дебиторы по неосновной деятельности"</f>
        <v>Прочие дебиторы по неосновной деятельности</v>
      </c>
      <c r="C273" s="1" t="str">
        <f>"1"</f>
        <v>1</v>
      </c>
      <c r="D273" s="1" t="str">
        <f>"8"</f>
        <v>8</v>
      </c>
      <c r="E273" s="1" t="str">
        <f t="shared" si="44"/>
        <v>1</v>
      </c>
      <c r="F273" s="2">
        <v>620440</v>
      </c>
      <c r="H273" s="3"/>
    </row>
    <row r="274" spans="1:8" x14ac:dyDescent="0.25">
      <c r="A274" s="1">
        <f t="shared" si="45"/>
        <v>1867</v>
      </c>
      <c r="B274" s="1" t="str">
        <f t="shared" si="46"/>
        <v>Прочие дебиторы по неосновной деятельности</v>
      </c>
      <c r="C274" s="1" t="str">
        <f>"2"</f>
        <v>2</v>
      </c>
      <c r="D274" s="1" t="str">
        <f>"7"</f>
        <v>7</v>
      </c>
      <c r="E274" s="1" t="str">
        <f t="shared" si="44"/>
        <v>1</v>
      </c>
      <c r="F274" s="2">
        <v>54944650</v>
      </c>
      <c r="H274" s="3"/>
    </row>
    <row r="275" spans="1:8" x14ac:dyDescent="0.25">
      <c r="A275" s="1">
        <f t="shared" si="45"/>
        <v>1867</v>
      </c>
      <c r="B275" s="1" t="str">
        <f t="shared" si="46"/>
        <v>Прочие дебиторы по неосновной деятельности</v>
      </c>
      <c r="C275" s="1" t="str">
        <f>"1"</f>
        <v>1</v>
      </c>
      <c r="D275" s="1" t="str">
        <f>"5"</f>
        <v>5</v>
      </c>
      <c r="E275" s="1" t="str">
        <f t="shared" si="44"/>
        <v>1</v>
      </c>
      <c r="F275" s="2">
        <v>1614711.5</v>
      </c>
      <c r="H275" s="3"/>
    </row>
    <row r="276" spans="1:8" x14ac:dyDescent="0.25">
      <c r="A276" s="1">
        <f t="shared" si="45"/>
        <v>1867</v>
      </c>
      <c r="B276" s="1" t="str">
        <f t="shared" si="46"/>
        <v>Прочие дебиторы по неосновной деятельности</v>
      </c>
      <c r="C276" s="1" t="str">
        <f>"1"</f>
        <v>1</v>
      </c>
      <c r="D276" s="1" t="str">
        <f>"9"</f>
        <v>9</v>
      </c>
      <c r="E276" s="1" t="str">
        <f t="shared" si="44"/>
        <v>1</v>
      </c>
      <c r="F276" s="2">
        <v>89502210.25</v>
      </c>
      <c r="H276" s="3"/>
    </row>
    <row r="277" spans="1:8" x14ac:dyDescent="0.25">
      <c r="A277" s="1">
        <f t="shared" si="45"/>
        <v>1867</v>
      </c>
      <c r="B277" s="1" t="str">
        <f t="shared" si="46"/>
        <v>Прочие дебиторы по неосновной деятельности</v>
      </c>
      <c r="C277" s="1" t="str">
        <f>"1"</f>
        <v>1</v>
      </c>
      <c r="D277" s="1" t="str">
        <f>"7"</f>
        <v>7</v>
      </c>
      <c r="E277" s="1" t="str">
        <f t="shared" si="44"/>
        <v>1</v>
      </c>
      <c r="F277" s="2">
        <v>1246186020.4000001</v>
      </c>
      <c r="H277" s="3"/>
    </row>
    <row r="278" spans="1:8" x14ac:dyDescent="0.25">
      <c r="A278" s="1">
        <f t="shared" si="45"/>
        <v>1867</v>
      </c>
      <c r="B278" s="1" t="str">
        <f t="shared" si="46"/>
        <v>Прочие дебиторы по неосновной деятельности</v>
      </c>
      <c r="C278" s="1" t="str">
        <f>"1"</f>
        <v>1</v>
      </c>
      <c r="D278" s="1" t="str">
        <f>"6"</f>
        <v>6</v>
      </c>
      <c r="E278" s="1" t="str">
        <f t="shared" si="44"/>
        <v>1</v>
      </c>
      <c r="F278" s="2">
        <v>162966.37</v>
      </c>
      <c r="H278" s="3"/>
    </row>
    <row r="279" spans="1:8" x14ac:dyDescent="0.25">
      <c r="A279" s="1">
        <f>("1870")*1</f>
        <v>1870</v>
      </c>
      <c r="B279" s="1" t="str">
        <f>"Прочие транзитные счета"</f>
        <v>Прочие транзитные счета</v>
      </c>
      <c r="C279" s="1" t="str">
        <f>"2"</f>
        <v>2</v>
      </c>
      <c r="D279" s="1" t="str">
        <f>"4"</f>
        <v>4</v>
      </c>
      <c r="E279" s="1" t="str">
        <f>"3"</f>
        <v>3</v>
      </c>
      <c r="F279" s="2">
        <v>13004873.5</v>
      </c>
      <c r="H279" s="3"/>
    </row>
    <row r="280" spans="1:8" x14ac:dyDescent="0.25">
      <c r="A280" s="1">
        <f>("1870")*1</f>
        <v>1870</v>
      </c>
      <c r="B280" s="1" t="str">
        <f>"Прочие транзитные счета"</f>
        <v>Прочие транзитные счета</v>
      </c>
      <c r="C280" s="1" t="str">
        <f>"1"</f>
        <v>1</v>
      </c>
      <c r="D280" s="1" t="str">
        <f>"9"</f>
        <v>9</v>
      </c>
      <c r="E280" s="1" t="str">
        <f>"1"</f>
        <v>1</v>
      </c>
      <c r="F280" s="2">
        <v>1346455932.9890001</v>
      </c>
      <c r="H280" s="3"/>
    </row>
    <row r="281" spans="1:8" x14ac:dyDescent="0.25">
      <c r="A281" s="1">
        <f>("1870")*1</f>
        <v>1870</v>
      </c>
      <c r="B281" s="1" t="str">
        <f>"Прочие транзитные счета"</f>
        <v>Прочие транзитные счета</v>
      </c>
      <c r="C281" s="1" t="str">
        <f>"2"</f>
        <v>2</v>
      </c>
      <c r="D281" s="1" t="str">
        <f>"4"</f>
        <v>4</v>
      </c>
      <c r="E281" s="1" t="str">
        <f>"2"</f>
        <v>2</v>
      </c>
      <c r="F281" s="2">
        <v>14182305.630000001</v>
      </c>
      <c r="H281" s="3"/>
    </row>
    <row r="282" spans="1:8" x14ac:dyDescent="0.25">
      <c r="A282" s="1">
        <f>("1870")*1</f>
        <v>1870</v>
      </c>
      <c r="B282" s="1" t="str">
        <f>"Прочие транзитные счета"</f>
        <v>Прочие транзитные счета</v>
      </c>
      <c r="C282" s="1" t="str">
        <f>"1"</f>
        <v>1</v>
      </c>
      <c r="D282" s="1" t="str">
        <f>"9"</f>
        <v>9</v>
      </c>
      <c r="E282" s="1" t="str">
        <f>"3"</f>
        <v>3</v>
      </c>
      <c r="F282" s="2">
        <v>18661589.879999999</v>
      </c>
      <c r="H282" s="3"/>
    </row>
    <row r="283" spans="1:8" x14ac:dyDescent="0.25">
      <c r="A283" s="1">
        <f>("1870")*1</f>
        <v>1870</v>
      </c>
      <c r="B283" s="1" t="str">
        <f>"Прочие транзитные счета"</f>
        <v>Прочие транзитные счета</v>
      </c>
      <c r="C283" s="1" t="str">
        <f>"1"</f>
        <v>1</v>
      </c>
      <c r="D283" s="1" t="str">
        <f>"9"</f>
        <v>9</v>
      </c>
      <c r="E283" s="1" t="str">
        <f>"2"</f>
        <v>2</v>
      </c>
      <c r="F283" s="2">
        <v>766937195.55999994</v>
      </c>
      <c r="H283" s="3"/>
    </row>
    <row r="284" spans="1:8" x14ac:dyDescent="0.25">
      <c r="A284" s="1">
        <f t="shared" ref="A284:A291" si="47">("1877")*1</f>
        <v>1877</v>
      </c>
      <c r="B284" s="1" t="str">
        <f t="shared" ref="B284:B291" si="48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C284" s="1" t="str">
        <f>"2"</f>
        <v>2</v>
      </c>
      <c r="D284" s="1" t="str">
        <f>"7"</f>
        <v>7</v>
      </c>
      <c r="E284" s="1" t="str">
        <f>"3"</f>
        <v>3</v>
      </c>
      <c r="F284" s="2">
        <v>-88456398.510000005</v>
      </c>
      <c r="H284" s="3"/>
    </row>
    <row r="285" spans="1:8" x14ac:dyDescent="0.25">
      <c r="A285" s="1">
        <f t="shared" si="47"/>
        <v>1877</v>
      </c>
      <c r="B285" s="1" t="str">
        <f t="shared" si="48"/>
        <v>Резервы (провизии) по дебиторской задолженности, связанной с банковской деятельностью</v>
      </c>
      <c r="C285" s="1" t="str">
        <f>"2"</f>
        <v>2</v>
      </c>
      <c r="D285" s="1" t="str">
        <f>"7"</f>
        <v>7</v>
      </c>
      <c r="E285" s="1" t="str">
        <f>"1"</f>
        <v>1</v>
      </c>
      <c r="F285" s="2">
        <v>-194291792.03999999</v>
      </c>
      <c r="H285" s="3"/>
    </row>
    <row r="286" spans="1:8" x14ac:dyDescent="0.25">
      <c r="A286" s="1">
        <f t="shared" si="47"/>
        <v>1877</v>
      </c>
      <c r="B286" s="1" t="str">
        <f t="shared" si="48"/>
        <v>Резервы (провизии) по дебиторской задолженности, связанной с банковской деятельностью</v>
      </c>
      <c r="C286" s="1" t="str">
        <f>"1"</f>
        <v>1</v>
      </c>
      <c r="D286" s="1" t="str">
        <f>"5"</f>
        <v>5</v>
      </c>
      <c r="E286" s="1" t="str">
        <f>"1"</f>
        <v>1</v>
      </c>
      <c r="F286" s="2">
        <v>-334003.77</v>
      </c>
      <c r="H286" s="3"/>
    </row>
    <row r="287" spans="1:8" x14ac:dyDescent="0.25">
      <c r="A287" s="1">
        <f t="shared" si="47"/>
        <v>1877</v>
      </c>
      <c r="B287" s="1" t="str">
        <f t="shared" si="48"/>
        <v>Резервы (провизии) по дебиторской задолженности, связанной с банковской деятельностью</v>
      </c>
      <c r="C287" s="1" t="str">
        <f>"1"</f>
        <v>1</v>
      </c>
      <c r="D287" s="1" t="str">
        <f>"7"</f>
        <v>7</v>
      </c>
      <c r="E287" s="1" t="str">
        <f>"1"</f>
        <v>1</v>
      </c>
      <c r="F287" s="2">
        <v>-2535376021.5700002</v>
      </c>
      <c r="H287" s="3"/>
    </row>
    <row r="288" spans="1:8" x14ac:dyDescent="0.25">
      <c r="A288" s="1">
        <f t="shared" si="47"/>
        <v>1877</v>
      </c>
      <c r="B288" s="1" t="str">
        <f t="shared" si="48"/>
        <v>Резервы (провизии) по дебиторской задолженности, связанной с банковской деятельностью</v>
      </c>
      <c r="C288" s="1" t="str">
        <f>"1"</f>
        <v>1</v>
      </c>
      <c r="D288" s="1" t="str">
        <f>"9"</f>
        <v>9</v>
      </c>
      <c r="E288" s="1" t="str">
        <f>"1"</f>
        <v>1</v>
      </c>
      <c r="F288" s="2">
        <v>-2242664049.0700002</v>
      </c>
      <c r="H288" s="3"/>
    </row>
    <row r="289" spans="1:8" x14ac:dyDescent="0.25">
      <c r="A289" s="1">
        <f t="shared" si="47"/>
        <v>1877</v>
      </c>
      <c r="B289" s="1" t="str">
        <f t="shared" si="48"/>
        <v>Резервы (провизии) по дебиторской задолженности, связанной с банковской деятельностью</v>
      </c>
      <c r="C289" s="1" t="str">
        <f>"2"</f>
        <v>2</v>
      </c>
      <c r="D289" s="1" t="str">
        <f>"9"</f>
        <v>9</v>
      </c>
      <c r="E289" s="1" t="str">
        <f>"1"</f>
        <v>1</v>
      </c>
      <c r="F289" s="2">
        <v>-4190654.02</v>
      </c>
      <c r="H289" s="3"/>
    </row>
    <row r="290" spans="1:8" x14ac:dyDescent="0.25">
      <c r="A290" s="1">
        <f t="shared" si="47"/>
        <v>1877</v>
      </c>
      <c r="B290" s="1" t="str">
        <f t="shared" si="48"/>
        <v>Резервы (провизии) по дебиторской задолженности, связанной с банковской деятельностью</v>
      </c>
      <c r="C290" s="1" t="str">
        <f>"1"</f>
        <v>1</v>
      </c>
      <c r="D290" s="1" t="str">
        <f>"9"</f>
        <v>9</v>
      </c>
      <c r="E290" s="1" t="str">
        <f>"2"</f>
        <v>2</v>
      </c>
      <c r="F290" s="2">
        <v>-11796105.789999999</v>
      </c>
      <c r="H290" s="3"/>
    </row>
    <row r="291" spans="1:8" x14ac:dyDescent="0.25">
      <c r="A291" s="1">
        <f t="shared" si="47"/>
        <v>1877</v>
      </c>
      <c r="B291" s="1" t="str">
        <f t="shared" si="48"/>
        <v>Резервы (провизии) по дебиторской задолженности, связанной с банковской деятельностью</v>
      </c>
      <c r="C291" s="1" t="str">
        <f>"2"</f>
        <v>2</v>
      </c>
      <c r="D291" s="1" t="str">
        <f>"9"</f>
        <v>9</v>
      </c>
      <c r="E291" s="1" t="str">
        <f>"2"</f>
        <v>2</v>
      </c>
      <c r="F291" s="2">
        <v>-57805.26</v>
      </c>
      <c r="H291" s="3"/>
    </row>
    <row r="292" spans="1:8" x14ac:dyDescent="0.25">
      <c r="A292" s="1">
        <f>("1878")*1</f>
        <v>1878</v>
      </c>
      <c r="B292" s="1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C292" s="1" t="str">
        <f>"2"</f>
        <v>2</v>
      </c>
      <c r="D292" s="1" t="str">
        <f>"7"</f>
        <v>7</v>
      </c>
      <c r="E292" s="1" t="str">
        <f t="shared" ref="E292:E302" si="49">"1"</f>
        <v>1</v>
      </c>
      <c r="F292" s="2">
        <v>-4662500</v>
      </c>
      <c r="H292" s="3"/>
    </row>
    <row r="293" spans="1:8" x14ac:dyDescent="0.25">
      <c r="A293" s="1">
        <f>("1878")*1</f>
        <v>1878</v>
      </c>
      <c r="B293" s="1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C293" s="1" t="str">
        <f>"1"</f>
        <v>1</v>
      </c>
      <c r="D293" s="1" t="str">
        <f>"7"</f>
        <v>7</v>
      </c>
      <c r="E293" s="1" t="str">
        <f t="shared" si="49"/>
        <v>1</v>
      </c>
      <c r="F293" s="2">
        <v>-80000</v>
      </c>
      <c r="H293" s="3"/>
    </row>
    <row r="294" spans="1:8" x14ac:dyDescent="0.25">
      <c r="A294" s="1">
        <f>("1878")*1</f>
        <v>1878</v>
      </c>
      <c r="B294" s="1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C294" s="1" t="str">
        <f>"1"</f>
        <v>1</v>
      </c>
      <c r="D294" s="1" t="str">
        <f>"9"</f>
        <v>9</v>
      </c>
      <c r="E294" s="1" t="str">
        <f t="shared" si="49"/>
        <v>1</v>
      </c>
      <c r="F294" s="2">
        <v>-24197905.390000001</v>
      </c>
      <c r="H294" s="3"/>
    </row>
    <row r="295" spans="1:8" x14ac:dyDescent="0.25">
      <c r="A295" s="1">
        <f>("1879")*1</f>
        <v>1879</v>
      </c>
      <c r="B295" s="1" t="str">
        <f>"Начисленная неустойка (штраф, пеня)"</f>
        <v>Начисленная неустойка (штраф, пеня)</v>
      </c>
      <c r="C295" s="1" t="str">
        <f>"1"</f>
        <v>1</v>
      </c>
      <c r="D295" s="1" t="str">
        <f>"7"</f>
        <v>7</v>
      </c>
      <c r="E295" s="1" t="str">
        <f t="shared" si="49"/>
        <v>1</v>
      </c>
      <c r="F295" s="2">
        <v>823008307.09000003</v>
      </c>
      <c r="H295" s="3"/>
    </row>
    <row r="296" spans="1:8" x14ac:dyDescent="0.25">
      <c r="A296" s="1">
        <f>("1879")*1</f>
        <v>1879</v>
      </c>
      <c r="B296" s="1" t="str">
        <f>"Начисленная неустойка (штраф, пеня)"</f>
        <v>Начисленная неустойка (штраф, пеня)</v>
      </c>
      <c r="C296" s="1" t="str">
        <f>"2"</f>
        <v>2</v>
      </c>
      <c r="D296" s="1" t="str">
        <f>"9"</f>
        <v>9</v>
      </c>
      <c r="E296" s="1" t="str">
        <f t="shared" si="49"/>
        <v>1</v>
      </c>
      <c r="F296" s="2">
        <v>1127251.2</v>
      </c>
      <c r="H296" s="3"/>
    </row>
    <row r="297" spans="1:8" x14ac:dyDescent="0.25">
      <c r="A297" s="1">
        <f>("1879")*1</f>
        <v>1879</v>
      </c>
      <c r="B297" s="1" t="str">
        <f>"Начисленная неустойка (штраф, пеня)"</f>
        <v>Начисленная неустойка (штраф, пеня)</v>
      </c>
      <c r="C297" s="1" t="str">
        <f>"2"</f>
        <v>2</v>
      </c>
      <c r="D297" s="1" t="str">
        <f>"7"</f>
        <v>7</v>
      </c>
      <c r="E297" s="1" t="str">
        <f t="shared" si="49"/>
        <v>1</v>
      </c>
      <c r="F297" s="2">
        <v>150957000.02000001</v>
      </c>
      <c r="H297" s="3"/>
    </row>
    <row r="298" spans="1:8" x14ac:dyDescent="0.25">
      <c r="A298" s="1">
        <f>("1879")*1</f>
        <v>1879</v>
      </c>
      <c r="B298" s="1" t="str">
        <f>"Начисленная неустойка (штраф, пеня)"</f>
        <v>Начисленная неустойка (штраф, пеня)</v>
      </c>
      <c r="C298" s="1" t="str">
        <f>"1"</f>
        <v>1</v>
      </c>
      <c r="D298" s="1" t="str">
        <f>"9"</f>
        <v>9</v>
      </c>
      <c r="E298" s="1" t="str">
        <f t="shared" si="49"/>
        <v>1</v>
      </c>
      <c r="F298" s="2">
        <v>617170681.33000004</v>
      </c>
      <c r="H298" s="3"/>
    </row>
    <row r="299" spans="1:8" x14ac:dyDescent="0.25">
      <c r="A299" s="1">
        <f>("1879")*1</f>
        <v>1879</v>
      </c>
      <c r="B299" s="1" t="str">
        <f>"Начисленная неустойка (штраф, пеня)"</f>
        <v>Начисленная неустойка (штраф, пеня)</v>
      </c>
      <c r="C299" s="1" t="str">
        <f>"1"</f>
        <v>1</v>
      </c>
      <c r="D299" s="1" t="str">
        <f>"5"</f>
        <v>5</v>
      </c>
      <c r="E299" s="1" t="str">
        <f t="shared" si="49"/>
        <v>1</v>
      </c>
      <c r="F299" s="2">
        <v>3644969.99</v>
      </c>
      <c r="H299" s="3"/>
    </row>
    <row r="300" spans="1:8" x14ac:dyDescent="0.25">
      <c r="A300" s="1">
        <f>("1892")*1</f>
        <v>1892</v>
      </c>
      <c r="B300" s="1" t="str">
        <f>"Требования по операциям форвард"</f>
        <v>Требования по операциям форвард</v>
      </c>
      <c r="C300" s="1" t="str">
        <f>"1"</f>
        <v>1</v>
      </c>
      <c r="D300" s="1" t="str">
        <f>"5"</f>
        <v>5</v>
      </c>
      <c r="E300" s="1" t="str">
        <f t="shared" si="49"/>
        <v>1</v>
      </c>
      <c r="F300" s="2">
        <v>1383807.86</v>
      </c>
      <c r="H300" s="3"/>
    </row>
    <row r="301" spans="1:8" x14ac:dyDescent="0.25">
      <c r="A301" s="1">
        <f>("1892")*1</f>
        <v>1892</v>
      </c>
      <c r="B301" s="1" t="str">
        <f>"Требования по операциям форвард"</f>
        <v>Требования по операциям форвард</v>
      </c>
      <c r="C301" s="1" t="str">
        <f>"1"</f>
        <v>1</v>
      </c>
      <c r="D301" s="1" t="str">
        <f>"7"</f>
        <v>7</v>
      </c>
      <c r="E301" s="1" t="str">
        <f t="shared" si="49"/>
        <v>1</v>
      </c>
      <c r="F301" s="2">
        <v>157239060.38</v>
      </c>
      <c r="H301" s="3"/>
    </row>
    <row r="302" spans="1:8" x14ac:dyDescent="0.25">
      <c r="A302" s="1">
        <f>("1892")*1</f>
        <v>1892</v>
      </c>
      <c r="B302" s="1" t="str">
        <f>"Требования по операциям форвард"</f>
        <v>Требования по операциям форвард</v>
      </c>
      <c r="C302" s="1" t="str">
        <f>"2"</f>
        <v>2</v>
      </c>
      <c r="D302" s="1" t="str">
        <f>"4"</f>
        <v>4</v>
      </c>
      <c r="E302" s="1" t="str">
        <f t="shared" si="49"/>
        <v>1</v>
      </c>
      <c r="F302" s="2">
        <v>2676244</v>
      </c>
      <c r="H302" s="3"/>
    </row>
    <row r="303" spans="1:8" x14ac:dyDescent="0.25">
      <c r="A303" s="1">
        <f>("1894")*1</f>
        <v>1894</v>
      </c>
      <c r="B303" s="1" t="str">
        <f>"Требования по операциям спот"</f>
        <v>Требования по операциям спот</v>
      </c>
      <c r="C303" s="1" t="str">
        <f>"1"</f>
        <v>1</v>
      </c>
      <c r="D303" s="1" t="str">
        <f>"5"</f>
        <v>5</v>
      </c>
      <c r="E303" s="1" t="str">
        <f>"2"</f>
        <v>2</v>
      </c>
      <c r="F303" s="2">
        <v>372250573.19999999</v>
      </c>
      <c r="H303" s="3"/>
    </row>
    <row r="304" spans="1:8" x14ac:dyDescent="0.25">
      <c r="A304" s="1">
        <f>("1895")*1</f>
        <v>1895</v>
      </c>
      <c r="B304" s="1" t="str">
        <f>"Требования по операциям своп"</f>
        <v>Требования по операциям своп</v>
      </c>
      <c r="C304" s="1" t="str">
        <f>"1"</f>
        <v>1</v>
      </c>
      <c r="D304" s="1" t="str">
        <f>"5"</f>
        <v>5</v>
      </c>
      <c r="E304" s="1" t="str">
        <f>"1"</f>
        <v>1</v>
      </c>
      <c r="F304" s="2">
        <v>1683300</v>
      </c>
      <c r="H304" s="3"/>
    </row>
    <row r="305" spans="1:8" x14ac:dyDescent="0.25">
      <c r="A305" s="1">
        <f>("1895")*1</f>
        <v>1895</v>
      </c>
      <c r="B305" s="1" t="str">
        <f>"Требования по операциям своп"</f>
        <v>Требования по операциям своп</v>
      </c>
      <c r="C305" s="1" t="str">
        <f>"2"</f>
        <v>2</v>
      </c>
      <c r="D305" s="1" t="str">
        <f t="shared" ref="D305:D310" si="50">"4"</f>
        <v>4</v>
      </c>
      <c r="E305" s="1" t="str">
        <f>"1"</f>
        <v>1</v>
      </c>
      <c r="F305" s="2">
        <v>418234304.52999997</v>
      </c>
      <c r="H305" s="3"/>
    </row>
    <row r="306" spans="1:8" x14ac:dyDescent="0.25">
      <c r="A306" s="1">
        <f>("2013")*1</f>
        <v>2013</v>
      </c>
      <c r="B306" s="1" t="str">
        <f>"Корреспондентские счета других банков"</f>
        <v>Корреспондентские счета других банков</v>
      </c>
      <c r="C306" s="1" t="str">
        <f>"1"</f>
        <v>1</v>
      </c>
      <c r="D306" s="1" t="str">
        <f t="shared" si="50"/>
        <v>4</v>
      </c>
      <c r="E306" s="1" t="str">
        <f>"3"</f>
        <v>3</v>
      </c>
      <c r="F306" s="2">
        <v>1308896107.6400001</v>
      </c>
      <c r="H306" s="3"/>
    </row>
    <row r="307" spans="1:8" x14ac:dyDescent="0.25">
      <c r="A307" s="1">
        <f>("2013")*1</f>
        <v>2013</v>
      </c>
      <c r="B307" s="1" t="str">
        <f>"Корреспондентские счета других банков"</f>
        <v>Корреспондентские счета других банков</v>
      </c>
      <c r="C307" s="1" t="str">
        <f>"2"</f>
        <v>2</v>
      </c>
      <c r="D307" s="1" t="str">
        <f t="shared" si="50"/>
        <v>4</v>
      </c>
      <c r="E307" s="1" t="str">
        <f>"1"</f>
        <v>1</v>
      </c>
      <c r="F307" s="2">
        <v>612699643.79999995</v>
      </c>
      <c r="H307" s="3"/>
    </row>
    <row r="308" spans="1:8" x14ac:dyDescent="0.25">
      <c r="A308" s="1">
        <f>("2013")*1</f>
        <v>2013</v>
      </c>
      <c r="B308" s="1" t="str">
        <f>"Корреспондентские счета других банков"</f>
        <v>Корреспондентские счета других банков</v>
      </c>
      <c r="C308" s="1" t="str">
        <f>"2"</f>
        <v>2</v>
      </c>
      <c r="D308" s="1" t="str">
        <f t="shared" si="50"/>
        <v>4</v>
      </c>
      <c r="E308" s="1" t="str">
        <f>"3"</f>
        <v>3</v>
      </c>
      <c r="F308" s="2">
        <v>312374.03000000003</v>
      </c>
      <c r="H308" s="3"/>
    </row>
    <row r="309" spans="1:8" x14ac:dyDescent="0.25">
      <c r="A309" s="1">
        <f>("2013")*1</f>
        <v>2013</v>
      </c>
      <c r="B309" s="1" t="str">
        <f>"Корреспондентские счета других банков"</f>
        <v>Корреспондентские счета других банков</v>
      </c>
      <c r="C309" s="1" t="str">
        <f>"1"</f>
        <v>1</v>
      </c>
      <c r="D309" s="1" t="str">
        <f t="shared" si="50"/>
        <v>4</v>
      </c>
      <c r="E309" s="1" t="str">
        <f>"2"</f>
        <v>2</v>
      </c>
      <c r="F309" s="2">
        <v>5194021133.3599997</v>
      </c>
      <c r="H309" s="3"/>
    </row>
    <row r="310" spans="1:8" x14ac:dyDescent="0.25">
      <c r="A310" s="1">
        <f>("2013")*1</f>
        <v>2013</v>
      </c>
      <c r="B310" s="1" t="str">
        <f>"Корреспондентские счета других банков"</f>
        <v>Корреспондентские счета других банков</v>
      </c>
      <c r="C310" s="1" t="str">
        <f>"2"</f>
        <v>2</v>
      </c>
      <c r="D310" s="1" t="str">
        <f t="shared" si="50"/>
        <v>4</v>
      </c>
      <c r="E310" s="1" t="str">
        <f>"2"</f>
        <v>2</v>
      </c>
      <c r="F310" s="2">
        <v>14241573263.969999</v>
      </c>
      <c r="H310" s="3"/>
    </row>
    <row r="311" spans="1:8" x14ac:dyDescent="0.25">
      <c r="A311" s="1">
        <f>("2014")*1</f>
        <v>2014</v>
      </c>
      <c r="B311" s="1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C311" s="1" t="str">
        <f>"2"</f>
        <v>2</v>
      </c>
      <c r="D311" s="1" t="str">
        <f>"5"</f>
        <v>5</v>
      </c>
      <c r="E311" s="1" t="str">
        <f>"2"</f>
        <v>2</v>
      </c>
      <c r="F311" s="2">
        <v>2922.66</v>
      </c>
      <c r="H311" s="3"/>
    </row>
    <row r="312" spans="1:8" x14ac:dyDescent="0.25">
      <c r="A312" s="1">
        <f>("2036")*1</f>
        <v>2036</v>
      </c>
      <c r="B312" s="1" t="str">
        <f>"Долгосрочные займы, полученные от Правительства Республики Казахстан, местных исполнительных органов Республики Казахстан и национального управляющего холдинга"</f>
        <v>Долгосрочные займы, полученные от Правительства Республики Казахстан, местных исполнительных органов Республики Казахстан и национального управляющего холдинга</v>
      </c>
      <c r="C312" s="1" t="str">
        <f>"1"</f>
        <v>1</v>
      </c>
      <c r="D312" s="1" t="str">
        <f>"1"</f>
        <v>1</v>
      </c>
      <c r="E312" s="1" t="str">
        <f>"2"</f>
        <v>2</v>
      </c>
      <c r="F312" s="2">
        <v>100359888.59999999</v>
      </c>
      <c r="H312" s="3"/>
    </row>
    <row r="313" spans="1:8" x14ac:dyDescent="0.25">
      <c r="A313" s="1">
        <f>("2036")*1</f>
        <v>2036</v>
      </c>
      <c r="B313" s="1" t="str">
        <f>"Долгосрочные займы, полученные от Правительства Республики Казахстан, местных исполнительных органов Республики Казахстан и национального управляющего холдинга"</f>
        <v>Долгосрочные займы, полученные от Правительства Республики Казахстан, местных исполнительных органов Республики Казахстан и национального управляющего холдинга</v>
      </c>
      <c r="C313" s="1" t="str">
        <f>"1"</f>
        <v>1</v>
      </c>
      <c r="D313" s="1" t="str">
        <f>"1"</f>
        <v>1</v>
      </c>
      <c r="E313" s="1" t="str">
        <f>"1"</f>
        <v>1</v>
      </c>
      <c r="F313" s="2">
        <v>100197498</v>
      </c>
      <c r="H313" s="3"/>
    </row>
    <row r="314" spans="1:8" x14ac:dyDescent="0.25">
      <c r="A314" s="1">
        <f>("2056")*1</f>
        <v>2056</v>
      </c>
      <c r="B314" s="1" t="str">
        <f>"Долгосрочные займы, полученные от других банков"</f>
        <v>Долгосрочные займы, полученные от других банков</v>
      </c>
      <c r="C314" s="1" t="str">
        <f t="shared" ref="C314:C322" si="51">"1"</f>
        <v>1</v>
      </c>
      <c r="D314" s="1" t="str">
        <f>"4"</f>
        <v>4</v>
      </c>
      <c r="E314" s="1" t="str">
        <f>"1"</f>
        <v>1</v>
      </c>
      <c r="F314" s="2">
        <v>23929108193.380001</v>
      </c>
      <c r="H314" s="3"/>
    </row>
    <row r="315" spans="1:8" x14ac:dyDescent="0.25">
      <c r="A315" s="1">
        <f>("2066")*1</f>
        <v>2066</v>
      </c>
      <c r="B315" s="1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C315" s="1" t="str">
        <f t="shared" si="51"/>
        <v>1</v>
      </c>
      <c r="D315" s="1" t="str">
        <f>"5"</f>
        <v>5</v>
      </c>
      <c r="E315" s="1" t="str">
        <f>"1"</f>
        <v>1</v>
      </c>
      <c r="F315" s="2">
        <v>45572445695.790001</v>
      </c>
      <c r="H315" s="3"/>
    </row>
    <row r="316" spans="1:8" x14ac:dyDescent="0.25">
      <c r="A316" s="1">
        <f>("2130")*1</f>
        <v>2130</v>
      </c>
      <c r="B316" s="1" t="str">
        <f>"Вклад, являющийся обеспечением обязательств других банков"</f>
        <v>Вклад, являющийся обеспечением обязательств других банков</v>
      </c>
      <c r="C316" s="1" t="str">
        <f t="shared" si="51"/>
        <v>1</v>
      </c>
      <c r="D316" s="1" t="str">
        <f>"4"</f>
        <v>4</v>
      </c>
      <c r="E316" s="1" t="str">
        <f>"2"</f>
        <v>2</v>
      </c>
      <c r="F316" s="2">
        <v>693975000</v>
      </c>
      <c r="H316" s="3"/>
    </row>
    <row r="317" spans="1:8" x14ac:dyDescent="0.25">
      <c r="A317" s="1">
        <f>("2202")*1</f>
        <v>2202</v>
      </c>
      <c r="B317" s="1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C317" s="1" t="str">
        <f t="shared" si="51"/>
        <v>1</v>
      </c>
      <c r="D317" s="1" t="str">
        <f>"5"</f>
        <v>5</v>
      </c>
      <c r="E317" s="1" t="str">
        <f>"2"</f>
        <v>2</v>
      </c>
      <c r="F317" s="2">
        <v>974530692.90999997</v>
      </c>
      <c r="H317" s="3"/>
    </row>
    <row r="318" spans="1:8" x14ac:dyDescent="0.25">
      <c r="A318" s="1">
        <f>("2202")*1</f>
        <v>2202</v>
      </c>
      <c r="B318" s="1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C318" s="1" t="str">
        <f t="shared" si="51"/>
        <v>1</v>
      </c>
      <c r="D318" s="1" t="str">
        <f>"5"</f>
        <v>5</v>
      </c>
      <c r="E318" s="1" t="str">
        <f>"1"</f>
        <v>1</v>
      </c>
      <c r="F318" s="2">
        <v>38443226.189999998</v>
      </c>
      <c r="H318" s="3"/>
    </row>
    <row r="319" spans="1:8" x14ac:dyDescent="0.25">
      <c r="A319" s="1">
        <f t="shared" ref="A319:A341" si="52">("2203")*1</f>
        <v>2203</v>
      </c>
      <c r="B319" s="1" t="str">
        <f t="shared" ref="B319:B341" si="53">"Текущие счета юридических лиц"</f>
        <v>Текущие счета юридических лиц</v>
      </c>
      <c r="C319" s="1" t="str">
        <f t="shared" si="51"/>
        <v>1</v>
      </c>
      <c r="D319" s="1" t="str">
        <f>"2"</f>
        <v>2</v>
      </c>
      <c r="E319" s="1" t="str">
        <f>"1"</f>
        <v>1</v>
      </c>
      <c r="F319" s="2">
        <v>90295214.530000001</v>
      </c>
      <c r="H319" s="3"/>
    </row>
    <row r="320" spans="1:8" x14ac:dyDescent="0.25">
      <c r="A320" s="1">
        <f t="shared" si="52"/>
        <v>2203</v>
      </c>
      <c r="B320" s="1" t="str">
        <f t="shared" si="53"/>
        <v>Текущие счета юридических лиц</v>
      </c>
      <c r="C320" s="1" t="str">
        <f t="shared" si="51"/>
        <v>1</v>
      </c>
      <c r="D320" s="1" t="str">
        <f>"7"</f>
        <v>7</v>
      </c>
      <c r="E320" s="1" t="str">
        <f>"1"</f>
        <v>1</v>
      </c>
      <c r="F320" s="2">
        <v>63832906170.849998</v>
      </c>
      <c r="H320" s="3"/>
    </row>
    <row r="321" spans="1:8" x14ac:dyDescent="0.25">
      <c r="A321" s="1">
        <f t="shared" si="52"/>
        <v>2203</v>
      </c>
      <c r="B321" s="1" t="str">
        <f t="shared" si="53"/>
        <v>Текущие счета юридических лиц</v>
      </c>
      <c r="C321" s="1" t="str">
        <f t="shared" si="51"/>
        <v>1</v>
      </c>
      <c r="D321" s="1" t="str">
        <f>"5"</f>
        <v>5</v>
      </c>
      <c r="E321" s="1" t="str">
        <f>"3"</f>
        <v>3</v>
      </c>
      <c r="F321" s="2">
        <v>3519715524.0999999</v>
      </c>
      <c r="H321" s="3"/>
    </row>
    <row r="322" spans="1:8" x14ac:dyDescent="0.25">
      <c r="A322" s="1">
        <f t="shared" si="52"/>
        <v>2203</v>
      </c>
      <c r="B322" s="1" t="str">
        <f t="shared" si="53"/>
        <v>Текущие счета юридических лиц</v>
      </c>
      <c r="C322" s="1" t="str">
        <f t="shared" si="51"/>
        <v>1</v>
      </c>
      <c r="D322" s="1" t="str">
        <f>"6"</f>
        <v>6</v>
      </c>
      <c r="E322" s="1" t="str">
        <f>"2"</f>
        <v>2</v>
      </c>
      <c r="F322" s="2">
        <v>789985465.48000002</v>
      </c>
      <c r="H322" s="3"/>
    </row>
    <row r="323" spans="1:8" x14ac:dyDescent="0.25">
      <c r="A323" s="1">
        <f t="shared" si="52"/>
        <v>2203</v>
      </c>
      <c r="B323" s="1" t="str">
        <f t="shared" si="53"/>
        <v>Текущие счета юридических лиц</v>
      </c>
      <c r="C323" s="1" t="str">
        <f>"2"</f>
        <v>2</v>
      </c>
      <c r="D323" s="1" t="str">
        <f>"7"</f>
        <v>7</v>
      </c>
      <c r="E323" s="1" t="str">
        <f>"1"</f>
        <v>1</v>
      </c>
      <c r="F323" s="2">
        <v>443907524.63</v>
      </c>
      <c r="H323" s="3"/>
    </row>
    <row r="324" spans="1:8" x14ac:dyDescent="0.25">
      <c r="A324" s="1">
        <f t="shared" si="52"/>
        <v>2203</v>
      </c>
      <c r="B324" s="1" t="str">
        <f t="shared" si="53"/>
        <v>Текущие счета юридических лиц</v>
      </c>
      <c r="C324" s="1" t="str">
        <f>"2"</f>
        <v>2</v>
      </c>
      <c r="D324" s="1" t="str">
        <f>"8"</f>
        <v>8</v>
      </c>
      <c r="E324" s="1" t="str">
        <f>"1"</f>
        <v>1</v>
      </c>
      <c r="F324" s="2">
        <v>662257.41</v>
      </c>
      <c r="H324" s="3"/>
    </row>
    <row r="325" spans="1:8" x14ac:dyDescent="0.25">
      <c r="A325" s="1">
        <f t="shared" si="52"/>
        <v>2203</v>
      </c>
      <c r="B325" s="1" t="str">
        <f t="shared" si="53"/>
        <v>Текущие счета юридических лиц</v>
      </c>
      <c r="C325" s="1" t="str">
        <f>"1"</f>
        <v>1</v>
      </c>
      <c r="D325" s="1" t="str">
        <f>"7"</f>
        <v>7</v>
      </c>
      <c r="E325" s="1" t="str">
        <f>"2"</f>
        <v>2</v>
      </c>
      <c r="F325" s="2">
        <v>40223799469.550003</v>
      </c>
      <c r="H325" s="3"/>
    </row>
    <row r="326" spans="1:8" x14ac:dyDescent="0.25">
      <c r="A326" s="1">
        <f t="shared" si="52"/>
        <v>2203</v>
      </c>
      <c r="B326" s="1" t="str">
        <f t="shared" si="53"/>
        <v>Текущие счета юридических лиц</v>
      </c>
      <c r="C326" s="1" t="str">
        <f>"1"</f>
        <v>1</v>
      </c>
      <c r="D326" s="1" t="str">
        <f>"8"</f>
        <v>8</v>
      </c>
      <c r="E326" s="1" t="str">
        <f>"2"</f>
        <v>2</v>
      </c>
      <c r="F326" s="2">
        <v>312829906.10000002</v>
      </c>
      <c r="H326" s="3"/>
    </row>
    <row r="327" spans="1:8" x14ac:dyDescent="0.25">
      <c r="A327" s="1">
        <f t="shared" si="52"/>
        <v>2203</v>
      </c>
      <c r="B327" s="1" t="str">
        <f t="shared" si="53"/>
        <v>Текущие счета юридических лиц</v>
      </c>
      <c r="C327" s="1" t="str">
        <f>"1"</f>
        <v>1</v>
      </c>
      <c r="D327" s="1" t="str">
        <f>"7"</f>
        <v>7</v>
      </c>
      <c r="E327" s="1" t="str">
        <f>"3"</f>
        <v>3</v>
      </c>
      <c r="F327" s="2">
        <v>3303574716.5799999</v>
      </c>
      <c r="H327" s="3"/>
    </row>
    <row r="328" spans="1:8" x14ac:dyDescent="0.25">
      <c r="A328" s="1">
        <f t="shared" si="52"/>
        <v>2203</v>
      </c>
      <c r="B328" s="1" t="str">
        <f t="shared" si="53"/>
        <v>Текущие счета юридических лиц</v>
      </c>
      <c r="C328" s="1" t="str">
        <f>"2"</f>
        <v>2</v>
      </c>
      <c r="D328" s="1" t="str">
        <f>"1"</f>
        <v>1</v>
      </c>
      <c r="E328" s="1" t="str">
        <f>"2"</f>
        <v>2</v>
      </c>
      <c r="F328" s="2">
        <v>36352877.710000001</v>
      </c>
      <c r="H328" s="3"/>
    </row>
    <row r="329" spans="1:8" x14ac:dyDescent="0.25">
      <c r="A329" s="1">
        <f t="shared" si="52"/>
        <v>2203</v>
      </c>
      <c r="B329" s="1" t="str">
        <f t="shared" si="53"/>
        <v>Текущие счета юридических лиц</v>
      </c>
      <c r="C329" s="1" t="str">
        <f>"1"</f>
        <v>1</v>
      </c>
      <c r="D329" s="1" t="str">
        <f>"5"</f>
        <v>5</v>
      </c>
      <c r="E329" s="1" t="str">
        <f>"1"</f>
        <v>1</v>
      </c>
      <c r="F329" s="2">
        <v>840517919.50999999</v>
      </c>
      <c r="H329" s="3"/>
    </row>
    <row r="330" spans="1:8" x14ac:dyDescent="0.25">
      <c r="A330" s="1">
        <f t="shared" si="52"/>
        <v>2203</v>
      </c>
      <c r="B330" s="1" t="str">
        <f t="shared" si="53"/>
        <v>Текущие счета юридических лиц</v>
      </c>
      <c r="C330" s="1" t="str">
        <f>"1"</f>
        <v>1</v>
      </c>
      <c r="D330" s="1" t="str">
        <f>"6"</f>
        <v>6</v>
      </c>
      <c r="E330" s="1" t="str">
        <f>"1"</f>
        <v>1</v>
      </c>
      <c r="F330" s="2">
        <v>28835849980.720001</v>
      </c>
      <c r="H330" s="3"/>
    </row>
    <row r="331" spans="1:8" x14ac:dyDescent="0.25">
      <c r="A331" s="1">
        <f t="shared" si="52"/>
        <v>2203</v>
      </c>
      <c r="B331" s="1" t="str">
        <f t="shared" si="53"/>
        <v>Текущие счета юридических лиц</v>
      </c>
      <c r="C331" s="1" t="str">
        <f>"1"</f>
        <v>1</v>
      </c>
      <c r="D331" s="1" t="str">
        <f>"6"</f>
        <v>6</v>
      </c>
      <c r="E331" s="1" t="str">
        <f>"3"</f>
        <v>3</v>
      </c>
      <c r="F331" s="2">
        <v>9522064.1799999997</v>
      </c>
      <c r="H331" s="3"/>
    </row>
    <row r="332" spans="1:8" x14ac:dyDescent="0.25">
      <c r="A332" s="1">
        <f t="shared" si="52"/>
        <v>2203</v>
      </c>
      <c r="B332" s="1" t="str">
        <f t="shared" si="53"/>
        <v>Текущие счета юридических лиц</v>
      </c>
      <c r="C332" s="1" t="str">
        <f>"1"</f>
        <v>1</v>
      </c>
      <c r="D332" s="1" t="str">
        <f>"8"</f>
        <v>8</v>
      </c>
      <c r="E332" s="1" t="str">
        <f>"1"</f>
        <v>1</v>
      </c>
      <c r="F332" s="2">
        <v>1572885692.3800001</v>
      </c>
      <c r="H332" s="3"/>
    </row>
    <row r="333" spans="1:8" x14ac:dyDescent="0.25">
      <c r="A333" s="1">
        <f t="shared" si="52"/>
        <v>2203</v>
      </c>
      <c r="B333" s="1" t="str">
        <f t="shared" si="53"/>
        <v>Текущие счета юридических лиц</v>
      </c>
      <c r="C333" s="1" t="str">
        <f>"2"</f>
        <v>2</v>
      </c>
      <c r="D333" s="1" t="str">
        <f>"7"</f>
        <v>7</v>
      </c>
      <c r="E333" s="1" t="str">
        <f>"2"</f>
        <v>2</v>
      </c>
      <c r="F333" s="2">
        <v>343204598243.03998</v>
      </c>
      <c r="H333" s="3"/>
    </row>
    <row r="334" spans="1:8" x14ac:dyDescent="0.25">
      <c r="A334" s="1">
        <f t="shared" si="52"/>
        <v>2203</v>
      </c>
      <c r="B334" s="1" t="str">
        <f t="shared" si="53"/>
        <v>Текущие счета юридических лиц</v>
      </c>
      <c r="C334" s="1" t="str">
        <f>"2"</f>
        <v>2</v>
      </c>
      <c r="D334" s="1" t="str">
        <f>"8"</f>
        <v>8</v>
      </c>
      <c r="E334" s="1" t="str">
        <f>"2"</f>
        <v>2</v>
      </c>
      <c r="F334" s="2">
        <v>58506607.960000001</v>
      </c>
      <c r="H334" s="3"/>
    </row>
    <row r="335" spans="1:8" x14ac:dyDescent="0.25">
      <c r="A335" s="1">
        <f t="shared" si="52"/>
        <v>2203</v>
      </c>
      <c r="B335" s="1" t="str">
        <f t="shared" si="53"/>
        <v>Текущие счета юридических лиц</v>
      </c>
      <c r="C335" s="1" t="str">
        <f>"2"</f>
        <v>2</v>
      </c>
      <c r="D335" s="1" t="str">
        <f>"5"</f>
        <v>5</v>
      </c>
      <c r="E335" s="1" t="str">
        <f>"1"</f>
        <v>1</v>
      </c>
      <c r="F335" s="2">
        <v>68806930.280000001</v>
      </c>
      <c r="H335" s="3"/>
    </row>
    <row r="336" spans="1:8" x14ac:dyDescent="0.25">
      <c r="A336" s="1">
        <f t="shared" si="52"/>
        <v>2203</v>
      </c>
      <c r="B336" s="1" t="str">
        <f t="shared" si="53"/>
        <v>Текущие счета юридических лиц</v>
      </c>
      <c r="C336" s="1" t="str">
        <f>"1"</f>
        <v>1</v>
      </c>
      <c r="D336" s="1" t="str">
        <f>"8"</f>
        <v>8</v>
      </c>
      <c r="E336" s="1" t="str">
        <f>"3"</f>
        <v>3</v>
      </c>
      <c r="F336" s="2">
        <v>1451604.91</v>
      </c>
      <c r="H336" s="3"/>
    </row>
    <row r="337" spans="1:8" x14ac:dyDescent="0.25">
      <c r="A337" s="1">
        <f t="shared" si="52"/>
        <v>2203</v>
      </c>
      <c r="B337" s="1" t="str">
        <f t="shared" si="53"/>
        <v>Текущие счета юридических лиц</v>
      </c>
      <c r="C337" s="1" t="str">
        <f>"1"</f>
        <v>1</v>
      </c>
      <c r="D337" s="1" t="str">
        <f>"5"</f>
        <v>5</v>
      </c>
      <c r="E337" s="1" t="str">
        <f>"2"</f>
        <v>2</v>
      </c>
      <c r="F337" s="2">
        <v>11281803249.1</v>
      </c>
      <c r="H337" s="3"/>
    </row>
    <row r="338" spans="1:8" x14ac:dyDescent="0.25">
      <c r="A338" s="1">
        <f t="shared" si="52"/>
        <v>2203</v>
      </c>
      <c r="B338" s="1" t="str">
        <f t="shared" si="53"/>
        <v>Текущие счета юридических лиц</v>
      </c>
      <c r="C338" s="1" t="str">
        <f>"2"</f>
        <v>2</v>
      </c>
      <c r="D338" s="1" t="str">
        <f>"5"</f>
        <v>5</v>
      </c>
      <c r="E338" s="1" t="str">
        <f>"2"</f>
        <v>2</v>
      </c>
      <c r="F338" s="2">
        <v>10258791216.9</v>
      </c>
      <c r="H338" s="3"/>
    </row>
    <row r="339" spans="1:8" x14ac:dyDescent="0.25">
      <c r="A339" s="1">
        <f t="shared" si="52"/>
        <v>2203</v>
      </c>
      <c r="B339" s="1" t="str">
        <f t="shared" si="53"/>
        <v>Текущие счета юридических лиц</v>
      </c>
      <c r="C339" s="1" t="str">
        <f>"2"</f>
        <v>2</v>
      </c>
      <c r="D339" s="1" t="str">
        <f>"7"</f>
        <v>7</v>
      </c>
      <c r="E339" s="1" t="str">
        <f>"3"</f>
        <v>3</v>
      </c>
      <c r="F339" s="2">
        <v>1759489991.4100001</v>
      </c>
      <c r="H339" s="3"/>
    </row>
    <row r="340" spans="1:8" x14ac:dyDescent="0.25">
      <c r="A340" s="1">
        <f t="shared" si="52"/>
        <v>2203</v>
      </c>
      <c r="B340" s="1" t="str">
        <f t="shared" si="53"/>
        <v>Текущие счета юридических лиц</v>
      </c>
      <c r="C340" s="1" t="str">
        <f>"2"</f>
        <v>2</v>
      </c>
      <c r="D340" s="1" t="str">
        <f>"1"</f>
        <v>1</v>
      </c>
      <c r="E340" s="1" t="str">
        <f>"1"</f>
        <v>1</v>
      </c>
      <c r="F340" s="2">
        <v>37777479.469999999</v>
      </c>
      <c r="H340" s="3"/>
    </row>
    <row r="341" spans="1:8" x14ac:dyDescent="0.25">
      <c r="A341" s="1">
        <f t="shared" si="52"/>
        <v>2203</v>
      </c>
      <c r="B341" s="1" t="str">
        <f t="shared" si="53"/>
        <v>Текущие счета юридических лиц</v>
      </c>
      <c r="C341" s="1" t="str">
        <f>"2"</f>
        <v>2</v>
      </c>
      <c r="D341" s="1" t="str">
        <f>"5"</f>
        <v>5</v>
      </c>
      <c r="E341" s="1" t="str">
        <f>"3"</f>
        <v>3</v>
      </c>
      <c r="F341" s="2">
        <v>4961678.25</v>
      </c>
      <c r="H341" s="3"/>
    </row>
    <row r="342" spans="1:8" x14ac:dyDescent="0.25">
      <c r="A342" s="1">
        <f t="shared" ref="A342:A347" si="54">("2204")*1</f>
        <v>2204</v>
      </c>
      <c r="B342" s="1" t="str">
        <f t="shared" ref="B342:B347" si="55">"Текущие счета физических лиц"</f>
        <v>Текущие счета физических лиц</v>
      </c>
      <c r="C342" s="1" t="str">
        <f>"1"</f>
        <v>1</v>
      </c>
      <c r="D342" s="1" t="str">
        <f t="shared" ref="D342:D367" si="56">"9"</f>
        <v>9</v>
      </c>
      <c r="E342" s="1" t="str">
        <f>"1"</f>
        <v>1</v>
      </c>
      <c r="F342" s="2">
        <v>51155966436.07</v>
      </c>
      <c r="H342" s="3"/>
    </row>
    <row r="343" spans="1:8" x14ac:dyDescent="0.25">
      <c r="A343" s="1">
        <f t="shared" si="54"/>
        <v>2204</v>
      </c>
      <c r="B343" s="1" t="str">
        <f t="shared" si="55"/>
        <v>Текущие счета физических лиц</v>
      </c>
      <c r="C343" s="1" t="str">
        <f>"1"</f>
        <v>1</v>
      </c>
      <c r="D343" s="1" t="str">
        <f t="shared" si="56"/>
        <v>9</v>
      </c>
      <c r="E343" s="1" t="str">
        <f>"3"</f>
        <v>3</v>
      </c>
      <c r="F343" s="2">
        <v>398342158.13</v>
      </c>
      <c r="H343" s="3"/>
    </row>
    <row r="344" spans="1:8" x14ac:dyDescent="0.25">
      <c r="A344" s="1">
        <f t="shared" si="54"/>
        <v>2204</v>
      </c>
      <c r="B344" s="1" t="str">
        <f t="shared" si="55"/>
        <v>Текущие счета физических лиц</v>
      </c>
      <c r="C344" s="1" t="str">
        <f>"2"</f>
        <v>2</v>
      </c>
      <c r="D344" s="1" t="str">
        <f t="shared" si="56"/>
        <v>9</v>
      </c>
      <c r="E344" s="1" t="str">
        <f>"1"</f>
        <v>1</v>
      </c>
      <c r="F344" s="2">
        <v>3503905635.9699998</v>
      </c>
      <c r="H344" s="3"/>
    </row>
    <row r="345" spans="1:8" x14ac:dyDescent="0.25">
      <c r="A345" s="1">
        <f t="shared" si="54"/>
        <v>2204</v>
      </c>
      <c r="B345" s="1" t="str">
        <f t="shared" si="55"/>
        <v>Текущие счета физических лиц</v>
      </c>
      <c r="C345" s="1" t="str">
        <f>"2"</f>
        <v>2</v>
      </c>
      <c r="D345" s="1" t="str">
        <f t="shared" si="56"/>
        <v>9</v>
      </c>
      <c r="E345" s="1" t="str">
        <f>"3"</f>
        <v>3</v>
      </c>
      <c r="F345" s="2">
        <v>3051234941.0300002</v>
      </c>
      <c r="H345" s="3"/>
    </row>
    <row r="346" spans="1:8" x14ac:dyDescent="0.25">
      <c r="A346" s="1">
        <f t="shared" si="54"/>
        <v>2204</v>
      </c>
      <c r="B346" s="1" t="str">
        <f t="shared" si="55"/>
        <v>Текущие счета физических лиц</v>
      </c>
      <c r="C346" s="1" t="str">
        <f>"2"</f>
        <v>2</v>
      </c>
      <c r="D346" s="1" t="str">
        <f t="shared" si="56"/>
        <v>9</v>
      </c>
      <c r="E346" s="1" t="str">
        <f>"2"</f>
        <v>2</v>
      </c>
      <c r="F346" s="2">
        <v>150525518606.38</v>
      </c>
      <c r="H346" s="3"/>
    </row>
    <row r="347" spans="1:8" x14ac:dyDescent="0.25">
      <c r="A347" s="1">
        <f t="shared" si="54"/>
        <v>2204</v>
      </c>
      <c r="B347" s="1" t="str">
        <f t="shared" si="55"/>
        <v>Текущие счета физических лиц</v>
      </c>
      <c r="C347" s="1" t="str">
        <f>"1"</f>
        <v>1</v>
      </c>
      <c r="D347" s="1" t="str">
        <f t="shared" si="56"/>
        <v>9</v>
      </c>
      <c r="E347" s="1" t="str">
        <f>"2"</f>
        <v>2</v>
      </c>
      <c r="F347" s="2">
        <v>14304655704.16</v>
      </c>
      <c r="H347" s="3"/>
    </row>
    <row r="348" spans="1:8" x14ac:dyDescent="0.25">
      <c r="A348" s="1">
        <f t="shared" ref="A348:A353" si="57">("2205")*1</f>
        <v>2205</v>
      </c>
      <c r="B348" s="1" t="str">
        <f t="shared" ref="B348:B353" si="58">"Вклады до востребования физических лиц"</f>
        <v>Вклады до востребования физических лиц</v>
      </c>
      <c r="C348" s="1" t="str">
        <f>"1"</f>
        <v>1</v>
      </c>
      <c r="D348" s="1" t="str">
        <f t="shared" si="56"/>
        <v>9</v>
      </c>
      <c r="E348" s="1" t="str">
        <f>"3"</f>
        <v>3</v>
      </c>
      <c r="F348" s="2">
        <v>6487.54</v>
      </c>
      <c r="H348" s="3"/>
    </row>
    <row r="349" spans="1:8" x14ac:dyDescent="0.25">
      <c r="A349" s="1">
        <f t="shared" si="57"/>
        <v>2205</v>
      </c>
      <c r="B349" s="1" t="str">
        <f t="shared" si="58"/>
        <v>Вклады до востребования физических лиц</v>
      </c>
      <c r="C349" s="1" t="str">
        <f>"2"</f>
        <v>2</v>
      </c>
      <c r="D349" s="1" t="str">
        <f t="shared" si="56"/>
        <v>9</v>
      </c>
      <c r="E349" s="1" t="str">
        <f>"2"</f>
        <v>2</v>
      </c>
      <c r="F349" s="2">
        <v>24460769661.290001</v>
      </c>
      <c r="H349" s="3"/>
    </row>
    <row r="350" spans="1:8" x14ac:dyDescent="0.25">
      <c r="A350" s="1">
        <f t="shared" si="57"/>
        <v>2205</v>
      </c>
      <c r="B350" s="1" t="str">
        <f t="shared" si="58"/>
        <v>Вклады до востребования физических лиц</v>
      </c>
      <c r="C350" s="1" t="str">
        <f>"1"</f>
        <v>1</v>
      </c>
      <c r="D350" s="1" t="str">
        <f t="shared" si="56"/>
        <v>9</v>
      </c>
      <c r="E350" s="1" t="str">
        <f>"1"</f>
        <v>1</v>
      </c>
      <c r="F350" s="2">
        <v>17116410.640000001</v>
      </c>
      <c r="H350" s="3"/>
    </row>
    <row r="351" spans="1:8" x14ac:dyDescent="0.25">
      <c r="A351" s="1">
        <f t="shared" si="57"/>
        <v>2205</v>
      </c>
      <c r="B351" s="1" t="str">
        <f t="shared" si="58"/>
        <v>Вклады до востребования физических лиц</v>
      </c>
      <c r="C351" s="1" t="str">
        <f>"2"</f>
        <v>2</v>
      </c>
      <c r="D351" s="1" t="str">
        <f t="shared" si="56"/>
        <v>9</v>
      </c>
      <c r="E351" s="1" t="str">
        <f>"1"</f>
        <v>1</v>
      </c>
      <c r="F351" s="2">
        <v>5254839</v>
      </c>
      <c r="H351" s="3"/>
    </row>
    <row r="352" spans="1:8" x14ac:dyDescent="0.25">
      <c r="A352" s="1">
        <f t="shared" si="57"/>
        <v>2205</v>
      </c>
      <c r="B352" s="1" t="str">
        <f t="shared" si="58"/>
        <v>Вклады до востребования физических лиц</v>
      </c>
      <c r="C352" s="1" t="str">
        <f>"2"</f>
        <v>2</v>
      </c>
      <c r="D352" s="1" t="str">
        <f t="shared" si="56"/>
        <v>9</v>
      </c>
      <c r="E352" s="1" t="str">
        <f>"3"</f>
        <v>3</v>
      </c>
      <c r="F352" s="2">
        <v>4383042.2300000004</v>
      </c>
      <c r="H352" s="3"/>
    </row>
    <row r="353" spans="1:8" x14ac:dyDescent="0.25">
      <c r="A353" s="1">
        <f t="shared" si="57"/>
        <v>2205</v>
      </c>
      <c r="B353" s="1" t="str">
        <f t="shared" si="58"/>
        <v>Вклады до востребования физических лиц</v>
      </c>
      <c r="C353" s="1" t="str">
        <f>"1"</f>
        <v>1</v>
      </c>
      <c r="D353" s="1" t="str">
        <f t="shared" si="56"/>
        <v>9</v>
      </c>
      <c r="E353" s="1" t="str">
        <f>"2"</f>
        <v>2</v>
      </c>
      <c r="F353" s="2">
        <v>2335185376</v>
      </c>
      <c r="H353" s="3"/>
    </row>
    <row r="354" spans="1:8" x14ac:dyDescent="0.25">
      <c r="A354" s="1">
        <f t="shared" ref="A354:A359" si="59">("2206")*1</f>
        <v>2206</v>
      </c>
      <c r="B354" s="1" t="str">
        <f t="shared" ref="B354:B359" si="60">"Краткосрочные вклады физических лиц"</f>
        <v>Краткосрочные вклады физических лиц</v>
      </c>
      <c r="C354" s="1" t="str">
        <f>"2"</f>
        <v>2</v>
      </c>
      <c r="D354" s="1" t="str">
        <f t="shared" si="56"/>
        <v>9</v>
      </c>
      <c r="E354" s="1" t="str">
        <f>"3"</f>
        <v>3</v>
      </c>
      <c r="F354" s="2">
        <v>925200946.35000002</v>
      </c>
      <c r="H354" s="3"/>
    </row>
    <row r="355" spans="1:8" x14ac:dyDescent="0.25">
      <c r="A355" s="1">
        <f t="shared" si="59"/>
        <v>2206</v>
      </c>
      <c r="B355" s="1" t="str">
        <f t="shared" si="60"/>
        <v>Краткосрочные вклады физических лиц</v>
      </c>
      <c r="C355" s="1" t="str">
        <f>"1"</f>
        <v>1</v>
      </c>
      <c r="D355" s="1" t="str">
        <f t="shared" si="56"/>
        <v>9</v>
      </c>
      <c r="E355" s="1" t="str">
        <f>"2"</f>
        <v>2</v>
      </c>
      <c r="F355" s="2">
        <v>61811447168.849998</v>
      </c>
      <c r="H355" s="3"/>
    </row>
    <row r="356" spans="1:8" x14ac:dyDescent="0.25">
      <c r="A356" s="1">
        <f t="shared" si="59"/>
        <v>2206</v>
      </c>
      <c r="B356" s="1" t="str">
        <f t="shared" si="60"/>
        <v>Краткосрочные вклады физических лиц</v>
      </c>
      <c r="C356" s="1" t="str">
        <f>"1"</f>
        <v>1</v>
      </c>
      <c r="D356" s="1" t="str">
        <f t="shared" si="56"/>
        <v>9</v>
      </c>
      <c r="E356" s="1" t="str">
        <f>"1"</f>
        <v>1</v>
      </c>
      <c r="F356" s="2">
        <v>58598516220.519997</v>
      </c>
      <c r="H356" s="3"/>
    </row>
    <row r="357" spans="1:8" x14ac:dyDescent="0.25">
      <c r="A357" s="1">
        <f t="shared" si="59"/>
        <v>2206</v>
      </c>
      <c r="B357" s="1" t="str">
        <f t="shared" si="60"/>
        <v>Краткосрочные вклады физических лиц</v>
      </c>
      <c r="C357" s="1" t="str">
        <f>"2"</f>
        <v>2</v>
      </c>
      <c r="D357" s="1" t="str">
        <f t="shared" si="56"/>
        <v>9</v>
      </c>
      <c r="E357" s="1" t="str">
        <f>"1"</f>
        <v>1</v>
      </c>
      <c r="F357" s="2">
        <v>708065306.80999994</v>
      </c>
      <c r="H357" s="3"/>
    </row>
    <row r="358" spans="1:8" x14ac:dyDescent="0.25">
      <c r="A358" s="1">
        <f t="shared" si="59"/>
        <v>2206</v>
      </c>
      <c r="B358" s="1" t="str">
        <f t="shared" si="60"/>
        <v>Краткосрочные вклады физических лиц</v>
      </c>
      <c r="C358" s="1" t="str">
        <f>"2"</f>
        <v>2</v>
      </c>
      <c r="D358" s="1" t="str">
        <f t="shared" si="56"/>
        <v>9</v>
      </c>
      <c r="E358" s="1" t="str">
        <f>"2"</f>
        <v>2</v>
      </c>
      <c r="F358" s="2">
        <v>4897146128.7399998</v>
      </c>
      <c r="H358" s="3"/>
    </row>
    <row r="359" spans="1:8" x14ac:dyDescent="0.25">
      <c r="A359" s="1">
        <f t="shared" si="59"/>
        <v>2206</v>
      </c>
      <c r="B359" s="1" t="str">
        <f t="shared" si="60"/>
        <v>Краткосрочные вклады физических лиц</v>
      </c>
      <c r="C359" s="1" t="str">
        <f>"1"</f>
        <v>1</v>
      </c>
      <c r="D359" s="1" t="str">
        <f t="shared" si="56"/>
        <v>9</v>
      </c>
      <c r="E359" s="1" t="str">
        <f>"3"</f>
        <v>3</v>
      </c>
      <c r="F359" s="2">
        <v>983563079.54999995</v>
      </c>
      <c r="H359" s="3"/>
    </row>
    <row r="360" spans="1:8" x14ac:dyDescent="0.25">
      <c r="A360" s="1">
        <f t="shared" ref="A360:A365" si="61">("2207")*1</f>
        <v>2207</v>
      </c>
      <c r="B360" s="1" t="str">
        <f t="shared" ref="B360:B365" si="62">"Долгосрочные вклады физических лиц"</f>
        <v>Долгосрочные вклады физических лиц</v>
      </c>
      <c r="C360" s="1" t="str">
        <f>"1"</f>
        <v>1</v>
      </c>
      <c r="D360" s="1" t="str">
        <f t="shared" si="56"/>
        <v>9</v>
      </c>
      <c r="E360" s="1" t="str">
        <f>"1"</f>
        <v>1</v>
      </c>
      <c r="F360" s="2">
        <v>165519959894.04001</v>
      </c>
      <c r="H360" s="3"/>
    </row>
    <row r="361" spans="1:8" x14ac:dyDescent="0.25">
      <c r="A361" s="1">
        <f t="shared" si="61"/>
        <v>2207</v>
      </c>
      <c r="B361" s="1" t="str">
        <f t="shared" si="62"/>
        <v>Долгосрочные вклады физических лиц</v>
      </c>
      <c r="C361" s="1" t="str">
        <f>"2"</f>
        <v>2</v>
      </c>
      <c r="D361" s="1" t="str">
        <f t="shared" si="56"/>
        <v>9</v>
      </c>
      <c r="E361" s="1" t="str">
        <f>"1"</f>
        <v>1</v>
      </c>
      <c r="F361" s="2">
        <v>31417425620.34</v>
      </c>
      <c r="H361" s="3"/>
    </row>
    <row r="362" spans="1:8" x14ac:dyDescent="0.25">
      <c r="A362" s="1">
        <f t="shared" si="61"/>
        <v>2207</v>
      </c>
      <c r="B362" s="1" t="str">
        <f t="shared" si="62"/>
        <v>Долгосрочные вклады физических лиц</v>
      </c>
      <c r="C362" s="1" t="str">
        <f>"1"</f>
        <v>1</v>
      </c>
      <c r="D362" s="1" t="str">
        <f t="shared" si="56"/>
        <v>9</v>
      </c>
      <c r="E362" s="1" t="str">
        <f>"3"</f>
        <v>3</v>
      </c>
      <c r="F362" s="2">
        <v>402425987.44999999</v>
      </c>
      <c r="H362" s="3"/>
    </row>
    <row r="363" spans="1:8" x14ac:dyDescent="0.25">
      <c r="A363" s="1">
        <f t="shared" si="61"/>
        <v>2207</v>
      </c>
      <c r="B363" s="1" t="str">
        <f t="shared" si="62"/>
        <v>Долгосрочные вклады физических лиц</v>
      </c>
      <c r="C363" s="1" t="str">
        <f>"2"</f>
        <v>2</v>
      </c>
      <c r="D363" s="1" t="str">
        <f t="shared" si="56"/>
        <v>9</v>
      </c>
      <c r="E363" s="1" t="str">
        <f>"3"</f>
        <v>3</v>
      </c>
      <c r="F363" s="2">
        <v>2353034.79</v>
      </c>
      <c r="H363" s="3"/>
    </row>
    <row r="364" spans="1:8" x14ac:dyDescent="0.25">
      <c r="A364" s="1">
        <f t="shared" si="61"/>
        <v>2207</v>
      </c>
      <c r="B364" s="1" t="str">
        <f t="shared" si="62"/>
        <v>Долгосрочные вклады физических лиц</v>
      </c>
      <c r="C364" s="1" t="str">
        <f>"2"</f>
        <v>2</v>
      </c>
      <c r="D364" s="1" t="str">
        <f t="shared" si="56"/>
        <v>9</v>
      </c>
      <c r="E364" s="1" t="str">
        <f>"2"</f>
        <v>2</v>
      </c>
      <c r="F364" s="2">
        <v>96304770119.009995</v>
      </c>
      <c r="H364" s="3"/>
    </row>
    <row r="365" spans="1:8" x14ac:dyDescent="0.25">
      <c r="A365" s="1">
        <f t="shared" si="61"/>
        <v>2207</v>
      </c>
      <c r="B365" s="1" t="str">
        <f t="shared" si="62"/>
        <v>Долгосрочные вклады физических лиц</v>
      </c>
      <c r="C365" s="1" t="str">
        <f>"1"</f>
        <v>1</v>
      </c>
      <c r="D365" s="1" t="str">
        <f t="shared" si="56"/>
        <v>9</v>
      </c>
      <c r="E365" s="1" t="str">
        <f>"2"</f>
        <v>2</v>
      </c>
      <c r="F365" s="2">
        <v>63745572730.779999</v>
      </c>
      <c r="H365" s="3"/>
    </row>
    <row r="366" spans="1:8" x14ac:dyDescent="0.25">
      <c r="A366" s="1">
        <f>("2208")*1</f>
        <v>2208</v>
      </c>
      <c r="B366" s="1" t="str">
        <f>"Условные вклады физических лиц"</f>
        <v>Условные вклады физических лиц</v>
      </c>
      <c r="C366" s="1" t="str">
        <f>"1"</f>
        <v>1</v>
      </c>
      <c r="D366" s="1" t="str">
        <f t="shared" si="56"/>
        <v>9</v>
      </c>
      <c r="E366" s="1" t="str">
        <f>"1"</f>
        <v>1</v>
      </c>
      <c r="F366" s="2">
        <v>2571626.5</v>
      </c>
      <c r="H366" s="3"/>
    </row>
    <row r="367" spans="1:8" x14ac:dyDescent="0.25">
      <c r="A367" s="1">
        <f>("2208")*1</f>
        <v>2208</v>
      </c>
      <c r="B367" s="1" t="str">
        <f>"Условные вклады физических лиц"</f>
        <v>Условные вклады физических лиц</v>
      </c>
      <c r="C367" s="1" t="str">
        <f>"1"</f>
        <v>1</v>
      </c>
      <c r="D367" s="1" t="str">
        <f t="shared" si="56"/>
        <v>9</v>
      </c>
      <c r="E367" s="1" t="str">
        <f>"2"</f>
        <v>2</v>
      </c>
      <c r="F367" s="2">
        <v>3886495.95</v>
      </c>
      <c r="H367" s="3"/>
    </row>
    <row r="368" spans="1:8" x14ac:dyDescent="0.25">
      <c r="A368" s="1">
        <f>("2211")*1</f>
        <v>2211</v>
      </c>
      <c r="B368" s="1" t="str">
        <f>"Вклады до востребования юридических лиц"</f>
        <v>Вклады до востребования юридических лиц</v>
      </c>
      <c r="C368" s="1" t="str">
        <f>"1"</f>
        <v>1</v>
      </c>
      <c r="D368" s="1" t="str">
        <f>"5"</f>
        <v>5</v>
      </c>
      <c r="E368" s="1" t="str">
        <f>"2"</f>
        <v>2</v>
      </c>
      <c r="F368" s="2">
        <v>4.63</v>
      </c>
      <c r="H368" s="3"/>
    </row>
    <row r="369" spans="1:8" x14ac:dyDescent="0.25">
      <c r="A369" s="1">
        <f>("2211")*1</f>
        <v>2211</v>
      </c>
      <c r="B369" s="1" t="str">
        <f>"Вклады до востребования юридических лиц"</f>
        <v>Вклады до востребования юридических лиц</v>
      </c>
      <c r="C369" s="1" t="str">
        <f>"2"</f>
        <v>2</v>
      </c>
      <c r="D369" s="1" t="str">
        <f>"7"</f>
        <v>7</v>
      </c>
      <c r="E369" s="1" t="str">
        <f>"2"</f>
        <v>2</v>
      </c>
      <c r="F369" s="2">
        <v>497977.96</v>
      </c>
      <c r="H369" s="3"/>
    </row>
    <row r="370" spans="1:8" x14ac:dyDescent="0.25">
      <c r="A370" s="1">
        <f>("2211")*1</f>
        <v>2211</v>
      </c>
      <c r="B370" s="1" t="str">
        <f>"Вклады до востребования юридических лиц"</f>
        <v>Вклады до востребования юридических лиц</v>
      </c>
      <c r="C370" s="1" t="str">
        <f>"1"</f>
        <v>1</v>
      </c>
      <c r="D370" s="1" t="str">
        <f>"5"</f>
        <v>5</v>
      </c>
      <c r="E370" s="1" t="str">
        <f>"1"</f>
        <v>1</v>
      </c>
      <c r="F370" s="2">
        <v>530.92999999999995</v>
      </c>
      <c r="H370" s="3"/>
    </row>
    <row r="371" spans="1:8" x14ac:dyDescent="0.25">
      <c r="A371" s="1">
        <f>("2211")*1</f>
        <v>2211</v>
      </c>
      <c r="B371" s="1" t="str">
        <f>"Вклады до востребования юридических лиц"</f>
        <v>Вклады до востребования юридических лиц</v>
      </c>
      <c r="C371" s="1" t="str">
        <f>"1"</f>
        <v>1</v>
      </c>
      <c r="D371" s="1" t="str">
        <f>"7"</f>
        <v>7</v>
      </c>
      <c r="E371" s="1" t="str">
        <f>"2"</f>
        <v>2</v>
      </c>
      <c r="F371" s="2">
        <v>21384082</v>
      </c>
      <c r="H371" s="3"/>
    </row>
    <row r="372" spans="1:8" x14ac:dyDescent="0.25">
      <c r="A372" s="1">
        <f>("2211")*1</f>
        <v>2211</v>
      </c>
      <c r="B372" s="1" t="str">
        <f>"Вклады до востребования юридических лиц"</f>
        <v>Вклады до востребования юридических лиц</v>
      </c>
      <c r="C372" s="1" t="str">
        <f>"1"</f>
        <v>1</v>
      </c>
      <c r="D372" s="1" t="str">
        <f>"7"</f>
        <v>7</v>
      </c>
      <c r="E372" s="1" t="str">
        <f>"1"</f>
        <v>1</v>
      </c>
      <c r="F372" s="2">
        <v>138211359.34999999</v>
      </c>
      <c r="H372" s="3"/>
    </row>
    <row r="373" spans="1:8" x14ac:dyDescent="0.25">
      <c r="A373" s="1">
        <f>("2213")*1</f>
        <v>2213</v>
      </c>
      <c r="B373" s="1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C373" s="1" t="str">
        <f>"1"</f>
        <v>1</v>
      </c>
      <c r="D373" s="1" t="str">
        <f>"9"</f>
        <v>9</v>
      </c>
      <c r="E373" s="1" t="str">
        <f>"1"</f>
        <v>1</v>
      </c>
      <c r="F373" s="2">
        <v>5605718294.8800001</v>
      </c>
      <c r="H373" s="3"/>
    </row>
    <row r="374" spans="1:8" x14ac:dyDescent="0.25">
      <c r="A374" s="1">
        <f>("2213")*1</f>
        <v>2213</v>
      </c>
      <c r="B374" s="1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C374" s="1" t="str">
        <f>"2"</f>
        <v>2</v>
      </c>
      <c r="D374" s="1" t="str">
        <f>"9"</f>
        <v>9</v>
      </c>
      <c r="E374" s="1" t="str">
        <f>"1"</f>
        <v>1</v>
      </c>
      <c r="F374" s="2">
        <v>20000</v>
      </c>
      <c r="H374" s="3"/>
    </row>
    <row r="375" spans="1:8" x14ac:dyDescent="0.25">
      <c r="A375" s="1">
        <f>("2213")*1</f>
        <v>2213</v>
      </c>
      <c r="B375" s="1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C375" s="1" t="str">
        <f>"1"</f>
        <v>1</v>
      </c>
      <c r="D375" s="1" t="str">
        <f>"9"</f>
        <v>9</v>
      </c>
      <c r="E375" s="1" t="str">
        <f>"2"</f>
        <v>2</v>
      </c>
      <c r="F375" s="2">
        <v>4055452960.2399998</v>
      </c>
      <c r="H375" s="3"/>
    </row>
    <row r="376" spans="1:8" x14ac:dyDescent="0.25">
      <c r="A376" s="1">
        <f>("2214")*1</f>
        <v>2214</v>
      </c>
      <c r="B376" s="1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C376" s="1" t="str">
        <f>"2"</f>
        <v>2</v>
      </c>
      <c r="D376" s="1" t="str">
        <f>"9"</f>
        <v>9</v>
      </c>
      <c r="E376" s="1" t="str">
        <f>"1"</f>
        <v>1</v>
      </c>
      <c r="F376" s="2">
        <v>1709377025.6400001</v>
      </c>
      <c r="H376" s="3"/>
    </row>
    <row r="377" spans="1:8" x14ac:dyDescent="0.25">
      <c r="A377" s="1">
        <f>("2214")*1</f>
        <v>2214</v>
      </c>
      <c r="B377" s="1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C377" s="1" t="str">
        <f>"1"</f>
        <v>1</v>
      </c>
      <c r="D377" s="1" t="str">
        <f>"9"</f>
        <v>9</v>
      </c>
      <c r="E377" s="1" t="str">
        <f>"1"</f>
        <v>1</v>
      </c>
      <c r="F377" s="2">
        <v>101668493814.07001</v>
      </c>
      <c r="H377" s="3"/>
    </row>
    <row r="378" spans="1:8" x14ac:dyDescent="0.25">
      <c r="A378" s="1">
        <f t="shared" ref="A378:A390" si="63">("2215")*1</f>
        <v>2215</v>
      </c>
      <c r="B378" s="1" t="str">
        <f t="shared" ref="B378:B390" si="64">"Краткосрочные вклады юридических лиц"</f>
        <v>Краткосрочные вклады юридических лиц</v>
      </c>
      <c r="C378" s="1" t="str">
        <f>"1"</f>
        <v>1</v>
      </c>
      <c r="D378" s="1" t="str">
        <f>"5"</f>
        <v>5</v>
      </c>
      <c r="E378" s="1" t="str">
        <f>"1"</f>
        <v>1</v>
      </c>
      <c r="F378" s="2">
        <v>6283624815.8900003</v>
      </c>
      <c r="H378" s="3"/>
    </row>
    <row r="379" spans="1:8" x14ac:dyDescent="0.25">
      <c r="A379" s="1">
        <f t="shared" si="63"/>
        <v>2215</v>
      </c>
      <c r="B379" s="1" t="str">
        <f t="shared" si="64"/>
        <v>Краткосрочные вклады юридических лиц</v>
      </c>
      <c r="C379" s="1" t="str">
        <f>"1"</f>
        <v>1</v>
      </c>
      <c r="D379" s="1" t="str">
        <f>"7"</f>
        <v>7</v>
      </c>
      <c r="E379" s="1" t="str">
        <f>"1"</f>
        <v>1</v>
      </c>
      <c r="F379" s="2">
        <v>57514047333.110001</v>
      </c>
      <c r="H379" s="3"/>
    </row>
    <row r="380" spans="1:8" x14ac:dyDescent="0.25">
      <c r="A380" s="1">
        <f t="shared" si="63"/>
        <v>2215</v>
      </c>
      <c r="B380" s="1" t="str">
        <f t="shared" si="64"/>
        <v>Краткосрочные вклады юридических лиц</v>
      </c>
      <c r="C380" s="1" t="str">
        <f>"1"</f>
        <v>1</v>
      </c>
      <c r="D380" s="1" t="str">
        <f>"7"</f>
        <v>7</v>
      </c>
      <c r="E380" s="1" t="str">
        <f>"3"</f>
        <v>3</v>
      </c>
      <c r="F380" s="2">
        <v>1735863480.1099999</v>
      </c>
      <c r="H380" s="3"/>
    </row>
    <row r="381" spans="1:8" x14ac:dyDescent="0.25">
      <c r="A381" s="1">
        <f t="shared" si="63"/>
        <v>2215</v>
      </c>
      <c r="B381" s="1" t="str">
        <f t="shared" si="64"/>
        <v>Краткосрочные вклады юридических лиц</v>
      </c>
      <c r="C381" s="1" t="str">
        <f>"2"</f>
        <v>2</v>
      </c>
      <c r="D381" s="1" t="str">
        <f>"7"</f>
        <v>7</v>
      </c>
      <c r="E381" s="1" t="str">
        <f>"1"</f>
        <v>1</v>
      </c>
      <c r="F381" s="2">
        <v>9000000</v>
      </c>
      <c r="H381" s="3"/>
    </row>
    <row r="382" spans="1:8" x14ac:dyDescent="0.25">
      <c r="A382" s="1">
        <f t="shared" si="63"/>
        <v>2215</v>
      </c>
      <c r="B382" s="1" t="str">
        <f t="shared" si="64"/>
        <v>Краткосрочные вклады юридических лиц</v>
      </c>
      <c r="C382" s="1" t="str">
        <f>"2"</f>
        <v>2</v>
      </c>
      <c r="D382" s="1" t="str">
        <f>"7"</f>
        <v>7</v>
      </c>
      <c r="E382" s="1" t="str">
        <f>"3"</f>
        <v>3</v>
      </c>
      <c r="F382" s="2">
        <v>2211920000</v>
      </c>
      <c r="H382" s="3"/>
    </row>
    <row r="383" spans="1:8" x14ac:dyDescent="0.25">
      <c r="A383" s="1">
        <f t="shared" si="63"/>
        <v>2215</v>
      </c>
      <c r="B383" s="1" t="str">
        <f t="shared" si="64"/>
        <v>Краткосрочные вклады юридических лиц</v>
      </c>
      <c r="C383" s="1" t="str">
        <f>"1"</f>
        <v>1</v>
      </c>
      <c r="D383" s="1" t="str">
        <f>"5"</f>
        <v>5</v>
      </c>
      <c r="E383" s="1" t="str">
        <f>"2"</f>
        <v>2</v>
      </c>
      <c r="F383" s="2">
        <v>111526672.70999999</v>
      </c>
      <c r="H383" s="3"/>
    </row>
    <row r="384" spans="1:8" x14ac:dyDescent="0.25">
      <c r="A384" s="1">
        <f t="shared" si="63"/>
        <v>2215</v>
      </c>
      <c r="B384" s="1" t="str">
        <f t="shared" si="64"/>
        <v>Краткосрочные вклады юридических лиц</v>
      </c>
      <c r="C384" s="1" t="str">
        <f>"1"</f>
        <v>1</v>
      </c>
      <c r="D384" s="1" t="str">
        <f>"5"</f>
        <v>5</v>
      </c>
      <c r="E384" s="1" t="str">
        <f>"3"</f>
        <v>3</v>
      </c>
      <c r="F384" s="2">
        <v>5100987794.25</v>
      </c>
      <c r="H384" s="3"/>
    </row>
    <row r="385" spans="1:8" x14ac:dyDescent="0.25">
      <c r="A385" s="1">
        <f t="shared" si="63"/>
        <v>2215</v>
      </c>
      <c r="B385" s="1" t="str">
        <f t="shared" si="64"/>
        <v>Краткосрочные вклады юридических лиц</v>
      </c>
      <c r="C385" s="1" t="str">
        <f>"2"</f>
        <v>2</v>
      </c>
      <c r="D385" s="1" t="str">
        <f>"7"</f>
        <v>7</v>
      </c>
      <c r="E385" s="1" t="str">
        <f>"2"</f>
        <v>2</v>
      </c>
      <c r="F385" s="2">
        <v>314870566.73000002</v>
      </c>
      <c r="H385" s="3"/>
    </row>
    <row r="386" spans="1:8" x14ac:dyDescent="0.25">
      <c r="A386" s="1">
        <f t="shared" si="63"/>
        <v>2215</v>
      </c>
      <c r="B386" s="1" t="str">
        <f t="shared" si="64"/>
        <v>Краткосрочные вклады юридических лиц</v>
      </c>
      <c r="C386" s="1" t="str">
        <f t="shared" ref="C386:C394" si="65">"1"</f>
        <v>1</v>
      </c>
      <c r="D386" s="1" t="str">
        <f>"6"</f>
        <v>6</v>
      </c>
      <c r="E386" s="1" t="str">
        <f>"1"</f>
        <v>1</v>
      </c>
      <c r="F386" s="2">
        <v>14211411786.33</v>
      </c>
      <c r="H386" s="3"/>
    </row>
    <row r="387" spans="1:8" x14ac:dyDescent="0.25">
      <c r="A387" s="1">
        <f t="shared" si="63"/>
        <v>2215</v>
      </c>
      <c r="B387" s="1" t="str">
        <f t="shared" si="64"/>
        <v>Краткосрочные вклады юридических лиц</v>
      </c>
      <c r="C387" s="1" t="str">
        <f t="shared" si="65"/>
        <v>1</v>
      </c>
      <c r="D387" s="1" t="str">
        <f>"8"</f>
        <v>8</v>
      </c>
      <c r="E387" s="1" t="str">
        <f>"1"</f>
        <v>1</v>
      </c>
      <c r="F387" s="2">
        <v>33293947768</v>
      </c>
      <c r="H387" s="3"/>
    </row>
    <row r="388" spans="1:8" x14ac:dyDescent="0.25">
      <c r="A388" s="1">
        <f t="shared" si="63"/>
        <v>2215</v>
      </c>
      <c r="B388" s="1" t="str">
        <f t="shared" si="64"/>
        <v>Краткосрочные вклады юридических лиц</v>
      </c>
      <c r="C388" s="1" t="str">
        <f t="shared" si="65"/>
        <v>1</v>
      </c>
      <c r="D388" s="1" t="str">
        <f>"8"</f>
        <v>8</v>
      </c>
      <c r="E388" s="1" t="str">
        <f>"2"</f>
        <v>2</v>
      </c>
      <c r="F388" s="2">
        <v>29719965.870000001</v>
      </c>
      <c r="H388" s="3"/>
    </row>
    <row r="389" spans="1:8" x14ac:dyDescent="0.25">
      <c r="A389" s="1">
        <f t="shared" si="63"/>
        <v>2215</v>
      </c>
      <c r="B389" s="1" t="str">
        <f t="shared" si="64"/>
        <v>Краткосрочные вклады юридических лиц</v>
      </c>
      <c r="C389" s="1" t="str">
        <f t="shared" si="65"/>
        <v>1</v>
      </c>
      <c r="D389" s="1" t="str">
        <f>"7"</f>
        <v>7</v>
      </c>
      <c r="E389" s="1" t="str">
        <f>"2"</f>
        <v>2</v>
      </c>
      <c r="F389" s="2">
        <v>8388169298.5900002</v>
      </c>
      <c r="H389" s="3"/>
    </row>
    <row r="390" spans="1:8" x14ac:dyDescent="0.25">
      <c r="A390" s="1">
        <f t="shared" si="63"/>
        <v>2215</v>
      </c>
      <c r="B390" s="1" t="str">
        <f t="shared" si="64"/>
        <v>Краткосрочные вклады юридических лиц</v>
      </c>
      <c r="C390" s="1" t="str">
        <f t="shared" si="65"/>
        <v>1</v>
      </c>
      <c r="D390" s="1" t="str">
        <f>"6"</f>
        <v>6</v>
      </c>
      <c r="E390" s="1" t="str">
        <f>"2"</f>
        <v>2</v>
      </c>
      <c r="F390" s="2">
        <v>2655320377.1500001</v>
      </c>
      <c r="H390" s="3"/>
    </row>
    <row r="391" spans="1:8" x14ac:dyDescent="0.25">
      <c r="A391" s="1">
        <f t="shared" ref="A391:A401" si="66">("2217")*1</f>
        <v>2217</v>
      </c>
      <c r="B391" s="1" t="str">
        <f t="shared" ref="B391:B401" si="67">"Долгосрочные вклады юридических лиц"</f>
        <v>Долгосрочные вклады юридических лиц</v>
      </c>
      <c r="C391" s="1" t="str">
        <f t="shared" si="65"/>
        <v>1</v>
      </c>
      <c r="D391" s="1" t="str">
        <f>"5"</f>
        <v>5</v>
      </c>
      <c r="E391" s="1" t="str">
        <f>"2"</f>
        <v>2</v>
      </c>
      <c r="F391" s="2">
        <v>13044091289.6</v>
      </c>
      <c r="H391" s="3"/>
    </row>
    <row r="392" spans="1:8" x14ac:dyDescent="0.25">
      <c r="A392" s="1">
        <f t="shared" si="66"/>
        <v>2217</v>
      </c>
      <c r="B392" s="1" t="str">
        <f t="shared" si="67"/>
        <v>Долгосрочные вклады юридических лиц</v>
      </c>
      <c r="C392" s="1" t="str">
        <f t="shared" si="65"/>
        <v>1</v>
      </c>
      <c r="D392" s="1" t="str">
        <f>"7"</f>
        <v>7</v>
      </c>
      <c r="E392" s="1" t="str">
        <f>"2"</f>
        <v>2</v>
      </c>
      <c r="F392" s="2">
        <v>67140611230.57</v>
      </c>
      <c r="H392" s="3"/>
    </row>
    <row r="393" spans="1:8" x14ac:dyDescent="0.25">
      <c r="A393" s="1">
        <f t="shared" si="66"/>
        <v>2217</v>
      </c>
      <c r="B393" s="1" t="str">
        <f t="shared" si="67"/>
        <v>Долгосрочные вклады юридических лиц</v>
      </c>
      <c r="C393" s="1" t="str">
        <f t="shared" si="65"/>
        <v>1</v>
      </c>
      <c r="D393" s="1" t="str">
        <f>"7"</f>
        <v>7</v>
      </c>
      <c r="E393" s="1" t="str">
        <f>"1"</f>
        <v>1</v>
      </c>
      <c r="F393" s="2">
        <v>106327754364.13</v>
      </c>
      <c r="H393" s="3"/>
    </row>
    <row r="394" spans="1:8" x14ac:dyDescent="0.25">
      <c r="A394" s="1">
        <f t="shared" si="66"/>
        <v>2217</v>
      </c>
      <c r="B394" s="1" t="str">
        <f t="shared" si="67"/>
        <v>Долгосрочные вклады юридических лиц</v>
      </c>
      <c r="C394" s="1" t="str">
        <f t="shared" si="65"/>
        <v>1</v>
      </c>
      <c r="D394" s="1" t="str">
        <f>"8"</f>
        <v>8</v>
      </c>
      <c r="E394" s="1" t="str">
        <f>"2"</f>
        <v>2</v>
      </c>
      <c r="F394" s="2">
        <v>60247245.310000002</v>
      </c>
      <c r="H394" s="3"/>
    </row>
    <row r="395" spans="1:8" x14ac:dyDescent="0.25">
      <c r="A395" s="1">
        <f t="shared" si="66"/>
        <v>2217</v>
      </c>
      <c r="B395" s="1" t="str">
        <f t="shared" si="67"/>
        <v>Долгосрочные вклады юридических лиц</v>
      </c>
      <c r="C395" s="1" t="str">
        <f>"2"</f>
        <v>2</v>
      </c>
      <c r="D395" s="1" t="str">
        <f>"7"</f>
        <v>7</v>
      </c>
      <c r="E395" s="1" t="str">
        <f>"2"</f>
        <v>2</v>
      </c>
      <c r="F395" s="2">
        <v>74772275055.369995</v>
      </c>
      <c r="H395" s="3"/>
    </row>
    <row r="396" spans="1:8" x14ac:dyDescent="0.25">
      <c r="A396" s="1">
        <f t="shared" si="66"/>
        <v>2217</v>
      </c>
      <c r="B396" s="1" t="str">
        <f t="shared" si="67"/>
        <v>Долгосрочные вклады юридических лиц</v>
      </c>
      <c r="C396" s="1" t="str">
        <f>"1"</f>
        <v>1</v>
      </c>
      <c r="D396" s="1" t="str">
        <f>"7"</f>
        <v>7</v>
      </c>
      <c r="E396" s="1" t="str">
        <f>"3"</f>
        <v>3</v>
      </c>
      <c r="F396" s="2">
        <v>574160564.36000001</v>
      </c>
      <c r="H396" s="3"/>
    </row>
    <row r="397" spans="1:8" x14ac:dyDescent="0.25">
      <c r="A397" s="1">
        <f t="shared" si="66"/>
        <v>2217</v>
      </c>
      <c r="B397" s="1" t="str">
        <f t="shared" si="67"/>
        <v>Долгосрочные вклады юридических лиц</v>
      </c>
      <c r="C397" s="1" t="str">
        <f>"1"</f>
        <v>1</v>
      </c>
      <c r="D397" s="1" t="str">
        <f>"6"</f>
        <v>6</v>
      </c>
      <c r="E397" s="1" t="str">
        <f>"1"</f>
        <v>1</v>
      </c>
      <c r="F397" s="2">
        <v>19779717244.360001</v>
      </c>
      <c r="H397" s="3"/>
    </row>
    <row r="398" spans="1:8" x14ac:dyDescent="0.25">
      <c r="A398" s="1">
        <f t="shared" si="66"/>
        <v>2217</v>
      </c>
      <c r="B398" s="1" t="str">
        <f t="shared" si="67"/>
        <v>Долгосрочные вклады юридических лиц</v>
      </c>
      <c r="C398" s="1" t="str">
        <f>"1"</f>
        <v>1</v>
      </c>
      <c r="D398" s="1" t="str">
        <f>"8"</f>
        <v>8</v>
      </c>
      <c r="E398" s="1" t="str">
        <f>"1"</f>
        <v>1</v>
      </c>
      <c r="F398" s="2">
        <v>372669776.45999998</v>
      </c>
      <c r="H398" s="3"/>
    </row>
    <row r="399" spans="1:8" x14ac:dyDescent="0.25">
      <c r="A399" s="1">
        <f t="shared" si="66"/>
        <v>2217</v>
      </c>
      <c r="B399" s="1" t="str">
        <f t="shared" si="67"/>
        <v>Долгосрочные вклады юридических лиц</v>
      </c>
      <c r="C399" s="1" t="str">
        <f>"1"</f>
        <v>1</v>
      </c>
      <c r="D399" s="1" t="str">
        <f>"6"</f>
        <v>6</v>
      </c>
      <c r="E399" s="1" t="str">
        <f>"2"</f>
        <v>2</v>
      </c>
      <c r="F399" s="2">
        <v>2570416449.9200001</v>
      </c>
      <c r="H399" s="3"/>
    </row>
    <row r="400" spans="1:8" x14ac:dyDescent="0.25">
      <c r="A400" s="1">
        <f t="shared" si="66"/>
        <v>2217</v>
      </c>
      <c r="B400" s="1" t="str">
        <f t="shared" si="67"/>
        <v>Долгосрочные вклады юридических лиц</v>
      </c>
      <c r="C400" s="1" t="str">
        <f>"1"</f>
        <v>1</v>
      </c>
      <c r="D400" s="1" t="str">
        <f>"5"</f>
        <v>5</v>
      </c>
      <c r="E400" s="1" t="str">
        <f>"1"</f>
        <v>1</v>
      </c>
      <c r="F400" s="2">
        <v>62917202683.959999</v>
      </c>
      <c r="H400" s="3"/>
    </row>
    <row r="401" spans="1:8" x14ac:dyDescent="0.25">
      <c r="A401" s="1">
        <f t="shared" si="66"/>
        <v>2217</v>
      </c>
      <c r="B401" s="1" t="str">
        <f t="shared" si="67"/>
        <v>Долгосрочные вклады юридических лиц</v>
      </c>
      <c r="C401" s="1" t="str">
        <f>"2"</f>
        <v>2</v>
      </c>
      <c r="D401" s="1" t="str">
        <f>"5"</f>
        <v>5</v>
      </c>
      <c r="E401" s="1" t="str">
        <f>"2"</f>
        <v>2</v>
      </c>
      <c r="F401" s="2">
        <v>2242204332.5100002</v>
      </c>
      <c r="H401" s="3"/>
    </row>
    <row r="402" spans="1:8" x14ac:dyDescent="0.25">
      <c r="A402" s="1">
        <f>("2218")*1</f>
        <v>2218</v>
      </c>
      <c r="B402" s="1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C402" s="1" t="str">
        <f>"1"</f>
        <v>1</v>
      </c>
      <c r="D402" s="1" t="str">
        <f>"5"</f>
        <v>5</v>
      </c>
      <c r="E402" s="1" t="str">
        <f>"1"</f>
        <v>1</v>
      </c>
      <c r="F402" s="2">
        <v>1067035</v>
      </c>
      <c r="H402" s="3"/>
    </row>
    <row r="403" spans="1:8" x14ac:dyDescent="0.25">
      <c r="A403" s="1">
        <f>("2218")*1</f>
        <v>2218</v>
      </c>
      <c r="B403" s="1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C403" s="1" t="str">
        <f>"1"</f>
        <v>1</v>
      </c>
      <c r="D403" s="1" t="str">
        <f>"7"</f>
        <v>7</v>
      </c>
      <c r="E403" s="1" t="str">
        <f>"2"</f>
        <v>2</v>
      </c>
      <c r="F403" s="2">
        <v>20812477525.73</v>
      </c>
      <c r="H403" s="3"/>
    </row>
    <row r="404" spans="1:8" x14ac:dyDescent="0.25">
      <c r="A404" s="1">
        <f>("2219")*1</f>
        <v>2219</v>
      </c>
      <c r="B404" s="1" t="str">
        <f>"Условные вклады юридических лиц"</f>
        <v>Условные вклады юридических лиц</v>
      </c>
      <c r="C404" s="1" t="str">
        <f>"1"</f>
        <v>1</v>
      </c>
      <c r="D404" s="1" t="str">
        <f>"7"</f>
        <v>7</v>
      </c>
      <c r="E404" s="1" t="str">
        <f>"2"</f>
        <v>2</v>
      </c>
      <c r="F404" s="2">
        <v>183551.76</v>
      </c>
      <c r="H404" s="3"/>
    </row>
    <row r="405" spans="1:8" x14ac:dyDescent="0.25">
      <c r="A405" s="1">
        <f>("2219")*1</f>
        <v>2219</v>
      </c>
      <c r="B405" s="1" t="str">
        <f>"Условные вклады юридических лиц"</f>
        <v>Условные вклады юридических лиц</v>
      </c>
      <c r="C405" s="1" t="str">
        <f>"1"</f>
        <v>1</v>
      </c>
      <c r="D405" s="1" t="str">
        <f>"8"</f>
        <v>8</v>
      </c>
      <c r="E405" s="1" t="str">
        <f t="shared" ref="E405:E411" si="68">"1"</f>
        <v>1</v>
      </c>
      <c r="F405" s="2">
        <v>193000</v>
      </c>
      <c r="H405" s="3"/>
    </row>
    <row r="406" spans="1:8" x14ac:dyDescent="0.25">
      <c r="A406" s="1">
        <f>("2219")*1</f>
        <v>2219</v>
      </c>
      <c r="B406" s="1" t="str">
        <f>"Условные вклады юридических лиц"</f>
        <v>Условные вклады юридических лиц</v>
      </c>
      <c r="C406" s="1" t="str">
        <f>"1"</f>
        <v>1</v>
      </c>
      <c r="D406" s="1" t="str">
        <f>"7"</f>
        <v>7</v>
      </c>
      <c r="E406" s="1" t="str">
        <f t="shared" si="68"/>
        <v>1</v>
      </c>
      <c r="F406" s="2">
        <v>21208428.32</v>
      </c>
      <c r="H406" s="3"/>
    </row>
    <row r="407" spans="1:8" x14ac:dyDescent="0.25">
      <c r="A407" s="1">
        <f>("2219")*1</f>
        <v>2219</v>
      </c>
      <c r="B407" s="1" t="str">
        <f>"Условные вклады юридических лиц"</f>
        <v>Условные вклады юридических лиц</v>
      </c>
      <c r="C407" s="1" t="str">
        <f>"2"</f>
        <v>2</v>
      </c>
      <c r="D407" s="1" t="str">
        <f>"7"</f>
        <v>7</v>
      </c>
      <c r="E407" s="1" t="str">
        <f t="shared" si="68"/>
        <v>1</v>
      </c>
      <c r="F407" s="2">
        <v>958371.97</v>
      </c>
      <c r="H407" s="3"/>
    </row>
    <row r="408" spans="1:8" x14ac:dyDescent="0.25">
      <c r="A408" s="1">
        <f>("2220")*1</f>
        <v>2220</v>
      </c>
      <c r="B408" s="1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C408" s="1" t="str">
        <f t="shared" ref="C408:C414" si="69">"1"</f>
        <v>1</v>
      </c>
      <c r="D408" s="1" t="str">
        <f>"6"</f>
        <v>6</v>
      </c>
      <c r="E408" s="1" t="str">
        <f t="shared" si="68"/>
        <v>1</v>
      </c>
      <c r="F408" s="2">
        <v>64000000</v>
      </c>
      <c r="H408" s="3"/>
    </row>
    <row r="409" spans="1:8" x14ac:dyDescent="0.25">
      <c r="A409" s="1">
        <f>("2220")*1</f>
        <v>2220</v>
      </c>
      <c r="B409" s="1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C409" s="1" t="str">
        <f t="shared" si="69"/>
        <v>1</v>
      </c>
      <c r="D409" s="1" t="str">
        <f>"7"</f>
        <v>7</v>
      </c>
      <c r="E409" s="1" t="str">
        <f t="shared" si="68"/>
        <v>1</v>
      </c>
      <c r="F409" s="2">
        <v>6500000</v>
      </c>
      <c r="H409" s="3"/>
    </row>
    <row r="410" spans="1:8" x14ac:dyDescent="0.25">
      <c r="A410" s="1">
        <f>("2223")*1</f>
        <v>2223</v>
      </c>
      <c r="B410" s="1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C410" s="1" t="str">
        <f t="shared" si="69"/>
        <v>1</v>
      </c>
      <c r="D410" s="1" t="str">
        <f>"7"</f>
        <v>7</v>
      </c>
      <c r="E410" s="1" t="str">
        <f t="shared" si="68"/>
        <v>1</v>
      </c>
      <c r="F410" s="2">
        <v>6880214364.6000004</v>
      </c>
      <c r="H410" s="3"/>
    </row>
    <row r="411" spans="1:8" x14ac:dyDescent="0.25">
      <c r="A411" s="1">
        <f>("2223")*1</f>
        <v>2223</v>
      </c>
      <c r="B411" s="1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C411" s="1" t="str">
        <f t="shared" si="69"/>
        <v>1</v>
      </c>
      <c r="D411" s="1" t="str">
        <f>"5"</f>
        <v>5</v>
      </c>
      <c r="E411" s="1" t="str">
        <f t="shared" si="68"/>
        <v>1</v>
      </c>
      <c r="F411" s="2">
        <v>2687026665</v>
      </c>
      <c r="H411" s="3"/>
    </row>
    <row r="412" spans="1:8" x14ac:dyDescent="0.25">
      <c r="A412" s="1">
        <f>("2223")*1</f>
        <v>2223</v>
      </c>
      <c r="B412" s="1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C412" s="1" t="str">
        <f t="shared" si="69"/>
        <v>1</v>
      </c>
      <c r="D412" s="1" t="str">
        <f>"7"</f>
        <v>7</v>
      </c>
      <c r="E412" s="1" t="str">
        <f>"2"</f>
        <v>2</v>
      </c>
      <c r="F412" s="2">
        <v>1747896326.5</v>
      </c>
      <c r="H412" s="3"/>
    </row>
    <row r="413" spans="1:8" x14ac:dyDescent="0.25">
      <c r="A413" s="1">
        <f>("2227")*1</f>
        <v>2227</v>
      </c>
      <c r="B413" s="1" t="str">
        <f>"Обязательства по аренде"</f>
        <v>Обязательства по аренде</v>
      </c>
      <c r="C413" s="1" t="str">
        <f t="shared" si="69"/>
        <v>1</v>
      </c>
      <c r="D413" s="1" t="str">
        <f>"7"</f>
        <v>7</v>
      </c>
      <c r="E413" s="1" t="str">
        <f>"1"</f>
        <v>1</v>
      </c>
      <c r="F413" s="2">
        <v>3123068020.6599998</v>
      </c>
      <c r="H413" s="3"/>
    </row>
    <row r="414" spans="1:8" x14ac:dyDescent="0.25">
      <c r="A414" s="1">
        <f>("2229")*1</f>
        <v>2229</v>
      </c>
      <c r="B414" s="1" t="str">
        <f>"Сберегательные вклады физических лиц (более одного года)"</f>
        <v>Сберегательные вклады физических лиц (более одного года)</v>
      </c>
      <c r="C414" s="1" t="str">
        <f t="shared" si="69"/>
        <v>1</v>
      </c>
      <c r="D414" s="1" t="str">
        <f>"9"</f>
        <v>9</v>
      </c>
      <c r="E414" s="1" t="str">
        <f>"1"</f>
        <v>1</v>
      </c>
      <c r="F414" s="2">
        <v>6545667459.6700001</v>
      </c>
      <c r="H414" s="3"/>
    </row>
    <row r="415" spans="1:8" x14ac:dyDescent="0.25">
      <c r="A415" s="1">
        <f>("2229")*1</f>
        <v>2229</v>
      </c>
      <c r="B415" s="1" t="str">
        <f>"Сберегательные вклады физических лиц (более одного года)"</f>
        <v>Сберегательные вклады физических лиц (более одного года)</v>
      </c>
      <c r="C415" s="1" t="str">
        <f>"2"</f>
        <v>2</v>
      </c>
      <c r="D415" s="1" t="str">
        <f>"9"</f>
        <v>9</v>
      </c>
      <c r="E415" s="1" t="str">
        <f>"1"</f>
        <v>1</v>
      </c>
      <c r="F415" s="2">
        <v>149492760.55000001</v>
      </c>
      <c r="H415" s="3"/>
    </row>
    <row r="416" spans="1:8" x14ac:dyDescent="0.25">
      <c r="A416" s="1">
        <f t="shared" ref="A416:A432" si="70">("2237")*1</f>
        <v>2237</v>
      </c>
      <c r="B416" s="1" t="str">
        <f t="shared" ref="B416:B432" si="71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C416" s="1" t="str">
        <f>"1"</f>
        <v>1</v>
      </c>
      <c r="D416" s="1" t="str">
        <f>"5"</f>
        <v>5</v>
      </c>
      <c r="E416" s="1" t="str">
        <f>"2"</f>
        <v>2</v>
      </c>
      <c r="F416" s="2">
        <v>245449751.22</v>
      </c>
      <c r="H416" s="3"/>
    </row>
    <row r="417" spans="1:8" x14ac:dyDescent="0.25">
      <c r="A417" s="1">
        <f t="shared" si="70"/>
        <v>2237</v>
      </c>
      <c r="B417" s="1" t="str">
        <f t="shared" si="71"/>
        <v>Счет хранения указаний отправителя в соответствии с валютным законодательством Республики Казахстан</v>
      </c>
      <c r="C417" s="1" t="str">
        <f>"1"</f>
        <v>1</v>
      </c>
      <c r="D417" s="1" t="str">
        <f>"6"</f>
        <v>6</v>
      </c>
      <c r="E417" s="1" t="str">
        <f>"1"</f>
        <v>1</v>
      </c>
      <c r="F417" s="2">
        <v>1435000</v>
      </c>
      <c r="H417" s="3"/>
    </row>
    <row r="418" spans="1:8" x14ac:dyDescent="0.25">
      <c r="A418" s="1">
        <f t="shared" si="70"/>
        <v>2237</v>
      </c>
      <c r="B418" s="1" t="str">
        <f t="shared" si="71"/>
        <v>Счет хранения указаний отправителя в соответствии с валютным законодательством Республики Казахстан</v>
      </c>
      <c r="C418" s="1" t="str">
        <f>"1"</f>
        <v>1</v>
      </c>
      <c r="D418" s="1" t="str">
        <f>"6"</f>
        <v>6</v>
      </c>
      <c r="E418" s="1" t="str">
        <f>"2"</f>
        <v>2</v>
      </c>
      <c r="F418" s="2">
        <v>89823853.739999995</v>
      </c>
      <c r="H418" s="3"/>
    </row>
    <row r="419" spans="1:8" x14ac:dyDescent="0.25">
      <c r="A419" s="1">
        <f t="shared" si="70"/>
        <v>2237</v>
      </c>
      <c r="B419" s="1" t="str">
        <f t="shared" si="71"/>
        <v>Счет хранения указаний отправителя в соответствии с валютным законодательством Республики Казахстан</v>
      </c>
      <c r="C419" s="1" t="str">
        <f>"1"</f>
        <v>1</v>
      </c>
      <c r="D419" s="1" t="str">
        <f>"9"</f>
        <v>9</v>
      </c>
      <c r="E419" s="1" t="str">
        <f>"1"</f>
        <v>1</v>
      </c>
      <c r="F419" s="2">
        <v>3287051.86</v>
      </c>
      <c r="H419" s="3"/>
    </row>
    <row r="420" spans="1:8" x14ac:dyDescent="0.25">
      <c r="A420" s="1">
        <f t="shared" si="70"/>
        <v>2237</v>
      </c>
      <c r="B420" s="1" t="str">
        <f t="shared" si="71"/>
        <v>Счет хранения указаний отправителя в соответствии с валютным законодательством Республики Казахстан</v>
      </c>
      <c r="C420" s="1" t="str">
        <f>"2"</f>
        <v>2</v>
      </c>
      <c r="D420" s="1" t="str">
        <f>"7"</f>
        <v>7</v>
      </c>
      <c r="E420" s="1" t="str">
        <f>"3"</f>
        <v>3</v>
      </c>
      <c r="F420" s="2">
        <v>480643634.75999999</v>
      </c>
      <c r="H420" s="3"/>
    </row>
    <row r="421" spans="1:8" x14ac:dyDescent="0.25">
      <c r="A421" s="1">
        <f t="shared" si="70"/>
        <v>2237</v>
      </c>
      <c r="B421" s="1" t="str">
        <f t="shared" si="71"/>
        <v>Счет хранения указаний отправителя в соответствии с валютным законодательством Республики Казахстан</v>
      </c>
      <c r="C421" s="1" t="str">
        <f>"2"</f>
        <v>2</v>
      </c>
      <c r="D421" s="1" t="str">
        <f>"7"</f>
        <v>7</v>
      </c>
      <c r="E421" s="1" t="str">
        <f>"2"</f>
        <v>2</v>
      </c>
      <c r="F421" s="2">
        <v>12622795172.120001</v>
      </c>
      <c r="H421" s="3"/>
    </row>
    <row r="422" spans="1:8" x14ac:dyDescent="0.25">
      <c r="A422" s="1">
        <f t="shared" si="70"/>
        <v>2237</v>
      </c>
      <c r="B422" s="1" t="str">
        <f t="shared" si="71"/>
        <v>Счет хранения указаний отправителя в соответствии с валютным законодательством Республики Казахстан</v>
      </c>
      <c r="C422" s="1" t="str">
        <f>"2"</f>
        <v>2</v>
      </c>
      <c r="D422" s="1" t="str">
        <f>"7"</f>
        <v>7</v>
      </c>
      <c r="E422" s="1" t="str">
        <f>"1"</f>
        <v>1</v>
      </c>
      <c r="F422" s="2">
        <v>28854339.239999998</v>
      </c>
      <c r="H422" s="3"/>
    </row>
    <row r="423" spans="1:8" x14ac:dyDescent="0.25">
      <c r="A423" s="1">
        <f t="shared" si="70"/>
        <v>2237</v>
      </c>
      <c r="B423" s="1" t="str">
        <f t="shared" si="71"/>
        <v>Счет хранения указаний отправителя в соответствии с валютным законодательством Республики Казахстан</v>
      </c>
      <c r="C423" s="1" t="str">
        <f>"2"</f>
        <v>2</v>
      </c>
      <c r="D423" s="1" t="str">
        <f>"9"</f>
        <v>9</v>
      </c>
      <c r="E423" s="1" t="str">
        <f>"1"</f>
        <v>1</v>
      </c>
      <c r="F423" s="2">
        <v>8325805</v>
      </c>
      <c r="H423" s="3"/>
    </row>
    <row r="424" spans="1:8" x14ac:dyDescent="0.25">
      <c r="A424" s="1">
        <f t="shared" si="70"/>
        <v>2237</v>
      </c>
      <c r="B424" s="1" t="str">
        <f t="shared" si="71"/>
        <v>Счет хранения указаний отправителя в соответствии с валютным законодательством Республики Казахстан</v>
      </c>
      <c r="C424" s="1" t="str">
        <f>"2"</f>
        <v>2</v>
      </c>
      <c r="D424" s="1" t="str">
        <f>"9"</f>
        <v>9</v>
      </c>
      <c r="E424" s="1" t="str">
        <f>"3"</f>
        <v>3</v>
      </c>
      <c r="F424" s="2">
        <v>7824345.5</v>
      </c>
      <c r="H424" s="3"/>
    </row>
    <row r="425" spans="1:8" x14ac:dyDescent="0.25">
      <c r="A425" s="1">
        <f t="shared" si="70"/>
        <v>2237</v>
      </c>
      <c r="B425" s="1" t="str">
        <f t="shared" si="71"/>
        <v>Счет хранения указаний отправителя в соответствии с валютным законодательством Республики Казахстан</v>
      </c>
      <c r="C425" s="1" t="str">
        <f>"1"</f>
        <v>1</v>
      </c>
      <c r="D425" s="1" t="str">
        <f>"7"</f>
        <v>7</v>
      </c>
      <c r="E425" s="1" t="str">
        <f>"1"</f>
        <v>1</v>
      </c>
      <c r="F425" s="2">
        <v>559298033.10000002</v>
      </c>
      <c r="H425" s="3"/>
    </row>
    <row r="426" spans="1:8" x14ac:dyDescent="0.25">
      <c r="A426" s="1">
        <f t="shared" si="70"/>
        <v>2237</v>
      </c>
      <c r="B426" s="1" t="str">
        <f t="shared" si="71"/>
        <v>Счет хранения указаний отправителя в соответствии с валютным законодательством Республики Казахстан</v>
      </c>
      <c r="C426" s="1" t="str">
        <f>"1"</f>
        <v>1</v>
      </c>
      <c r="D426" s="1" t="str">
        <f>"9"</f>
        <v>9</v>
      </c>
      <c r="E426" s="1" t="str">
        <f>"2"</f>
        <v>2</v>
      </c>
      <c r="F426" s="2">
        <v>157876177.77000001</v>
      </c>
      <c r="H426" s="3"/>
    </row>
    <row r="427" spans="1:8" x14ac:dyDescent="0.25">
      <c r="A427" s="1">
        <f t="shared" si="70"/>
        <v>2237</v>
      </c>
      <c r="B427" s="1" t="str">
        <f t="shared" si="71"/>
        <v>Счет хранения указаний отправителя в соответствии с валютным законодательством Республики Казахстан</v>
      </c>
      <c r="C427" s="1" t="str">
        <f>"1"</f>
        <v>1</v>
      </c>
      <c r="D427" s="1" t="str">
        <f>"5"</f>
        <v>5</v>
      </c>
      <c r="E427" s="1" t="str">
        <f>"3"</f>
        <v>3</v>
      </c>
      <c r="F427" s="2">
        <v>999865</v>
      </c>
      <c r="H427" s="3"/>
    </row>
    <row r="428" spans="1:8" x14ac:dyDescent="0.25">
      <c r="A428" s="1">
        <f t="shared" si="70"/>
        <v>2237</v>
      </c>
      <c r="B428" s="1" t="str">
        <f t="shared" si="71"/>
        <v>Счет хранения указаний отправителя в соответствии с валютным законодательством Республики Казахстан</v>
      </c>
      <c r="C428" s="1" t="str">
        <f>"2"</f>
        <v>2</v>
      </c>
      <c r="D428" s="1" t="str">
        <f>"9"</f>
        <v>9</v>
      </c>
      <c r="E428" s="1" t="str">
        <f>"2"</f>
        <v>2</v>
      </c>
      <c r="F428" s="2">
        <v>215833152.03</v>
      </c>
      <c r="H428" s="3"/>
    </row>
    <row r="429" spans="1:8" x14ac:dyDescent="0.25">
      <c r="A429" s="1">
        <f t="shared" si="70"/>
        <v>2237</v>
      </c>
      <c r="B429" s="1" t="str">
        <f t="shared" si="71"/>
        <v>Счет хранения указаний отправителя в соответствии с валютным законодательством Республики Казахстан</v>
      </c>
      <c r="C429" s="1" t="str">
        <f>"1"</f>
        <v>1</v>
      </c>
      <c r="D429" s="1" t="str">
        <f>"7"</f>
        <v>7</v>
      </c>
      <c r="E429" s="1" t="str">
        <f>"2"</f>
        <v>2</v>
      </c>
      <c r="F429" s="2">
        <v>4287563867.3499999</v>
      </c>
      <c r="H429" s="3"/>
    </row>
    <row r="430" spans="1:8" x14ac:dyDescent="0.25">
      <c r="A430" s="1">
        <f t="shared" si="70"/>
        <v>2237</v>
      </c>
      <c r="B430" s="1" t="str">
        <f t="shared" si="71"/>
        <v>Счет хранения указаний отправителя в соответствии с валютным законодательством Республики Казахстан</v>
      </c>
      <c r="C430" s="1" t="str">
        <f>"1"</f>
        <v>1</v>
      </c>
      <c r="D430" s="1" t="str">
        <f>"7"</f>
        <v>7</v>
      </c>
      <c r="E430" s="1" t="str">
        <f>"3"</f>
        <v>3</v>
      </c>
      <c r="F430" s="2">
        <v>3555196230.3400002</v>
      </c>
      <c r="H430" s="3"/>
    </row>
    <row r="431" spans="1:8" x14ac:dyDescent="0.25">
      <c r="A431" s="1">
        <f t="shared" si="70"/>
        <v>2237</v>
      </c>
      <c r="B431" s="1" t="str">
        <f t="shared" si="71"/>
        <v>Счет хранения указаний отправителя в соответствии с валютным законодательством Республики Казахстан</v>
      </c>
      <c r="C431" s="1" t="str">
        <f>"2"</f>
        <v>2</v>
      </c>
      <c r="D431" s="1" t="str">
        <f>"5"</f>
        <v>5</v>
      </c>
      <c r="E431" s="1" t="str">
        <f>"2"</f>
        <v>2</v>
      </c>
      <c r="F431" s="2">
        <v>12112380.57</v>
      </c>
      <c r="H431" s="3"/>
    </row>
    <row r="432" spans="1:8" x14ac:dyDescent="0.25">
      <c r="A432" s="1">
        <f t="shared" si="70"/>
        <v>2237</v>
      </c>
      <c r="B432" s="1" t="str">
        <f t="shared" si="71"/>
        <v>Счет хранения указаний отправителя в соответствии с валютным законодательством Республики Казахстан</v>
      </c>
      <c r="C432" s="1" t="str">
        <f>"1"</f>
        <v>1</v>
      </c>
      <c r="D432" s="1" t="str">
        <f>"9"</f>
        <v>9</v>
      </c>
      <c r="E432" s="1" t="str">
        <f>"3"</f>
        <v>3</v>
      </c>
      <c r="F432" s="2">
        <v>32228099.75</v>
      </c>
      <c r="H432" s="3"/>
    </row>
    <row r="433" spans="1:8" x14ac:dyDescent="0.25">
      <c r="A433" s="1">
        <f t="shared" ref="A433:A441" si="72">("2240")*1</f>
        <v>2240</v>
      </c>
      <c r="B433" s="1" t="str">
        <f t="shared" ref="B433:B441" si="73"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C433" s="1" t="str">
        <f>"1"</f>
        <v>1</v>
      </c>
      <c r="D433" s="1" t="str">
        <f>"6"</f>
        <v>6</v>
      </c>
      <c r="E433" s="1" t="str">
        <f>"1"</f>
        <v>1</v>
      </c>
      <c r="F433" s="2">
        <v>450754835.91000003</v>
      </c>
      <c r="H433" s="3"/>
    </row>
    <row r="434" spans="1:8" x14ac:dyDescent="0.25">
      <c r="A434" s="1">
        <f t="shared" si="72"/>
        <v>2240</v>
      </c>
      <c r="B434" s="1" t="str">
        <f t="shared" si="73"/>
        <v>Счет хранения денег, принятых в качестве обеспечения (заклад, задаток) обязательств клиентов</v>
      </c>
      <c r="C434" s="1" t="str">
        <f>"1"</f>
        <v>1</v>
      </c>
      <c r="D434" s="1" t="str">
        <f>"7"</f>
        <v>7</v>
      </c>
      <c r="E434" s="1" t="str">
        <f>"1"</f>
        <v>1</v>
      </c>
      <c r="F434" s="2">
        <v>2224766200.1100001</v>
      </c>
      <c r="H434" s="3"/>
    </row>
    <row r="435" spans="1:8" x14ac:dyDescent="0.25">
      <c r="A435" s="1">
        <f t="shared" si="72"/>
        <v>2240</v>
      </c>
      <c r="B435" s="1" t="str">
        <f t="shared" si="73"/>
        <v>Счет хранения денег, принятых в качестве обеспечения (заклад, задаток) обязательств клиентов</v>
      </c>
      <c r="C435" s="1" t="str">
        <f>"1"</f>
        <v>1</v>
      </c>
      <c r="D435" s="1" t="str">
        <f>"7"</f>
        <v>7</v>
      </c>
      <c r="E435" s="1" t="str">
        <f>"2"</f>
        <v>2</v>
      </c>
      <c r="F435" s="2">
        <v>37012000</v>
      </c>
      <c r="H435" s="3"/>
    </row>
    <row r="436" spans="1:8" x14ac:dyDescent="0.25">
      <c r="A436" s="1">
        <f t="shared" si="72"/>
        <v>2240</v>
      </c>
      <c r="B436" s="1" t="str">
        <f t="shared" si="73"/>
        <v>Счет хранения денег, принятых в качестве обеспечения (заклад, задаток) обязательств клиентов</v>
      </c>
      <c r="C436" s="1" t="str">
        <f>"1"</f>
        <v>1</v>
      </c>
      <c r="D436" s="1" t="str">
        <f>"5"</f>
        <v>5</v>
      </c>
      <c r="E436" s="1" t="str">
        <f>"1"</f>
        <v>1</v>
      </c>
      <c r="F436" s="2">
        <v>525196500</v>
      </c>
      <c r="H436" s="3"/>
    </row>
    <row r="437" spans="1:8" x14ac:dyDescent="0.25">
      <c r="A437" s="1">
        <f t="shared" si="72"/>
        <v>2240</v>
      </c>
      <c r="B437" s="1" t="str">
        <f t="shared" si="73"/>
        <v>Счет хранения денег, принятых в качестве обеспечения (заклад, задаток) обязательств клиентов</v>
      </c>
      <c r="C437" s="1" t="str">
        <f>"2"</f>
        <v>2</v>
      </c>
      <c r="D437" s="1" t="str">
        <f>"9"</f>
        <v>9</v>
      </c>
      <c r="E437" s="1" t="str">
        <f>"1"</f>
        <v>1</v>
      </c>
      <c r="F437" s="2">
        <v>2662725</v>
      </c>
      <c r="H437" s="3"/>
    </row>
    <row r="438" spans="1:8" x14ac:dyDescent="0.25">
      <c r="A438" s="1">
        <f t="shared" si="72"/>
        <v>2240</v>
      </c>
      <c r="B438" s="1" t="str">
        <f t="shared" si="73"/>
        <v>Счет хранения денег, принятых в качестве обеспечения (заклад, задаток) обязательств клиентов</v>
      </c>
      <c r="C438" s="1" t="str">
        <f>"1"</f>
        <v>1</v>
      </c>
      <c r="D438" s="1" t="str">
        <f>"8"</f>
        <v>8</v>
      </c>
      <c r="E438" s="1" t="str">
        <f>"1"</f>
        <v>1</v>
      </c>
      <c r="F438" s="2">
        <v>284546.25</v>
      </c>
      <c r="H438" s="3"/>
    </row>
    <row r="439" spans="1:8" x14ac:dyDescent="0.25">
      <c r="A439" s="1">
        <f t="shared" si="72"/>
        <v>2240</v>
      </c>
      <c r="B439" s="1" t="str">
        <f t="shared" si="73"/>
        <v>Счет хранения денег, принятых в качестве обеспечения (заклад, задаток) обязательств клиентов</v>
      </c>
      <c r="C439" s="1" t="str">
        <f>"1"</f>
        <v>1</v>
      </c>
      <c r="D439" s="1" t="str">
        <f>"9"</f>
        <v>9</v>
      </c>
      <c r="E439" s="1" t="str">
        <f>"1"</f>
        <v>1</v>
      </c>
      <c r="F439" s="2">
        <v>847253543.38</v>
      </c>
      <c r="H439" s="3"/>
    </row>
    <row r="440" spans="1:8" x14ac:dyDescent="0.25">
      <c r="A440" s="1">
        <f t="shared" si="72"/>
        <v>2240</v>
      </c>
      <c r="B440" s="1" t="str">
        <f t="shared" si="73"/>
        <v>Счет хранения денег, принятых в качестве обеспечения (заклад, задаток) обязательств клиентов</v>
      </c>
      <c r="C440" s="1" t="str">
        <f>"2"</f>
        <v>2</v>
      </c>
      <c r="D440" s="1" t="str">
        <f>"9"</f>
        <v>9</v>
      </c>
      <c r="E440" s="1" t="str">
        <f>"2"</f>
        <v>2</v>
      </c>
      <c r="F440" s="2">
        <v>696582495.39999998</v>
      </c>
      <c r="H440" s="3"/>
    </row>
    <row r="441" spans="1:8" x14ac:dyDescent="0.25">
      <c r="A441" s="1">
        <f t="shared" si="72"/>
        <v>2240</v>
      </c>
      <c r="B441" s="1" t="str">
        <f t="shared" si="73"/>
        <v>Счет хранения денег, принятых в качестве обеспечения (заклад, задаток) обязательств клиентов</v>
      </c>
      <c r="C441" s="1" t="str">
        <f t="shared" ref="C441:C456" si="74">"1"</f>
        <v>1</v>
      </c>
      <c r="D441" s="1" t="str">
        <f>"9"</f>
        <v>9</v>
      </c>
      <c r="E441" s="1" t="str">
        <f>"2"</f>
        <v>2</v>
      </c>
      <c r="F441" s="2">
        <v>8262466.3499999996</v>
      </c>
      <c r="H441" s="3"/>
    </row>
    <row r="442" spans="1:8" x14ac:dyDescent="0.25">
      <c r="A442" s="1">
        <f>("2301")*1</f>
        <v>2301</v>
      </c>
      <c r="B442" s="1" t="str">
        <f>"Выпущенные в обращение облигации"</f>
        <v>Выпущенные в обращение облигации</v>
      </c>
      <c r="C442" s="1" t="str">
        <f t="shared" si="74"/>
        <v>1</v>
      </c>
      <c r="D442" s="1" t="str">
        <f t="shared" ref="D442:D448" si="75">"5"</f>
        <v>5</v>
      </c>
      <c r="E442" s="1" t="str">
        <f t="shared" ref="E442:E450" si="76">"1"</f>
        <v>1</v>
      </c>
      <c r="F442" s="2">
        <v>16219642700</v>
      </c>
      <c r="H442" s="3"/>
    </row>
    <row r="443" spans="1:8" x14ac:dyDescent="0.25">
      <c r="A443" s="1">
        <f>("2304")*1</f>
        <v>2304</v>
      </c>
      <c r="B443" s="1" t="str">
        <f>"Премия по выпущенным в обращение ценным бумагам"</f>
        <v>Премия по выпущенным в обращение ценным бумагам</v>
      </c>
      <c r="C443" s="1" t="str">
        <f t="shared" si="74"/>
        <v>1</v>
      </c>
      <c r="D443" s="1" t="str">
        <f t="shared" si="75"/>
        <v>5</v>
      </c>
      <c r="E443" s="1" t="str">
        <f t="shared" si="76"/>
        <v>1</v>
      </c>
      <c r="F443" s="2">
        <v>93218341.879999995</v>
      </c>
      <c r="H443" s="3"/>
    </row>
    <row r="444" spans="1:8" x14ac:dyDescent="0.25">
      <c r="A444" s="1">
        <f>("2305")*1</f>
        <v>2305</v>
      </c>
      <c r="B444" s="1" t="str">
        <f>"Дисконт по выпущенным в обращение ценным бумагам"</f>
        <v>Дисконт по выпущенным в обращение ценным бумагам</v>
      </c>
      <c r="C444" s="1" t="str">
        <f t="shared" si="74"/>
        <v>1</v>
      </c>
      <c r="D444" s="1" t="str">
        <f t="shared" si="75"/>
        <v>5</v>
      </c>
      <c r="E444" s="1" t="str">
        <f t="shared" si="76"/>
        <v>1</v>
      </c>
      <c r="F444" s="2">
        <v>-159703191.05000001</v>
      </c>
      <c r="H444" s="3"/>
    </row>
    <row r="445" spans="1:8" x14ac:dyDescent="0.25">
      <c r="A445" s="1">
        <f>("2306")*1</f>
        <v>2306</v>
      </c>
      <c r="B445" s="1" t="str">
        <f>"Выкупленные облигации"</f>
        <v>Выкупленные облигации</v>
      </c>
      <c r="C445" s="1" t="str">
        <f t="shared" si="74"/>
        <v>1</v>
      </c>
      <c r="D445" s="1" t="str">
        <f t="shared" si="75"/>
        <v>5</v>
      </c>
      <c r="E445" s="1" t="str">
        <f t="shared" si="76"/>
        <v>1</v>
      </c>
      <c r="F445" s="2">
        <v>-160930000</v>
      </c>
      <c r="H445" s="3"/>
    </row>
    <row r="446" spans="1:8" x14ac:dyDescent="0.25">
      <c r="A446" s="1">
        <f>("2404")*1</f>
        <v>2404</v>
      </c>
      <c r="B446" s="1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C446" s="1" t="str">
        <f t="shared" si="74"/>
        <v>1</v>
      </c>
      <c r="D446" s="1" t="str">
        <f t="shared" si="75"/>
        <v>5</v>
      </c>
      <c r="E446" s="1" t="str">
        <f t="shared" si="76"/>
        <v>1</v>
      </c>
      <c r="F446" s="2">
        <v>-94495633627.059998</v>
      </c>
      <c r="H446" s="3"/>
    </row>
    <row r="447" spans="1:8" x14ac:dyDescent="0.25">
      <c r="A447" s="1">
        <f>("2405")*1</f>
        <v>2405</v>
      </c>
      <c r="B447" s="1" t="str">
        <f>"Выкупленные субординированные облигации"</f>
        <v>Выкупленные субординированные облигации</v>
      </c>
      <c r="C447" s="1" t="str">
        <f t="shared" si="74"/>
        <v>1</v>
      </c>
      <c r="D447" s="1" t="str">
        <f t="shared" si="75"/>
        <v>5</v>
      </c>
      <c r="E447" s="1" t="str">
        <f t="shared" si="76"/>
        <v>1</v>
      </c>
      <c r="F447" s="2">
        <v>-40450000</v>
      </c>
      <c r="H447" s="3"/>
    </row>
    <row r="448" spans="1:8" x14ac:dyDescent="0.25">
      <c r="A448" s="1">
        <f>("2406")*1</f>
        <v>2406</v>
      </c>
      <c r="B448" s="1" t="str">
        <f>"Субординированные облигации"</f>
        <v>Субординированные облигации</v>
      </c>
      <c r="C448" s="1" t="str">
        <f t="shared" si="74"/>
        <v>1</v>
      </c>
      <c r="D448" s="1" t="str">
        <f t="shared" si="75"/>
        <v>5</v>
      </c>
      <c r="E448" s="1" t="str">
        <f t="shared" si="76"/>
        <v>1</v>
      </c>
      <c r="F448" s="2">
        <v>167510000000</v>
      </c>
      <c r="H448" s="3"/>
    </row>
    <row r="449" spans="1:8" x14ac:dyDescent="0.25">
      <c r="A449" s="1">
        <f>("2551")*1</f>
        <v>2551</v>
      </c>
      <c r="B449" s="1" t="str">
        <f>"Расчеты с другими банками"</f>
        <v>Расчеты с другими банками</v>
      </c>
      <c r="C449" s="1" t="str">
        <f t="shared" si="74"/>
        <v>1</v>
      </c>
      <c r="D449" s="1" t="str">
        <f>"4"</f>
        <v>4</v>
      </c>
      <c r="E449" s="1" t="str">
        <f t="shared" si="76"/>
        <v>1</v>
      </c>
      <c r="F449" s="2">
        <v>84754273.230000004</v>
      </c>
      <c r="H449" s="3"/>
    </row>
    <row r="450" spans="1:8" x14ac:dyDescent="0.25">
      <c r="A450" s="1">
        <f>("2703")*1</f>
        <v>2703</v>
      </c>
      <c r="B450" s="1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C450" s="1" t="str">
        <f t="shared" si="74"/>
        <v>1</v>
      </c>
      <c r="D450" s="1" t="str">
        <f>"1"</f>
        <v>1</v>
      </c>
      <c r="E450" s="1" t="str">
        <f t="shared" si="76"/>
        <v>1</v>
      </c>
      <c r="F450" s="2">
        <v>1920451.95</v>
      </c>
      <c r="H450" s="3"/>
    </row>
    <row r="451" spans="1:8" x14ac:dyDescent="0.25">
      <c r="A451" s="1">
        <f>("2703")*1</f>
        <v>2703</v>
      </c>
      <c r="B451" s="1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C451" s="1" t="str">
        <f t="shared" si="74"/>
        <v>1</v>
      </c>
      <c r="D451" s="1" t="str">
        <f>"1"</f>
        <v>1</v>
      </c>
      <c r="E451" s="1" t="str">
        <f>"2"</f>
        <v>2</v>
      </c>
      <c r="F451" s="2">
        <v>246083.55</v>
      </c>
      <c r="H451" s="3"/>
    </row>
    <row r="452" spans="1:8" x14ac:dyDescent="0.25">
      <c r="A452" s="1">
        <f>("2705")*1</f>
        <v>2705</v>
      </c>
      <c r="B452" s="1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C452" s="1" t="str">
        <f t="shared" si="74"/>
        <v>1</v>
      </c>
      <c r="D452" s="1" t="str">
        <f>"4"</f>
        <v>4</v>
      </c>
      <c r="E452" s="1" t="str">
        <f>"1"</f>
        <v>1</v>
      </c>
      <c r="F452" s="2">
        <v>52533032.670000002</v>
      </c>
      <c r="H452" s="3"/>
    </row>
    <row r="453" spans="1:8" x14ac:dyDescent="0.25">
      <c r="A453" s="1">
        <f>("2706")*1</f>
        <v>2706</v>
      </c>
      <c r="B453" s="1" t="str">
        <f>"Начисленные расходы по займам и финансовому лизингу"</f>
        <v>Начисленные расходы по займам и финансовому лизингу</v>
      </c>
      <c r="C453" s="1" t="str">
        <f t="shared" si="74"/>
        <v>1</v>
      </c>
      <c r="D453" s="1" t="str">
        <f>"5"</f>
        <v>5</v>
      </c>
      <c r="E453" s="1" t="str">
        <f>"1"</f>
        <v>1</v>
      </c>
      <c r="F453" s="2">
        <v>301567174.88999999</v>
      </c>
      <c r="H453" s="3"/>
    </row>
    <row r="454" spans="1:8" x14ac:dyDescent="0.25">
      <c r="A454" s="1">
        <f t="shared" ref="A454:A460" si="77">("2719")*1</f>
        <v>2719</v>
      </c>
      <c r="B454" s="1" t="str">
        <f t="shared" ref="B454:B460" si="78">"Начисленные расходы по условным вкладам клиентов"</f>
        <v>Начисленные расходы по условным вкладам клиентов</v>
      </c>
      <c r="C454" s="1" t="str">
        <f t="shared" si="74"/>
        <v>1</v>
      </c>
      <c r="D454" s="1" t="str">
        <f>"8"</f>
        <v>8</v>
      </c>
      <c r="E454" s="1" t="str">
        <f>"1"</f>
        <v>1</v>
      </c>
      <c r="F454" s="2">
        <v>128.82</v>
      </c>
      <c r="H454" s="3"/>
    </row>
    <row r="455" spans="1:8" x14ac:dyDescent="0.25">
      <c r="A455" s="1">
        <f t="shared" si="77"/>
        <v>2719</v>
      </c>
      <c r="B455" s="1" t="str">
        <f t="shared" si="78"/>
        <v>Начисленные расходы по условным вкладам клиентов</v>
      </c>
      <c r="C455" s="1" t="str">
        <f t="shared" si="74"/>
        <v>1</v>
      </c>
      <c r="D455" s="1" t="str">
        <f>"7"</f>
        <v>7</v>
      </c>
      <c r="E455" s="1" t="str">
        <f>"2"</f>
        <v>2</v>
      </c>
      <c r="F455" s="2">
        <v>2859.19</v>
      </c>
      <c r="H455" s="3"/>
    </row>
    <row r="456" spans="1:8" x14ac:dyDescent="0.25">
      <c r="A456" s="1">
        <f t="shared" si="77"/>
        <v>2719</v>
      </c>
      <c r="B456" s="1" t="str">
        <f t="shared" si="78"/>
        <v>Начисленные расходы по условным вкладам клиентов</v>
      </c>
      <c r="C456" s="1" t="str">
        <f t="shared" si="74"/>
        <v>1</v>
      </c>
      <c r="D456" s="1" t="str">
        <f>"7"</f>
        <v>7</v>
      </c>
      <c r="E456" s="1" t="str">
        <f>"1"</f>
        <v>1</v>
      </c>
      <c r="F456" s="2">
        <v>44131.99</v>
      </c>
      <c r="H456" s="3"/>
    </row>
    <row r="457" spans="1:8" x14ac:dyDescent="0.25">
      <c r="A457" s="1">
        <f t="shared" si="77"/>
        <v>2719</v>
      </c>
      <c r="B457" s="1" t="str">
        <f t="shared" si="78"/>
        <v>Начисленные расходы по условным вкладам клиентов</v>
      </c>
      <c r="C457" s="1" t="str">
        <f>"2"</f>
        <v>2</v>
      </c>
      <c r="D457" s="1" t="str">
        <f>"7"</f>
        <v>7</v>
      </c>
      <c r="E457" s="1" t="str">
        <f>"1"</f>
        <v>1</v>
      </c>
      <c r="F457" s="2">
        <v>833.96</v>
      </c>
      <c r="H457" s="3"/>
    </row>
    <row r="458" spans="1:8" x14ac:dyDescent="0.25">
      <c r="A458" s="1">
        <f t="shared" si="77"/>
        <v>2719</v>
      </c>
      <c r="B458" s="1" t="str">
        <f t="shared" si="78"/>
        <v>Начисленные расходы по условным вкладам клиентов</v>
      </c>
      <c r="C458" s="1" t="str">
        <f>"1"</f>
        <v>1</v>
      </c>
      <c r="D458" s="1" t="str">
        <f>"9"</f>
        <v>9</v>
      </c>
      <c r="E458" s="1" t="str">
        <f>"2"</f>
        <v>2</v>
      </c>
      <c r="F458" s="2">
        <v>1649851.54</v>
      </c>
      <c r="H458" s="3"/>
    </row>
    <row r="459" spans="1:8" x14ac:dyDescent="0.25">
      <c r="A459" s="1">
        <f t="shared" si="77"/>
        <v>2719</v>
      </c>
      <c r="B459" s="1" t="str">
        <f t="shared" si="78"/>
        <v>Начисленные расходы по условным вкладам клиентов</v>
      </c>
      <c r="C459" s="1" t="str">
        <f>"1"</f>
        <v>1</v>
      </c>
      <c r="D459" s="1" t="str">
        <f>"9"</f>
        <v>9</v>
      </c>
      <c r="E459" s="1" t="str">
        <f>"1"</f>
        <v>1</v>
      </c>
      <c r="F459" s="2">
        <v>799570.38</v>
      </c>
      <c r="H459" s="3"/>
    </row>
    <row r="460" spans="1:8" x14ac:dyDescent="0.25">
      <c r="A460" s="1">
        <f t="shared" si="77"/>
        <v>2719</v>
      </c>
      <c r="B460" s="1" t="str">
        <f t="shared" si="78"/>
        <v>Начисленные расходы по условным вкладам клиентов</v>
      </c>
      <c r="C460" s="1" t="str">
        <f>"2"</f>
        <v>2</v>
      </c>
      <c r="D460" s="1" t="str">
        <f>"7"</f>
        <v>7</v>
      </c>
      <c r="E460" s="1" t="str">
        <f>"2"</f>
        <v>2</v>
      </c>
      <c r="F460" s="2">
        <v>351.61</v>
      </c>
      <c r="H460" s="3"/>
    </row>
    <row r="461" spans="1:8" x14ac:dyDescent="0.25">
      <c r="A461" s="1">
        <f t="shared" ref="A461:A466" si="79">("2720")*1</f>
        <v>2720</v>
      </c>
      <c r="B461" s="1" t="str">
        <f t="shared" ref="B461:B466" si="80">"Начисленные расходы по вкладам до востребования клиентов"</f>
        <v>Начисленные расходы по вкладам до востребования клиентов</v>
      </c>
      <c r="C461" s="1" t="str">
        <f>"1"</f>
        <v>1</v>
      </c>
      <c r="D461" s="1" t="str">
        <f>"7"</f>
        <v>7</v>
      </c>
      <c r="E461" s="1" t="str">
        <f>"1"</f>
        <v>1</v>
      </c>
      <c r="F461" s="2">
        <v>74592.28</v>
      </c>
      <c r="H461" s="3"/>
    </row>
    <row r="462" spans="1:8" x14ac:dyDescent="0.25">
      <c r="A462" s="1">
        <f t="shared" si="79"/>
        <v>2720</v>
      </c>
      <c r="B462" s="1" t="str">
        <f t="shared" si="80"/>
        <v>Начисленные расходы по вкладам до востребования клиентов</v>
      </c>
      <c r="C462" s="1" t="str">
        <f>"1"</f>
        <v>1</v>
      </c>
      <c r="D462" s="1" t="str">
        <f>"5"</f>
        <v>5</v>
      </c>
      <c r="E462" s="1" t="str">
        <f>"1"</f>
        <v>1</v>
      </c>
      <c r="F462" s="2">
        <v>1.6</v>
      </c>
      <c r="H462" s="3"/>
    </row>
    <row r="463" spans="1:8" x14ac:dyDescent="0.25">
      <c r="A463" s="1">
        <f t="shared" si="79"/>
        <v>2720</v>
      </c>
      <c r="B463" s="1" t="str">
        <f t="shared" si="80"/>
        <v>Начисленные расходы по вкладам до востребования клиентов</v>
      </c>
      <c r="C463" s="1" t="str">
        <f>"1"</f>
        <v>1</v>
      </c>
      <c r="D463" s="1" t="str">
        <f>"7"</f>
        <v>7</v>
      </c>
      <c r="E463" s="1" t="str">
        <f>"2"</f>
        <v>2</v>
      </c>
      <c r="F463" s="2">
        <v>2203.1799999999998</v>
      </c>
      <c r="H463" s="3"/>
    </row>
    <row r="464" spans="1:8" x14ac:dyDescent="0.25">
      <c r="A464" s="1">
        <f t="shared" si="79"/>
        <v>2720</v>
      </c>
      <c r="B464" s="1" t="str">
        <f t="shared" si="80"/>
        <v>Начисленные расходы по вкладам до востребования клиентов</v>
      </c>
      <c r="C464" s="1" t="str">
        <f>"1"</f>
        <v>1</v>
      </c>
      <c r="D464" s="1" t="str">
        <f>"9"</f>
        <v>9</v>
      </c>
      <c r="E464" s="1" t="str">
        <f>"1"</f>
        <v>1</v>
      </c>
      <c r="F464" s="2">
        <v>135.08000000000001</v>
      </c>
      <c r="H464" s="3"/>
    </row>
    <row r="465" spans="1:8" x14ac:dyDescent="0.25">
      <c r="A465" s="1">
        <f t="shared" si="79"/>
        <v>2720</v>
      </c>
      <c r="B465" s="1" t="str">
        <f t="shared" si="80"/>
        <v>Начисленные расходы по вкладам до востребования клиентов</v>
      </c>
      <c r="C465" s="1" t="str">
        <f>"2"</f>
        <v>2</v>
      </c>
      <c r="D465" s="1" t="str">
        <f>"9"</f>
        <v>9</v>
      </c>
      <c r="E465" s="1" t="str">
        <f>"1"</f>
        <v>1</v>
      </c>
      <c r="F465" s="2">
        <v>4.13</v>
      </c>
      <c r="H465" s="3"/>
    </row>
    <row r="466" spans="1:8" x14ac:dyDescent="0.25">
      <c r="A466" s="1">
        <f t="shared" si="79"/>
        <v>2720</v>
      </c>
      <c r="B466" s="1" t="str">
        <f t="shared" si="80"/>
        <v>Начисленные расходы по вкладам до востребования клиентов</v>
      </c>
      <c r="C466" s="1" t="str">
        <f>"1"</f>
        <v>1</v>
      </c>
      <c r="D466" s="1" t="str">
        <f>"9"</f>
        <v>9</v>
      </c>
      <c r="E466" s="1" t="str">
        <f>"3"</f>
        <v>3</v>
      </c>
      <c r="F466" s="2">
        <v>5.34</v>
      </c>
      <c r="H466" s="3"/>
    </row>
    <row r="467" spans="1:8" x14ac:dyDescent="0.25">
      <c r="A467" s="1">
        <f t="shared" ref="A467:A485" si="81">("2721")*1</f>
        <v>2721</v>
      </c>
      <c r="B467" s="1" t="str">
        <f t="shared" ref="B467:B485" si="82">"Начисленные расходы по срочным вкладам клиентов"</f>
        <v>Начисленные расходы по срочным вкладам клиентов</v>
      </c>
      <c r="C467" s="1" t="str">
        <f>"1"</f>
        <v>1</v>
      </c>
      <c r="D467" s="1" t="str">
        <f>"5"</f>
        <v>5</v>
      </c>
      <c r="E467" s="1" t="str">
        <f>"1"</f>
        <v>1</v>
      </c>
      <c r="F467" s="2">
        <v>1474127533.6900001</v>
      </c>
      <c r="H467" s="3"/>
    </row>
    <row r="468" spans="1:8" x14ac:dyDescent="0.25">
      <c r="A468" s="1">
        <f t="shared" si="81"/>
        <v>2721</v>
      </c>
      <c r="B468" s="1" t="str">
        <f t="shared" si="82"/>
        <v>Начисленные расходы по срочным вкладам клиентов</v>
      </c>
      <c r="C468" s="1" t="str">
        <f>"1"</f>
        <v>1</v>
      </c>
      <c r="D468" s="1" t="str">
        <f>"5"</f>
        <v>5</v>
      </c>
      <c r="E468" s="1" t="str">
        <f>"2"</f>
        <v>2</v>
      </c>
      <c r="F468" s="2">
        <v>7303554.8300000001</v>
      </c>
      <c r="H468" s="3"/>
    </row>
    <row r="469" spans="1:8" x14ac:dyDescent="0.25">
      <c r="A469" s="1">
        <f t="shared" si="81"/>
        <v>2721</v>
      </c>
      <c r="B469" s="1" t="str">
        <f t="shared" si="82"/>
        <v>Начисленные расходы по срочным вкладам клиентов</v>
      </c>
      <c r="C469" s="1" t="str">
        <f>"1"</f>
        <v>1</v>
      </c>
      <c r="D469" s="1" t="str">
        <f>"9"</f>
        <v>9</v>
      </c>
      <c r="E469" s="1" t="str">
        <f>"2"</f>
        <v>2</v>
      </c>
      <c r="F469" s="2">
        <v>34277.919999999998</v>
      </c>
      <c r="H469" s="3"/>
    </row>
    <row r="470" spans="1:8" x14ac:dyDescent="0.25">
      <c r="A470" s="1">
        <f t="shared" si="81"/>
        <v>2721</v>
      </c>
      <c r="B470" s="1" t="str">
        <f t="shared" si="82"/>
        <v>Начисленные расходы по срочным вкладам клиентов</v>
      </c>
      <c r="C470" s="1" t="str">
        <f>"2"</f>
        <v>2</v>
      </c>
      <c r="D470" s="1" t="str">
        <f>"7"</f>
        <v>7</v>
      </c>
      <c r="E470" s="1" t="str">
        <f>"2"</f>
        <v>2</v>
      </c>
      <c r="F470" s="2">
        <v>131012676.45999999</v>
      </c>
      <c r="H470" s="3"/>
    </row>
    <row r="471" spans="1:8" x14ac:dyDescent="0.25">
      <c r="A471" s="1">
        <f t="shared" si="81"/>
        <v>2721</v>
      </c>
      <c r="B471" s="1" t="str">
        <f t="shared" si="82"/>
        <v>Начисленные расходы по срочным вкладам клиентов</v>
      </c>
      <c r="C471" s="1" t="str">
        <f>"1"</f>
        <v>1</v>
      </c>
      <c r="D471" s="1" t="str">
        <f>"9"</f>
        <v>9</v>
      </c>
      <c r="E471" s="1" t="str">
        <f>"1"</f>
        <v>1</v>
      </c>
      <c r="F471" s="2">
        <v>21721760.489999998</v>
      </c>
      <c r="H471" s="3"/>
    </row>
    <row r="472" spans="1:8" x14ac:dyDescent="0.25">
      <c r="A472" s="1">
        <f t="shared" si="81"/>
        <v>2721</v>
      </c>
      <c r="B472" s="1" t="str">
        <f t="shared" si="82"/>
        <v>Начисленные расходы по срочным вкладам клиентов</v>
      </c>
      <c r="C472" s="1" t="str">
        <f>"1"</f>
        <v>1</v>
      </c>
      <c r="D472" s="1" t="str">
        <f>"9"</f>
        <v>9</v>
      </c>
      <c r="E472" s="1" t="str">
        <f>"3"</f>
        <v>3</v>
      </c>
      <c r="F472" s="2">
        <v>1164.83</v>
      </c>
      <c r="H472" s="3"/>
    </row>
    <row r="473" spans="1:8" x14ac:dyDescent="0.25">
      <c r="A473" s="1">
        <f t="shared" si="81"/>
        <v>2721</v>
      </c>
      <c r="B473" s="1" t="str">
        <f t="shared" si="82"/>
        <v>Начисленные расходы по срочным вкладам клиентов</v>
      </c>
      <c r="C473" s="1" t="str">
        <f>"2"</f>
        <v>2</v>
      </c>
      <c r="D473" s="1" t="str">
        <f>"5"</f>
        <v>5</v>
      </c>
      <c r="E473" s="1" t="str">
        <f>"2"</f>
        <v>2</v>
      </c>
      <c r="F473" s="2">
        <v>355569.64</v>
      </c>
      <c r="H473" s="3"/>
    </row>
    <row r="474" spans="1:8" x14ac:dyDescent="0.25">
      <c r="A474" s="1">
        <f t="shared" si="81"/>
        <v>2721</v>
      </c>
      <c r="B474" s="1" t="str">
        <f t="shared" si="82"/>
        <v>Начисленные расходы по срочным вкладам клиентов</v>
      </c>
      <c r="C474" s="1" t="str">
        <f>"1"</f>
        <v>1</v>
      </c>
      <c r="D474" s="1" t="str">
        <f>"7"</f>
        <v>7</v>
      </c>
      <c r="E474" s="1" t="str">
        <f>"1"</f>
        <v>1</v>
      </c>
      <c r="F474" s="2">
        <v>798249667.02999997</v>
      </c>
      <c r="H474" s="3"/>
    </row>
    <row r="475" spans="1:8" x14ac:dyDescent="0.25">
      <c r="A475" s="1">
        <f t="shared" si="81"/>
        <v>2721</v>
      </c>
      <c r="B475" s="1" t="str">
        <f t="shared" si="82"/>
        <v>Начисленные расходы по срочным вкладам клиентов</v>
      </c>
      <c r="C475" s="1" t="str">
        <f>"1"</f>
        <v>1</v>
      </c>
      <c r="D475" s="1" t="str">
        <f>"6"</f>
        <v>6</v>
      </c>
      <c r="E475" s="1" t="str">
        <f>"1"</f>
        <v>1</v>
      </c>
      <c r="F475" s="2">
        <v>169312551.02000001</v>
      </c>
      <c r="H475" s="3"/>
    </row>
    <row r="476" spans="1:8" x14ac:dyDescent="0.25">
      <c r="A476" s="1">
        <f t="shared" si="81"/>
        <v>2721</v>
      </c>
      <c r="B476" s="1" t="str">
        <f t="shared" si="82"/>
        <v>Начисленные расходы по срочным вкладам клиентов</v>
      </c>
      <c r="C476" s="1" t="str">
        <f>"1"</f>
        <v>1</v>
      </c>
      <c r="D476" s="1" t="str">
        <f>"7"</f>
        <v>7</v>
      </c>
      <c r="E476" s="1" t="str">
        <f>"2"</f>
        <v>2</v>
      </c>
      <c r="F476" s="2">
        <v>69246926.959999993</v>
      </c>
      <c r="H476" s="3"/>
    </row>
    <row r="477" spans="1:8" x14ac:dyDescent="0.25">
      <c r="A477" s="1">
        <f t="shared" si="81"/>
        <v>2721</v>
      </c>
      <c r="B477" s="1" t="str">
        <f t="shared" si="82"/>
        <v>Начисленные расходы по срочным вкладам клиентов</v>
      </c>
      <c r="C477" s="1" t="str">
        <f>"1"</f>
        <v>1</v>
      </c>
      <c r="D477" s="1" t="str">
        <f>"5"</f>
        <v>5</v>
      </c>
      <c r="E477" s="1" t="str">
        <f>"3"</f>
        <v>3</v>
      </c>
      <c r="F477" s="2">
        <v>21753.91</v>
      </c>
      <c r="H477" s="3"/>
    </row>
    <row r="478" spans="1:8" x14ac:dyDescent="0.25">
      <c r="A478" s="1">
        <f t="shared" si="81"/>
        <v>2721</v>
      </c>
      <c r="B478" s="1" t="str">
        <f t="shared" si="82"/>
        <v>Начисленные расходы по срочным вкладам клиентов</v>
      </c>
      <c r="C478" s="1" t="str">
        <f>"1"</f>
        <v>1</v>
      </c>
      <c r="D478" s="1" t="str">
        <f>"8"</f>
        <v>8</v>
      </c>
      <c r="E478" s="1" t="str">
        <f>"1"</f>
        <v>1</v>
      </c>
      <c r="F478" s="2">
        <v>53411762.799999997</v>
      </c>
      <c r="H478" s="3"/>
    </row>
    <row r="479" spans="1:8" x14ac:dyDescent="0.25">
      <c r="A479" s="1">
        <f t="shared" si="81"/>
        <v>2721</v>
      </c>
      <c r="B479" s="1" t="str">
        <f t="shared" si="82"/>
        <v>Начисленные расходы по срочным вкладам клиентов</v>
      </c>
      <c r="C479" s="1" t="str">
        <f>"2"</f>
        <v>2</v>
      </c>
      <c r="D479" s="1" t="str">
        <f>"7"</f>
        <v>7</v>
      </c>
      <c r="E479" s="1" t="str">
        <f>"1"</f>
        <v>1</v>
      </c>
      <c r="F479" s="2">
        <v>20800</v>
      </c>
      <c r="H479" s="3"/>
    </row>
    <row r="480" spans="1:8" x14ac:dyDescent="0.25">
      <c r="A480" s="1">
        <f t="shared" si="81"/>
        <v>2721</v>
      </c>
      <c r="B480" s="1" t="str">
        <f t="shared" si="82"/>
        <v>Начисленные расходы по срочным вкладам клиентов</v>
      </c>
      <c r="C480" s="1" t="str">
        <f>"2"</f>
        <v>2</v>
      </c>
      <c r="D480" s="1" t="str">
        <f>"9"</f>
        <v>9</v>
      </c>
      <c r="E480" s="1" t="str">
        <f>"1"</f>
        <v>1</v>
      </c>
      <c r="F480" s="2">
        <v>11208.28</v>
      </c>
      <c r="H480" s="3"/>
    </row>
    <row r="481" spans="1:8" x14ac:dyDescent="0.25">
      <c r="A481" s="1">
        <f t="shared" si="81"/>
        <v>2721</v>
      </c>
      <c r="B481" s="1" t="str">
        <f t="shared" si="82"/>
        <v>Начисленные расходы по срочным вкладам клиентов</v>
      </c>
      <c r="C481" s="1" t="str">
        <f>"2"</f>
        <v>2</v>
      </c>
      <c r="D481" s="1" t="str">
        <f>"9"</f>
        <v>9</v>
      </c>
      <c r="E481" s="1" t="str">
        <f>"2"</f>
        <v>2</v>
      </c>
      <c r="F481" s="2">
        <v>374.76</v>
      </c>
      <c r="H481" s="3"/>
    </row>
    <row r="482" spans="1:8" x14ac:dyDescent="0.25">
      <c r="A482" s="1">
        <f t="shared" si="81"/>
        <v>2721</v>
      </c>
      <c r="B482" s="1" t="str">
        <f t="shared" si="82"/>
        <v>Начисленные расходы по срочным вкладам клиентов</v>
      </c>
      <c r="C482" s="1" t="str">
        <f>"2"</f>
        <v>2</v>
      </c>
      <c r="D482" s="1" t="str">
        <f>"9"</f>
        <v>9</v>
      </c>
      <c r="E482" s="1" t="str">
        <f>"3"</f>
        <v>3</v>
      </c>
      <c r="F482" s="2">
        <v>133.62</v>
      </c>
      <c r="H482" s="3"/>
    </row>
    <row r="483" spans="1:8" x14ac:dyDescent="0.25">
      <c r="A483" s="1">
        <f t="shared" si="81"/>
        <v>2721</v>
      </c>
      <c r="B483" s="1" t="str">
        <f t="shared" si="82"/>
        <v>Начисленные расходы по срочным вкладам клиентов</v>
      </c>
      <c r="C483" s="1" t="str">
        <f>"1"</f>
        <v>1</v>
      </c>
      <c r="D483" s="1" t="str">
        <f>"7"</f>
        <v>7</v>
      </c>
      <c r="E483" s="1" t="str">
        <f>"3"</f>
        <v>3</v>
      </c>
      <c r="F483" s="2">
        <v>5170669.3899999997</v>
      </c>
      <c r="H483" s="3"/>
    </row>
    <row r="484" spans="1:8" x14ac:dyDescent="0.25">
      <c r="A484" s="1">
        <f t="shared" si="81"/>
        <v>2721</v>
      </c>
      <c r="B484" s="1" t="str">
        <f t="shared" si="82"/>
        <v>Начисленные расходы по срочным вкладам клиентов</v>
      </c>
      <c r="C484" s="1" t="str">
        <f>"2"</f>
        <v>2</v>
      </c>
      <c r="D484" s="1" t="str">
        <f>"7"</f>
        <v>7</v>
      </c>
      <c r="E484" s="1" t="str">
        <f>"3"</f>
        <v>3</v>
      </c>
      <c r="F484" s="2">
        <v>2091625.37</v>
      </c>
      <c r="H484" s="3"/>
    </row>
    <row r="485" spans="1:8" x14ac:dyDescent="0.25">
      <c r="A485" s="1">
        <f t="shared" si="81"/>
        <v>2721</v>
      </c>
      <c r="B485" s="1" t="str">
        <f t="shared" si="82"/>
        <v>Начисленные расходы по срочным вкладам клиентов</v>
      </c>
      <c r="C485" s="1" t="str">
        <f>"1"</f>
        <v>1</v>
      </c>
      <c r="D485" s="1" t="str">
        <f>"6"</f>
        <v>6</v>
      </c>
      <c r="E485" s="1" t="str">
        <f>"2"</f>
        <v>2</v>
      </c>
      <c r="F485" s="2">
        <v>86386.01</v>
      </c>
      <c r="H485" s="3"/>
    </row>
    <row r="486" spans="1:8" x14ac:dyDescent="0.25">
      <c r="A486" s="1">
        <f t="shared" ref="A486:A491" si="83">("2723")*1</f>
        <v>2723</v>
      </c>
      <c r="B486" s="1" t="str">
        <f t="shared" ref="B486:B491" si="84"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C486" s="1" t="str">
        <f>"1"</f>
        <v>1</v>
      </c>
      <c r="D486" s="1" t="str">
        <f>"5"</f>
        <v>5</v>
      </c>
      <c r="E486" s="1" t="str">
        <f>"1"</f>
        <v>1</v>
      </c>
      <c r="F486" s="2">
        <v>5532354.4100000001</v>
      </c>
      <c r="H486" s="3"/>
    </row>
    <row r="487" spans="1:8" x14ac:dyDescent="0.25">
      <c r="A487" s="1">
        <f t="shared" si="83"/>
        <v>2723</v>
      </c>
      <c r="B487" s="1" t="str">
        <f t="shared" si="84"/>
        <v>Начисленные расходы по вкладу, являющемуся обеспечением обязательств клиентов</v>
      </c>
      <c r="C487" s="1" t="str">
        <f>"1"</f>
        <v>1</v>
      </c>
      <c r="D487" s="1" t="str">
        <f>"9"</f>
        <v>9</v>
      </c>
      <c r="E487" s="1" t="str">
        <f>"1"</f>
        <v>1</v>
      </c>
      <c r="F487" s="2">
        <v>450110.23</v>
      </c>
      <c r="H487" s="3"/>
    </row>
    <row r="488" spans="1:8" x14ac:dyDescent="0.25">
      <c r="A488" s="1">
        <f t="shared" si="83"/>
        <v>2723</v>
      </c>
      <c r="B488" s="1" t="str">
        <f t="shared" si="84"/>
        <v>Начисленные расходы по вкладу, являющемуся обеспечением обязательств клиентов</v>
      </c>
      <c r="C488" s="1" t="str">
        <f>"1"</f>
        <v>1</v>
      </c>
      <c r="D488" s="1" t="str">
        <f>"9"</f>
        <v>9</v>
      </c>
      <c r="E488" s="1" t="str">
        <f>"2"</f>
        <v>2</v>
      </c>
      <c r="F488" s="2">
        <v>1423.72</v>
      </c>
      <c r="H488" s="3"/>
    </row>
    <row r="489" spans="1:8" x14ac:dyDescent="0.25">
      <c r="A489" s="1">
        <f t="shared" si="83"/>
        <v>2723</v>
      </c>
      <c r="B489" s="1" t="str">
        <f t="shared" si="84"/>
        <v>Начисленные расходы по вкладу, являющемуся обеспечением обязательств клиентов</v>
      </c>
      <c r="C489" s="1" t="str">
        <f>"1"</f>
        <v>1</v>
      </c>
      <c r="D489" s="1" t="str">
        <f>"7"</f>
        <v>7</v>
      </c>
      <c r="E489" s="1" t="str">
        <f>"1"</f>
        <v>1</v>
      </c>
      <c r="F489" s="2">
        <v>23463154.129999999</v>
      </c>
      <c r="H489" s="3"/>
    </row>
    <row r="490" spans="1:8" x14ac:dyDescent="0.25">
      <c r="A490" s="1">
        <f t="shared" si="83"/>
        <v>2723</v>
      </c>
      <c r="B490" s="1" t="str">
        <f t="shared" si="84"/>
        <v>Начисленные расходы по вкладу, являющемуся обеспечением обязательств клиентов</v>
      </c>
      <c r="C490" s="1" t="str">
        <f>"2"</f>
        <v>2</v>
      </c>
      <c r="D490" s="1" t="str">
        <f>"9"</f>
        <v>9</v>
      </c>
      <c r="E490" s="1" t="str">
        <f>"2"</f>
        <v>2</v>
      </c>
      <c r="F490" s="2">
        <v>123.22</v>
      </c>
      <c r="H490" s="3"/>
    </row>
    <row r="491" spans="1:8" x14ac:dyDescent="0.25">
      <c r="A491" s="1">
        <f t="shared" si="83"/>
        <v>2723</v>
      </c>
      <c r="B491" s="1" t="str">
        <f t="shared" si="84"/>
        <v>Начисленные расходы по вкладу, являющемуся обеспечением обязательств клиентов</v>
      </c>
      <c r="C491" s="1" t="str">
        <f t="shared" ref="C491:C505" si="85">"1"</f>
        <v>1</v>
      </c>
      <c r="D491" s="1" t="str">
        <f>"7"</f>
        <v>7</v>
      </c>
      <c r="E491" s="1" t="str">
        <f>"2"</f>
        <v>2</v>
      </c>
      <c r="F491" s="2">
        <v>5750563.7000000002</v>
      </c>
      <c r="H491" s="3"/>
    </row>
    <row r="492" spans="1:8" x14ac:dyDescent="0.25">
      <c r="A492" s="1">
        <f>("2724")*1</f>
        <v>2724</v>
      </c>
      <c r="B492" s="1" t="str">
        <f>"Начисленные расходы по сберегательным вкладам клиентов"</f>
        <v>Начисленные расходы по сберегательным вкладам клиентов</v>
      </c>
      <c r="C492" s="1" t="str">
        <f t="shared" si="85"/>
        <v>1</v>
      </c>
      <c r="D492" s="1" t="str">
        <f>"5"</f>
        <v>5</v>
      </c>
      <c r="E492" s="1" t="str">
        <f>"1"</f>
        <v>1</v>
      </c>
      <c r="F492" s="2">
        <v>2183.77</v>
      </c>
      <c r="H492" s="3"/>
    </row>
    <row r="493" spans="1:8" x14ac:dyDescent="0.25">
      <c r="A493" s="1">
        <f>("2724")*1</f>
        <v>2724</v>
      </c>
      <c r="B493" s="1" t="str">
        <f>"Начисленные расходы по сберегательным вкладам клиентов"</f>
        <v>Начисленные расходы по сберегательным вкладам клиентов</v>
      </c>
      <c r="C493" s="1" t="str">
        <f t="shared" si="85"/>
        <v>1</v>
      </c>
      <c r="D493" s="1" t="str">
        <f>"7"</f>
        <v>7</v>
      </c>
      <c r="E493" s="1" t="str">
        <f>"2"</f>
        <v>2</v>
      </c>
      <c r="F493" s="2">
        <v>121968.42</v>
      </c>
      <c r="H493" s="3"/>
    </row>
    <row r="494" spans="1:8" x14ac:dyDescent="0.25">
      <c r="A494" s="1">
        <f>("2724")*1</f>
        <v>2724</v>
      </c>
      <c r="B494" s="1" t="str">
        <f>"Начисленные расходы по сберегательным вкладам клиентов"</f>
        <v>Начисленные расходы по сберегательным вкладам клиентов</v>
      </c>
      <c r="C494" s="1" t="str">
        <f t="shared" si="85"/>
        <v>1</v>
      </c>
      <c r="D494" s="1" t="str">
        <f>"9"</f>
        <v>9</v>
      </c>
      <c r="E494" s="1" t="str">
        <f t="shared" ref="E494:E507" si="86">"1"</f>
        <v>1</v>
      </c>
      <c r="F494" s="2">
        <v>2324305.38</v>
      </c>
      <c r="H494" s="3"/>
    </row>
    <row r="495" spans="1:8" x14ac:dyDescent="0.25">
      <c r="A495" s="1">
        <f>("2724")*1</f>
        <v>2724</v>
      </c>
      <c r="B495" s="1" t="str">
        <f>"Начисленные расходы по сберегательным вкладам клиентов"</f>
        <v>Начисленные расходы по сберегательным вкладам клиентов</v>
      </c>
      <c r="C495" s="1" t="str">
        <f t="shared" si="85"/>
        <v>1</v>
      </c>
      <c r="D495" s="1" t="str">
        <f>"6"</f>
        <v>6</v>
      </c>
      <c r="E495" s="1" t="str">
        <f t="shared" si="86"/>
        <v>1</v>
      </c>
      <c r="F495" s="2">
        <v>1557041.1</v>
      </c>
      <c r="H495" s="3"/>
    </row>
    <row r="496" spans="1:8" x14ac:dyDescent="0.25">
      <c r="A496" s="1">
        <f>("2724")*1</f>
        <v>2724</v>
      </c>
      <c r="B496" s="1" t="str">
        <f>"Начисленные расходы по сберегательным вкладам клиентов"</f>
        <v>Начисленные расходы по сберегательным вкладам клиентов</v>
      </c>
      <c r="C496" s="1" t="str">
        <f t="shared" si="85"/>
        <v>1</v>
      </c>
      <c r="D496" s="1" t="str">
        <f>"7"</f>
        <v>7</v>
      </c>
      <c r="E496" s="1" t="str">
        <f t="shared" si="86"/>
        <v>1</v>
      </c>
      <c r="F496" s="2">
        <v>233805.73</v>
      </c>
      <c r="H496" s="3"/>
    </row>
    <row r="497" spans="1:8" x14ac:dyDescent="0.25">
      <c r="A497" s="1">
        <f>("2730")*1</f>
        <v>2730</v>
      </c>
      <c r="B497" s="1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C497" s="1" t="str">
        <f t="shared" si="85"/>
        <v>1</v>
      </c>
      <c r="D497" s="1" t="str">
        <f>"5"</f>
        <v>5</v>
      </c>
      <c r="E497" s="1" t="str">
        <f t="shared" si="86"/>
        <v>1</v>
      </c>
      <c r="F497" s="2">
        <v>674915714.88999999</v>
      </c>
      <c r="H497" s="3"/>
    </row>
    <row r="498" spans="1:8" x14ac:dyDescent="0.25">
      <c r="A498" s="1">
        <f>("2745")*1</f>
        <v>2745</v>
      </c>
      <c r="B498" s="1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C498" s="1" t="str">
        <f t="shared" si="85"/>
        <v>1</v>
      </c>
      <c r="D498" s="1" t="str">
        <f>"6"</f>
        <v>6</v>
      </c>
      <c r="E498" s="1" t="str">
        <f t="shared" si="86"/>
        <v>1</v>
      </c>
      <c r="F498" s="2">
        <v>10950.64</v>
      </c>
      <c r="H498" s="3"/>
    </row>
    <row r="499" spans="1:8" x14ac:dyDescent="0.25">
      <c r="A499" s="1">
        <f>("2745")*1</f>
        <v>2745</v>
      </c>
      <c r="B499" s="1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C499" s="1" t="str">
        <f t="shared" si="85"/>
        <v>1</v>
      </c>
      <c r="D499" s="1" t="str">
        <f>"9"</f>
        <v>9</v>
      </c>
      <c r="E499" s="1" t="str">
        <f t="shared" si="86"/>
        <v>1</v>
      </c>
      <c r="F499" s="2">
        <v>4573561.93</v>
      </c>
      <c r="H499" s="3"/>
    </row>
    <row r="500" spans="1:8" x14ac:dyDescent="0.25">
      <c r="A500" s="1">
        <f>("2745")*1</f>
        <v>2745</v>
      </c>
      <c r="B500" s="1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C500" s="1" t="str">
        <f t="shared" si="85"/>
        <v>1</v>
      </c>
      <c r="D500" s="1" t="str">
        <f>"7"</f>
        <v>7</v>
      </c>
      <c r="E500" s="1" t="str">
        <f t="shared" si="86"/>
        <v>1</v>
      </c>
      <c r="F500" s="2">
        <v>47754390.549999997</v>
      </c>
      <c r="H500" s="3"/>
    </row>
    <row r="501" spans="1:8" x14ac:dyDescent="0.25">
      <c r="A501" s="1">
        <f>("2756")*1</f>
        <v>2756</v>
      </c>
      <c r="B501" s="1" t="str">
        <f>"Начисленные расходы по субординированным облигациям"</f>
        <v>Начисленные расходы по субординированным облигациям</v>
      </c>
      <c r="C501" s="1" t="str">
        <f t="shared" si="85"/>
        <v>1</v>
      </c>
      <c r="D501" s="1" t="str">
        <f>"5"</f>
        <v>5</v>
      </c>
      <c r="E501" s="1" t="str">
        <f t="shared" si="86"/>
        <v>1</v>
      </c>
      <c r="F501" s="2">
        <v>1711598229.1700001</v>
      </c>
      <c r="H501" s="3"/>
    </row>
    <row r="502" spans="1:8" x14ac:dyDescent="0.25">
      <c r="A502" s="1">
        <f t="shared" ref="A502:A507" si="87">("2770")*1</f>
        <v>2770</v>
      </c>
      <c r="B502" s="1" t="str">
        <f t="shared" ref="B502:B507" si="88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C502" s="1" t="str">
        <f t="shared" si="85"/>
        <v>1</v>
      </c>
      <c r="D502" s="1" t="str">
        <f>"1"</f>
        <v>1</v>
      </c>
      <c r="E502" s="1" t="str">
        <f t="shared" si="86"/>
        <v>1</v>
      </c>
      <c r="F502" s="2">
        <v>37465</v>
      </c>
      <c r="H502" s="3"/>
    </row>
    <row r="503" spans="1:8" x14ac:dyDescent="0.25">
      <c r="A503" s="1">
        <f t="shared" si="87"/>
        <v>2770</v>
      </c>
      <c r="B503" s="1" t="str">
        <f t="shared" si="88"/>
        <v>Начисленные расходы по административно-хозяйственной деятельности</v>
      </c>
      <c r="C503" s="1" t="str">
        <f t="shared" si="85"/>
        <v>1</v>
      </c>
      <c r="D503" s="1" t="str">
        <f>"6"</f>
        <v>6</v>
      </c>
      <c r="E503" s="1" t="str">
        <f t="shared" si="86"/>
        <v>1</v>
      </c>
      <c r="F503" s="2">
        <v>17505885.82</v>
      </c>
      <c r="H503" s="3"/>
    </row>
    <row r="504" spans="1:8" x14ac:dyDescent="0.25">
      <c r="A504" s="1">
        <f t="shared" si="87"/>
        <v>2770</v>
      </c>
      <c r="B504" s="1" t="str">
        <f t="shared" si="88"/>
        <v>Начисленные расходы по административно-хозяйственной деятельности</v>
      </c>
      <c r="C504" s="1" t="str">
        <f t="shared" si="85"/>
        <v>1</v>
      </c>
      <c r="D504" s="1" t="str">
        <f>"9"</f>
        <v>9</v>
      </c>
      <c r="E504" s="1" t="str">
        <f t="shared" si="86"/>
        <v>1</v>
      </c>
      <c r="F504" s="2">
        <v>21365528.73</v>
      </c>
      <c r="H504" s="3"/>
    </row>
    <row r="505" spans="1:8" x14ac:dyDescent="0.25">
      <c r="A505" s="1">
        <f t="shared" si="87"/>
        <v>2770</v>
      </c>
      <c r="B505" s="1" t="str">
        <f t="shared" si="88"/>
        <v>Начисленные расходы по административно-хозяйственной деятельности</v>
      </c>
      <c r="C505" s="1" t="str">
        <f t="shared" si="85"/>
        <v>1</v>
      </c>
      <c r="D505" s="1" t="str">
        <f>"7"</f>
        <v>7</v>
      </c>
      <c r="E505" s="1" t="str">
        <f t="shared" si="86"/>
        <v>1</v>
      </c>
      <c r="F505" s="2">
        <v>258125188.36000001</v>
      </c>
      <c r="H505" s="3"/>
    </row>
    <row r="506" spans="1:8" x14ac:dyDescent="0.25">
      <c r="A506" s="1">
        <f t="shared" si="87"/>
        <v>2770</v>
      </c>
      <c r="B506" s="1" t="str">
        <f t="shared" si="88"/>
        <v>Начисленные расходы по административно-хозяйственной деятельности</v>
      </c>
      <c r="C506" s="1" t="str">
        <f>"2"</f>
        <v>2</v>
      </c>
      <c r="D506" s="1" t="str">
        <f>"7"</f>
        <v>7</v>
      </c>
      <c r="E506" s="1" t="str">
        <f t="shared" si="86"/>
        <v>1</v>
      </c>
      <c r="F506" s="2">
        <v>74220091.370000005</v>
      </c>
      <c r="H506" s="3"/>
    </row>
    <row r="507" spans="1:8" x14ac:dyDescent="0.25">
      <c r="A507" s="1">
        <f t="shared" si="87"/>
        <v>2770</v>
      </c>
      <c r="B507" s="1" t="str">
        <f t="shared" si="88"/>
        <v>Начисленные расходы по административно-хозяйственной деятельности</v>
      </c>
      <c r="C507" s="1" t="str">
        <f>"1"</f>
        <v>1</v>
      </c>
      <c r="D507" s="1" t="str">
        <f>"8"</f>
        <v>8</v>
      </c>
      <c r="E507" s="1" t="str">
        <f t="shared" si="86"/>
        <v>1</v>
      </c>
      <c r="F507" s="2">
        <v>2187195.81</v>
      </c>
      <c r="H507" s="3"/>
    </row>
    <row r="508" spans="1:8" x14ac:dyDescent="0.25">
      <c r="A508" s="1">
        <f>("2792")*1</f>
        <v>2792</v>
      </c>
      <c r="B508" s="1" t="str">
        <f>"Предоплата вознаграждения по предоставленным займам"</f>
        <v>Предоплата вознаграждения по предоставленным займам</v>
      </c>
      <c r="C508" s="1" t="str">
        <f>"2"</f>
        <v>2</v>
      </c>
      <c r="D508" s="1" t="str">
        <f>"7"</f>
        <v>7</v>
      </c>
      <c r="E508" s="1" t="str">
        <f>"3"</f>
        <v>3</v>
      </c>
      <c r="F508" s="2">
        <v>2813184.35</v>
      </c>
      <c r="H508" s="3"/>
    </row>
    <row r="509" spans="1:8" x14ac:dyDescent="0.25">
      <c r="A509" s="1">
        <f>("2792")*1</f>
        <v>2792</v>
      </c>
      <c r="B509" s="1" t="str">
        <f>"Предоплата вознаграждения по предоставленным займам"</f>
        <v>Предоплата вознаграждения по предоставленным займам</v>
      </c>
      <c r="C509" s="1" t="str">
        <f>"2"</f>
        <v>2</v>
      </c>
      <c r="D509" s="1" t="str">
        <f>"7"</f>
        <v>7</v>
      </c>
      <c r="E509" s="1" t="str">
        <f>"2"</f>
        <v>2</v>
      </c>
      <c r="F509" s="2">
        <v>168260.65</v>
      </c>
      <c r="H509" s="3"/>
    </row>
    <row r="510" spans="1:8" x14ac:dyDescent="0.25">
      <c r="A510" s="1">
        <f t="shared" ref="A510:A520" si="89">("2794")*1</f>
        <v>2794</v>
      </c>
      <c r="B510" s="1" t="str">
        <f t="shared" ref="B510:B520" si="90">"Доходы будущих периодов"</f>
        <v>Доходы будущих периодов</v>
      </c>
      <c r="C510" s="1" t="str">
        <f>"1"</f>
        <v>1</v>
      </c>
      <c r="D510" s="1" t="str">
        <f>"7"</f>
        <v>7</v>
      </c>
      <c r="E510" s="1" t="str">
        <f>"3"</f>
        <v>3</v>
      </c>
      <c r="F510" s="2">
        <v>2698722.63</v>
      </c>
      <c r="H510" s="3"/>
    </row>
    <row r="511" spans="1:8" x14ac:dyDescent="0.25">
      <c r="A511" s="1">
        <f t="shared" si="89"/>
        <v>2794</v>
      </c>
      <c r="B511" s="1" t="str">
        <f t="shared" si="90"/>
        <v>Доходы будущих периодов</v>
      </c>
      <c r="C511" s="1" t="str">
        <f>"2"</f>
        <v>2</v>
      </c>
      <c r="D511" s="1" t="str">
        <f>"7"</f>
        <v>7</v>
      </c>
      <c r="E511" s="1" t="str">
        <f>"2"</f>
        <v>2</v>
      </c>
      <c r="F511" s="2">
        <v>3741492.19</v>
      </c>
      <c r="H511" s="3"/>
    </row>
    <row r="512" spans="1:8" x14ac:dyDescent="0.25">
      <c r="A512" s="1">
        <f t="shared" si="89"/>
        <v>2794</v>
      </c>
      <c r="B512" s="1" t="str">
        <f t="shared" si="90"/>
        <v>Доходы будущих периодов</v>
      </c>
      <c r="C512" s="1" t="str">
        <f>"1"</f>
        <v>1</v>
      </c>
      <c r="D512" s="1" t="str">
        <f>"9"</f>
        <v>9</v>
      </c>
      <c r="E512" s="1" t="str">
        <f>"1"</f>
        <v>1</v>
      </c>
      <c r="F512" s="2">
        <v>165380947.59999999</v>
      </c>
      <c r="H512" s="3"/>
    </row>
    <row r="513" spans="1:8" x14ac:dyDescent="0.25">
      <c r="A513" s="1">
        <f t="shared" si="89"/>
        <v>2794</v>
      </c>
      <c r="B513" s="1" t="str">
        <f t="shared" si="90"/>
        <v>Доходы будущих периодов</v>
      </c>
      <c r="C513" s="1" t="str">
        <f>"2"</f>
        <v>2</v>
      </c>
      <c r="D513" s="1" t="str">
        <f>"7"</f>
        <v>7</v>
      </c>
      <c r="E513" s="1" t="str">
        <f>"1"</f>
        <v>1</v>
      </c>
      <c r="F513" s="2">
        <v>7186189.1900000004</v>
      </c>
      <c r="H513" s="3"/>
    </row>
    <row r="514" spans="1:8" x14ac:dyDescent="0.25">
      <c r="A514" s="1">
        <f t="shared" si="89"/>
        <v>2794</v>
      </c>
      <c r="B514" s="1" t="str">
        <f t="shared" si="90"/>
        <v>Доходы будущих периодов</v>
      </c>
      <c r="C514" s="1" t="str">
        <f>"1"</f>
        <v>1</v>
      </c>
      <c r="D514" s="1" t="str">
        <f>"7"</f>
        <v>7</v>
      </c>
      <c r="E514" s="1" t="str">
        <f>"2"</f>
        <v>2</v>
      </c>
      <c r="F514" s="2">
        <v>3175120.69</v>
      </c>
      <c r="H514" s="3"/>
    </row>
    <row r="515" spans="1:8" x14ac:dyDescent="0.25">
      <c r="A515" s="1">
        <f t="shared" si="89"/>
        <v>2794</v>
      </c>
      <c r="B515" s="1" t="str">
        <f t="shared" si="90"/>
        <v>Доходы будущих периодов</v>
      </c>
      <c r="C515" s="1" t="str">
        <f>"2"</f>
        <v>2</v>
      </c>
      <c r="D515" s="1" t="str">
        <f>"7"</f>
        <v>7</v>
      </c>
      <c r="E515" s="1" t="str">
        <f>"3"</f>
        <v>3</v>
      </c>
      <c r="F515" s="2">
        <v>1915573.2</v>
      </c>
      <c r="H515" s="3"/>
    </row>
    <row r="516" spans="1:8" x14ac:dyDescent="0.25">
      <c r="A516" s="1">
        <f t="shared" si="89"/>
        <v>2794</v>
      </c>
      <c r="B516" s="1" t="str">
        <f t="shared" si="90"/>
        <v>Доходы будущих периодов</v>
      </c>
      <c r="C516" s="1" t="str">
        <f>"1"</f>
        <v>1</v>
      </c>
      <c r="D516" s="1" t="str">
        <f>"7"</f>
        <v>7</v>
      </c>
      <c r="E516" s="1" t="str">
        <f t="shared" ref="E516:E522" si="91">"1"</f>
        <v>1</v>
      </c>
      <c r="F516" s="2">
        <v>261629641.40000001</v>
      </c>
      <c r="H516" s="3"/>
    </row>
    <row r="517" spans="1:8" x14ac:dyDescent="0.25">
      <c r="A517" s="1">
        <f t="shared" si="89"/>
        <v>2794</v>
      </c>
      <c r="B517" s="1" t="str">
        <f t="shared" si="90"/>
        <v>Доходы будущих периодов</v>
      </c>
      <c r="C517" s="1" t="str">
        <f>"1"</f>
        <v>1</v>
      </c>
      <c r="D517" s="1" t="str">
        <f>"5"</f>
        <v>5</v>
      </c>
      <c r="E517" s="1" t="str">
        <f t="shared" si="91"/>
        <v>1</v>
      </c>
      <c r="F517" s="2">
        <v>39503804.920000002</v>
      </c>
      <c r="H517" s="3"/>
    </row>
    <row r="518" spans="1:8" x14ac:dyDescent="0.25">
      <c r="A518" s="1">
        <f t="shared" si="89"/>
        <v>2794</v>
      </c>
      <c r="B518" s="1" t="str">
        <f t="shared" si="90"/>
        <v>Доходы будущих периодов</v>
      </c>
      <c r="C518" s="1" t="str">
        <f>"1"</f>
        <v>1</v>
      </c>
      <c r="D518" s="1" t="str">
        <f>"8"</f>
        <v>8</v>
      </c>
      <c r="E518" s="1" t="str">
        <f t="shared" si="91"/>
        <v>1</v>
      </c>
      <c r="F518" s="2">
        <v>34764.839999999997</v>
      </c>
      <c r="H518" s="3"/>
    </row>
    <row r="519" spans="1:8" x14ac:dyDescent="0.25">
      <c r="A519" s="1">
        <f t="shared" si="89"/>
        <v>2794</v>
      </c>
      <c r="B519" s="1" t="str">
        <f t="shared" si="90"/>
        <v>Доходы будущих периодов</v>
      </c>
      <c r="C519" s="1" t="str">
        <f>"2"</f>
        <v>2</v>
      </c>
      <c r="D519" s="1" t="str">
        <f>"9"</f>
        <v>9</v>
      </c>
      <c r="E519" s="1" t="str">
        <f t="shared" si="91"/>
        <v>1</v>
      </c>
      <c r="F519" s="2">
        <v>14487964.4</v>
      </c>
      <c r="H519" s="3"/>
    </row>
    <row r="520" spans="1:8" x14ac:dyDescent="0.25">
      <c r="A520" s="1">
        <f t="shared" si="89"/>
        <v>2794</v>
      </c>
      <c r="B520" s="1" t="str">
        <f t="shared" si="90"/>
        <v>Доходы будущих периодов</v>
      </c>
      <c r="C520" s="1" t="str">
        <f>"1"</f>
        <v>1</v>
      </c>
      <c r="D520" s="1" t="str">
        <f>"6"</f>
        <v>6</v>
      </c>
      <c r="E520" s="1" t="str">
        <f t="shared" si="91"/>
        <v>1</v>
      </c>
      <c r="F520" s="2">
        <v>834977.18</v>
      </c>
      <c r="H520" s="3"/>
    </row>
    <row r="521" spans="1:8" x14ac:dyDescent="0.25">
      <c r="A521" s="1">
        <f>("2799")*1</f>
        <v>2799</v>
      </c>
      <c r="B521" s="1" t="str">
        <f>"Прочие предоплаты"</f>
        <v>Прочие предоплаты</v>
      </c>
      <c r="C521" s="1" t="str">
        <f>"1"</f>
        <v>1</v>
      </c>
      <c r="D521" s="1" t="str">
        <f>"7"</f>
        <v>7</v>
      </c>
      <c r="E521" s="1" t="str">
        <f t="shared" si="91"/>
        <v>1</v>
      </c>
      <c r="F521" s="2">
        <v>1350500</v>
      </c>
      <c r="H521" s="3"/>
    </row>
    <row r="522" spans="1:8" x14ac:dyDescent="0.25">
      <c r="A522" s="1">
        <f>("2799")*1</f>
        <v>2799</v>
      </c>
      <c r="B522" s="1" t="str">
        <f>"Прочие предоплаты"</f>
        <v>Прочие предоплаты</v>
      </c>
      <c r="C522" s="1" t="str">
        <f>"1"</f>
        <v>1</v>
      </c>
      <c r="D522" s="1" t="str">
        <f>"9"</f>
        <v>9</v>
      </c>
      <c r="E522" s="1" t="str">
        <f t="shared" si="91"/>
        <v>1</v>
      </c>
      <c r="F522" s="2">
        <v>76868469.870000005</v>
      </c>
      <c r="H522" s="3"/>
    </row>
    <row r="523" spans="1:8" x14ac:dyDescent="0.25">
      <c r="A523" s="1">
        <f>("2811")*1</f>
        <v>2811</v>
      </c>
      <c r="B523" s="1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C523" s="1" t="str">
        <f>"1"</f>
        <v>1</v>
      </c>
      <c r="D523" s="1" t="str">
        <f>""</f>
        <v/>
      </c>
      <c r="E523" s="1" t="str">
        <f>"2"</f>
        <v>2</v>
      </c>
      <c r="F523" s="2">
        <v>17682.48</v>
      </c>
      <c r="H523" s="3"/>
    </row>
    <row r="524" spans="1:8" x14ac:dyDescent="0.25">
      <c r="A524" s="1">
        <f>("2811")*1</f>
        <v>2811</v>
      </c>
      <c r="B524" s="1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C524" s="1" t="str">
        <f>"1"</f>
        <v>1</v>
      </c>
      <c r="D524" s="1" t="str">
        <f>""</f>
        <v/>
      </c>
      <c r="E524" s="1" t="str">
        <f>"1"</f>
        <v>1</v>
      </c>
      <c r="F524" s="2">
        <v>20299433.48</v>
      </c>
      <c r="H524" s="3"/>
    </row>
    <row r="525" spans="1:8" x14ac:dyDescent="0.25">
      <c r="A525" s="1">
        <f>("2811")*1</f>
        <v>2811</v>
      </c>
      <c r="B525" s="1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C525" s="1" t="str">
        <f>"2"</f>
        <v>2</v>
      </c>
      <c r="D525" s="1" t="str">
        <f>""</f>
        <v/>
      </c>
      <c r="E525" s="1" t="str">
        <f>"2"</f>
        <v>2</v>
      </c>
      <c r="F525" s="2">
        <v>16548263.689999999</v>
      </c>
      <c r="H525" s="3"/>
    </row>
    <row r="526" spans="1:8" x14ac:dyDescent="0.25">
      <c r="A526" s="1">
        <f>("2812")*1</f>
        <v>2812</v>
      </c>
      <c r="B526" s="1" t="str">
        <f>"Начисленные комиссионные расходы по агентским услугам"</f>
        <v>Начисленные комиссионные расходы по агентским услугам</v>
      </c>
      <c r="C526" s="1" t="str">
        <f>"1"</f>
        <v>1</v>
      </c>
      <c r="D526" s="1" t="str">
        <f>""</f>
        <v/>
      </c>
      <c r="E526" s="1" t="str">
        <f>"1"</f>
        <v>1</v>
      </c>
      <c r="F526" s="2">
        <v>183000</v>
      </c>
      <c r="H526" s="3"/>
    </row>
    <row r="527" spans="1:8" x14ac:dyDescent="0.25">
      <c r="A527" s="1">
        <f>("2813")*1</f>
        <v>2813</v>
      </c>
      <c r="B527" s="1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C527" s="1" t="str">
        <f>"2"</f>
        <v>2</v>
      </c>
      <c r="D527" s="1" t="str">
        <f>""</f>
        <v/>
      </c>
      <c r="E527" s="1" t="str">
        <f>"2"</f>
        <v>2</v>
      </c>
      <c r="F527" s="2">
        <v>39362.26</v>
      </c>
      <c r="H527" s="3"/>
    </row>
    <row r="528" spans="1:8" x14ac:dyDescent="0.25">
      <c r="A528" s="1">
        <f>("2813")*1</f>
        <v>2813</v>
      </c>
      <c r="B528" s="1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C528" s="1" t="str">
        <f>"1"</f>
        <v>1</v>
      </c>
      <c r="D528" s="1" t="str">
        <f>""</f>
        <v/>
      </c>
      <c r="E528" s="1" t="str">
        <f>"1"</f>
        <v>1</v>
      </c>
      <c r="F528" s="2">
        <v>991057.73</v>
      </c>
      <c r="H528" s="3"/>
    </row>
    <row r="529" spans="1:8" x14ac:dyDescent="0.25">
      <c r="A529" s="1">
        <f>("2817")*1</f>
        <v>2817</v>
      </c>
      <c r="B529" s="1" t="str">
        <f>"Начисленные комиссионные расходы за услуги по открытию и ведению банковских счетов клиентов"</f>
        <v>Начисленные комиссионные расходы за услуги по открытию и ведению банковских счетов клиентов</v>
      </c>
      <c r="C529" s="1" t="str">
        <f>"2"</f>
        <v>2</v>
      </c>
      <c r="D529" s="1" t="str">
        <f>""</f>
        <v/>
      </c>
      <c r="E529" s="1" t="str">
        <f>"3"</f>
        <v>3</v>
      </c>
      <c r="F529" s="2">
        <v>347956.88</v>
      </c>
      <c r="H529" s="3"/>
    </row>
    <row r="530" spans="1:8" x14ac:dyDescent="0.25">
      <c r="A530" s="1">
        <f>("2817")*1</f>
        <v>2817</v>
      </c>
      <c r="B530" s="1" t="str">
        <f>"Начисленные комиссионные расходы за услуги по открытию и ведению банковских счетов клиентов"</f>
        <v>Начисленные комиссионные расходы за услуги по открытию и ведению банковских счетов клиентов</v>
      </c>
      <c r="C530" s="1" t="str">
        <f>"2"</f>
        <v>2</v>
      </c>
      <c r="D530" s="1" t="str">
        <f>""</f>
        <v/>
      </c>
      <c r="E530" s="1" t="str">
        <f>"1"</f>
        <v>1</v>
      </c>
      <c r="F530" s="2">
        <v>235682</v>
      </c>
      <c r="H530" s="3"/>
    </row>
    <row r="531" spans="1:8" x14ac:dyDescent="0.25">
      <c r="A531" s="1">
        <f>("2817")*1</f>
        <v>2817</v>
      </c>
      <c r="B531" s="1" t="str">
        <f>"Начисленные комиссионные расходы за услуги по открытию и ведению банковских счетов клиентов"</f>
        <v>Начисленные комиссионные расходы за услуги по открытию и ведению банковских счетов клиентов</v>
      </c>
      <c r="C531" s="1" t="str">
        <f>"2"</f>
        <v>2</v>
      </c>
      <c r="D531" s="1" t="str">
        <f>""</f>
        <v/>
      </c>
      <c r="E531" s="1" t="str">
        <f>"2"</f>
        <v>2</v>
      </c>
      <c r="F531" s="2">
        <v>7003385.75</v>
      </c>
      <c r="H531" s="3"/>
    </row>
    <row r="532" spans="1:8" x14ac:dyDescent="0.25">
      <c r="A532" s="1">
        <f>("2817")*1</f>
        <v>2817</v>
      </c>
      <c r="B532" s="1" t="str">
        <f>"Начисленные комиссионные расходы за услуги по открытию и ведению банковских счетов клиентов"</f>
        <v>Начисленные комиссионные расходы за услуги по открытию и ведению банковских счетов клиентов</v>
      </c>
      <c r="C532" s="1" t="str">
        <f>"1"</f>
        <v>1</v>
      </c>
      <c r="D532" s="1" t="str">
        <f>""</f>
        <v/>
      </c>
      <c r="E532" s="1" t="str">
        <f>"3"</f>
        <v>3</v>
      </c>
      <c r="F532" s="2">
        <v>68252.160000000003</v>
      </c>
      <c r="H532" s="3"/>
    </row>
    <row r="533" spans="1:8" x14ac:dyDescent="0.25">
      <c r="A533" s="1">
        <f>("2818")*1</f>
        <v>2818</v>
      </c>
      <c r="B533" s="1" t="str">
        <f>"Начисленные прочие комиссионные расходы"</f>
        <v>Начисленные прочие комиссионные расходы</v>
      </c>
      <c r="C533" s="1" t="str">
        <f>"1"</f>
        <v>1</v>
      </c>
      <c r="D533" s="1" t="str">
        <f>""</f>
        <v/>
      </c>
      <c r="E533" s="1" t="str">
        <f>"1"</f>
        <v>1</v>
      </c>
      <c r="F533" s="2">
        <v>12286792.630000001</v>
      </c>
      <c r="H533" s="3"/>
    </row>
    <row r="534" spans="1:8" x14ac:dyDescent="0.25">
      <c r="A534" s="1">
        <f>("2819")*1</f>
        <v>2819</v>
      </c>
      <c r="B534" s="1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C534" s="1" t="str">
        <f>"1"</f>
        <v>1</v>
      </c>
      <c r="D534" s="1" t="str">
        <f>""</f>
        <v/>
      </c>
      <c r="E534" s="1" t="str">
        <f>"1"</f>
        <v>1</v>
      </c>
      <c r="F534" s="2">
        <v>380900</v>
      </c>
      <c r="H534" s="3"/>
    </row>
    <row r="535" spans="1:8" x14ac:dyDescent="0.25">
      <c r="A535" s="1">
        <f>("2819")*1</f>
        <v>2819</v>
      </c>
      <c r="B535" s="1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C535" s="1" t="str">
        <f>"2"</f>
        <v>2</v>
      </c>
      <c r="D535" s="1" t="str">
        <f>""</f>
        <v/>
      </c>
      <c r="E535" s="1" t="str">
        <f>"1"</f>
        <v>1</v>
      </c>
      <c r="F535" s="2">
        <v>4010000</v>
      </c>
      <c r="H535" s="3"/>
    </row>
    <row r="536" spans="1:8" x14ac:dyDescent="0.25">
      <c r="A536" s="1">
        <f>("2820")*1</f>
        <v>2820</v>
      </c>
      <c r="B536" s="1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C536" s="1" t="str">
        <f>"1"</f>
        <v>1</v>
      </c>
      <c r="D536" s="1" t="str">
        <f>""</f>
        <v/>
      </c>
      <c r="E536" s="1" t="str">
        <f>"1"</f>
        <v>1</v>
      </c>
      <c r="F536" s="2">
        <v>189193329.28999999</v>
      </c>
      <c r="H536" s="3"/>
    </row>
    <row r="537" spans="1:8" x14ac:dyDescent="0.25">
      <c r="A537" s="1">
        <f>("2851")*1</f>
        <v>2851</v>
      </c>
      <c r="B537" s="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C537" s="1" t="str">
        <f>"1"</f>
        <v>1</v>
      </c>
      <c r="D537" s="1" t="str">
        <f>"1"</f>
        <v>1</v>
      </c>
      <c r="E537" s="1" t="str">
        <f>"1"</f>
        <v>1</v>
      </c>
      <c r="F537" s="2">
        <v>372163666.75999999</v>
      </c>
      <c r="H537" s="3"/>
    </row>
    <row r="538" spans="1:8" x14ac:dyDescent="0.25">
      <c r="A538" s="1">
        <f>("2854")*1</f>
        <v>2854</v>
      </c>
      <c r="B538" s="1" t="str">
        <f>"Расчеты с работниками"</f>
        <v>Расчеты с работниками</v>
      </c>
      <c r="C538" s="1" t="str">
        <f>""</f>
        <v/>
      </c>
      <c r="D538" s="1" t="str">
        <f>""</f>
        <v/>
      </c>
      <c r="E538" s="1" t="str">
        <f>""</f>
        <v/>
      </c>
      <c r="F538" s="2">
        <v>4576183647.1700001</v>
      </c>
      <c r="H538" s="3"/>
    </row>
    <row r="539" spans="1:8" x14ac:dyDescent="0.25">
      <c r="A539" s="1">
        <f>("2855")*1</f>
        <v>2855</v>
      </c>
      <c r="B539" s="1" t="str">
        <f>"Кредиторы по документарным расчетам"</f>
        <v>Кредиторы по документарным расчетам</v>
      </c>
      <c r="C539" s="1" t="str">
        <f>"1"</f>
        <v>1</v>
      </c>
      <c r="D539" s="1" t="str">
        <f>"5"</f>
        <v>5</v>
      </c>
      <c r="E539" s="1" t="str">
        <f>"2"</f>
        <v>2</v>
      </c>
      <c r="F539" s="2">
        <v>18575893.399999999</v>
      </c>
      <c r="H539" s="3"/>
    </row>
    <row r="540" spans="1:8" x14ac:dyDescent="0.25">
      <c r="A540" s="1">
        <f>("2855")*1</f>
        <v>2855</v>
      </c>
      <c r="B540" s="1" t="str">
        <f>"Кредиторы по документарным расчетам"</f>
        <v>Кредиторы по документарным расчетам</v>
      </c>
      <c r="C540" s="1" t="str">
        <f>"1"</f>
        <v>1</v>
      </c>
      <c r="D540" s="1" t="str">
        <f>"7"</f>
        <v>7</v>
      </c>
      <c r="E540" s="1" t="str">
        <f>"2"</f>
        <v>2</v>
      </c>
      <c r="F540" s="2">
        <v>1647121405.4200001</v>
      </c>
      <c r="H540" s="3"/>
    </row>
    <row r="541" spans="1:8" x14ac:dyDescent="0.25">
      <c r="A541" s="1">
        <f>("2856")*1</f>
        <v>2856</v>
      </c>
      <c r="B541" s="1" t="str">
        <f>"Кредиторы по капитальным вложениям"</f>
        <v>Кредиторы по капитальным вложениям</v>
      </c>
      <c r="C541" s="1" t="str">
        <f>"1"</f>
        <v>1</v>
      </c>
      <c r="D541" s="1" t="str">
        <f>"7"</f>
        <v>7</v>
      </c>
      <c r="E541" s="1" t="str">
        <f>"1"</f>
        <v>1</v>
      </c>
      <c r="F541" s="2">
        <v>3850000</v>
      </c>
      <c r="H541" s="3"/>
    </row>
    <row r="542" spans="1:8" x14ac:dyDescent="0.25">
      <c r="A542" s="1">
        <f>("2857")*1</f>
        <v>2857</v>
      </c>
      <c r="B542" s="1" t="str">
        <f>"Отложенные налоговые обязательства"</f>
        <v>Отложенные налоговые обязательства</v>
      </c>
      <c r="C542" s="1" t="str">
        <f>""</f>
        <v/>
      </c>
      <c r="D542" s="1" t="str">
        <f>""</f>
        <v/>
      </c>
      <c r="E542" s="1" t="str">
        <f>""</f>
        <v/>
      </c>
      <c r="F542" s="2">
        <v>17647682505.389999</v>
      </c>
      <c r="H542" s="3"/>
    </row>
    <row r="543" spans="1:8" x14ac:dyDescent="0.25">
      <c r="A543" s="1">
        <f t="shared" ref="A543:A559" si="92">("2860")*1</f>
        <v>2860</v>
      </c>
      <c r="B543" s="1" t="str">
        <f t="shared" ref="B543:B559" si="93">"Прочие кредиторы по банковской деятельности"</f>
        <v>Прочие кредиторы по банковской деятельности</v>
      </c>
      <c r="C543" s="1" t="str">
        <f>"1"</f>
        <v>1</v>
      </c>
      <c r="D543" s="1" t="str">
        <f>"5"</f>
        <v>5</v>
      </c>
      <c r="E543" s="1" t="str">
        <f>"1"</f>
        <v>1</v>
      </c>
      <c r="F543" s="2">
        <v>785419397.57000005</v>
      </c>
      <c r="H543" s="3"/>
    </row>
    <row r="544" spans="1:8" x14ac:dyDescent="0.25">
      <c r="A544" s="1">
        <f t="shared" si="92"/>
        <v>2860</v>
      </c>
      <c r="B544" s="1" t="str">
        <f t="shared" si="93"/>
        <v>Прочие кредиторы по банковской деятельности</v>
      </c>
      <c r="C544" s="1" t="str">
        <f>"1"</f>
        <v>1</v>
      </c>
      <c r="D544" s="1" t="str">
        <f>"4"</f>
        <v>4</v>
      </c>
      <c r="E544" s="1" t="str">
        <f>"1"</f>
        <v>1</v>
      </c>
      <c r="F544" s="2">
        <v>4623154044.5299997</v>
      </c>
      <c r="H544" s="3"/>
    </row>
    <row r="545" spans="1:8" x14ac:dyDescent="0.25">
      <c r="A545" s="1">
        <f t="shared" si="92"/>
        <v>2860</v>
      </c>
      <c r="B545" s="1" t="str">
        <f t="shared" si="93"/>
        <v>Прочие кредиторы по банковской деятельности</v>
      </c>
      <c r="C545" s="1" t="str">
        <f>"2"</f>
        <v>2</v>
      </c>
      <c r="D545" s="1" t="str">
        <f>"5"</f>
        <v>5</v>
      </c>
      <c r="E545" s="1" t="str">
        <f>"2"</f>
        <v>2</v>
      </c>
      <c r="F545" s="2">
        <v>402355431.38999999</v>
      </c>
      <c r="H545" s="3"/>
    </row>
    <row r="546" spans="1:8" x14ac:dyDescent="0.25">
      <c r="A546" s="1">
        <f t="shared" si="92"/>
        <v>2860</v>
      </c>
      <c r="B546" s="1" t="str">
        <f t="shared" si="93"/>
        <v>Прочие кредиторы по банковской деятельности</v>
      </c>
      <c r="C546" s="1" t="str">
        <f>"1"</f>
        <v>1</v>
      </c>
      <c r="D546" s="1" t="str">
        <f>"9"</f>
        <v>9</v>
      </c>
      <c r="E546" s="1" t="str">
        <f>"2"</f>
        <v>2</v>
      </c>
      <c r="F546" s="2">
        <v>15842185.08</v>
      </c>
      <c r="H546" s="3"/>
    </row>
    <row r="547" spans="1:8" x14ac:dyDescent="0.25">
      <c r="A547" s="1">
        <f t="shared" si="92"/>
        <v>2860</v>
      </c>
      <c r="B547" s="1" t="str">
        <f t="shared" si="93"/>
        <v>Прочие кредиторы по банковской деятельности</v>
      </c>
      <c r="C547" s="1" t="str">
        <f>"1"</f>
        <v>1</v>
      </c>
      <c r="D547" s="1" t="str">
        <f>"7"</f>
        <v>7</v>
      </c>
      <c r="E547" s="1" t="str">
        <f>"1"</f>
        <v>1</v>
      </c>
      <c r="F547" s="2">
        <v>14939565166.5</v>
      </c>
      <c r="H547" s="3"/>
    </row>
    <row r="548" spans="1:8" x14ac:dyDescent="0.25">
      <c r="A548" s="1">
        <f t="shared" si="92"/>
        <v>2860</v>
      </c>
      <c r="B548" s="1" t="str">
        <f t="shared" si="93"/>
        <v>Прочие кредиторы по банковской деятельности</v>
      </c>
      <c r="C548" s="1" t="str">
        <f>"1"</f>
        <v>1</v>
      </c>
      <c r="D548" s="1" t="str">
        <f>"3"</f>
        <v>3</v>
      </c>
      <c r="E548" s="1" t="str">
        <f>"1"</f>
        <v>1</v>
      </c>
      <c r="F548" s="2">
        <v>0.57999999999999996</v>
      </c>
      <c r="H548" s="3"/>
    </row>
    <row r="549" spans="1:8" x14ac:dyDescent="0.25">
      <c r="A549" s="1">
        <f t="shared" si="92"/>
        <v>2860</v>
      </c>
      <c r="B549" s="1" t="str">
        <f t="shared" si="93"/>
        <v>Прочие кредиторы по банковской деятельности</v>
      </c>
      <c r="C549" s="1" t="str">
        <f>"2"</f>
        <v>2</v>
      </c>
      <c r="D549" s="1" t="str">
        <f>"9"</f>
        <v>9</v>
      </c>
      <c r="E549" s="1" t="str">
        <f>"2"</f>
        <v>2</v>
      </c>
      <c r="F549" s="2">
        <v>237316.32</v>
      </c>
      <c r="H549" s="3"/>
    </row>
    <row r="550" spans="1:8" x14ac:dyDescent="0.25">
      <c r="A550" s="1">
        <f t="shared" si="92"/>
        <v>2860</v>
      </c>
      <c r="B550" s="1" t="str">
        <f t="shared" si="93"/>
        <v>Прочие кредиторы по банковской деятельности</v>
      </c>
      <c r="C550" s="1" t="str">
        <f>"1"</f>
        <v>1</v>
      </c>
      <c r="D550" s="1" t="str">
        <f>"1"</f>
        <v>1</v>
      </c>
      <c r="E550" s="1" t="str">
        <f>"1"</f>
        <v>1</v>
      </c>
      <c r="F550" s="2">
        <v>319661740.75999999</v>
      </c>
      <c r="H550" s="3"/>
    </row>
    <row r="551" spans="1:8" x14ac:dyDescent="0.25">
      <c r="A551" s="1">
        <f t="shared" si="92"/>
        <v>2860</v>
      </c>
      <c r="B551" s="1" t="str">
        <f t="shared" si="93"/>
        <v>Прочие кредиторы по банковской деятельности</v>
      </c>
      <c r="C551" s="1" t="str">
        <f>"1"</f>
        <v>1</v>
      </c>
      <c r="D551" s="1" t="str">
        <f>"9"</f>
        <v>9</v>
      </c>
      <c r="E551" s="1" t="str">
        <f>"1"</f>
        <v>1</v>
      </c>
      <c r="F551" s="2">
        <v>2839438286.3200002</v>
      </c>
      <c r="H551" s="3"/>
    </row>
    <row r="552" spans="1:8" x14ac:dyDescent="0.25">
      <c r="A552" s="1">
        <f t="shared" si="92"/>
        <v>2860</v>
      </c>
      <c r="B552" s="1" t="str">
        <f t="shared" si="93"/>
        <v>Прочие кредиторы по банковской деятельности</v>
      </c>
      <c r="C552" s="1" t="str">
        <f>"2"</f>
        <v>2</v>
      </c>
      <c r="D552" s="1" t="str">
        <f>"4"</f>
        <v>4</v>
      </c>
      <c r="E552" s="1" t="str">
        <f>"2"</f>
        <v>2</v>
      </c>
      <c r="F552" s="2">
        <v>68917445.109999999</v>
      </c>
      <c r="H552" s="3"/>
    </row>
    <row r="553" spans="1:8" x14ac:dyDescent="0.25">
      <c r="A553" s="1">
        <f t="shared" si="92"/>
        <v>2860</v>
      </c>
      <c r="B553" s="1" t="str">
        <f t="shared" si="93"/>
        <v>Прочие кредиторы по банковской деятельности</v>
      </c>
      <c r="C553" s="1" t="str">
        <f>"2"</f>
        <v>2</v>
      </c>
      <c r="D553" s="1" t="str">
        <f>"9"</f>
        <v>9</v>
      </c>
      <c r="E553" s="1" t="str">
        <f>"3"</f>
        <v>3</v>
      </c>
      <c r="F553" s="2">
        <v>60884.639999999999</v>
      </c>
      <c r="H553" s="3"/>
    </row>
    <row r="554" spans="1:8" x14ac:dyDescent="0.25">
      <c r="A554" s="1">
        <f t="shared" si="92"/>
        <v>2860</v>
      </c>
      <c r="B554" s="1" t="str">
        <f t="shared" si="93"/>
        <v>Прочие кредиторы по банковской деятельности</v>
      </c>
      <c r="C554" s="1" t="str">
        <f>"1"</f>
        <v>1</v>
      </c>
      <c r="D554" s="1" t="str">
        <f>"6"</f>
        <v>6</v>
      </c>
      <c r="E554" s="1" t="str">
        <f>"1"</f>
        <v>1</v>
      </c>
      <c r="F554" s="2">
        <v>4364105.4800000004</v>
      </c>
      <c r="H554" s="3"/>
    </row>
    <row r="555" spans="1:8" x14ac:dyDescent="0.25">
      <c r="A555" s="1">
        <f t="shared" si="92"/>
        <v>2860</v>
      </c>
      <c r="B555" s="1" t="str">
        <f t="shared" si="93"/>
        <v>Прочие кредиторы по банковской деятельности</v>
      </c>
      <c r="C555" s="1" t="str">
        <f>"2"</f>
        <v>2</v>
      </c>
      <c r="D555" s="1" t="str">
        <f>"7"</f>
        <v>7</v>
      </c>
      <c r="E555" s="1" t="str">
        <f>"2"</f>
        <v>2</v>
      </c>
      <c r="F555" s="2">
        <v>122671.96</v>
      </c>
      <c r="H555" s="3"/>
    </row>
    <row r="556" spans="1:8" x14ac:dyDescent="0.25">
      <c r="A556" s="1">
        <f t="shared" si="92"/>
        <v>2860</v>
      </c>
      <c r="B556" s="1" t="str">
        <f t="shared" si="93"/>
        <v>Прочие кредиторы по банковской деятельности</v>
      </c>
      <c r="C556" s="1" t="str">
        <f>"1"</f>
        <v>1</v>
      </c>
      <c r="D556" s="1" t="str">
        <f>"9"</f>
        <v>9</v>
      </c>
      <c r="E556" s="1" t="str">
        <f>"3"</f>
        <v>3</v>
      </c>
      <c r="F556" s="2">
        <v>219806.59</v>
      </c>
      <c r="H556" s="3"/>
    </row>
    <row r="557" spans="1:8" x14ac:dyDescent="0.25">
      <c r="A557" s="1">
        <f t="shared" si="92"/>
        <v>2860</v>
      </c>
      <c r="B557" s="1" t="str">
        <f t="shared" si="93"/>
        <v>Прочие кредиторы по банковской деятельности</v>
      </c>
      <c r="C557" s="1" t="str">
        <f>"2"</f>
        <v>2</v>
      </c>
      <c r="D557" s="1" t="str">
        <f>"9"</f>
        <v>9</v>
      </c>
      <c r="E557" s="1" t="str">
        <f>"1"</f>
        <v>1</v>
      </c>
      <c r="F557" s="2">
        <v>15781941.109999999</v>
      </c>
      <c r="H557" s="3"/>
    </row>
    <row r="558" spans="1:8" x14ac:dyDescent="0.25">
      <c r="A558" s="1">
        <f t="shared" si="92"/>
        <v>2860</v>
      </c>
      <c r="B558" s="1" t="str">
        <f t="shared" si="93"/>
        <v>Прочие кредиторы по банковской деятельности</v>
      </c>
      <c r="C558" s="1" t="str">
        <f>"2"</f>
        <v>2</v>
      </c>
      <c r="D558" s="1" t="str">
        <f>"7"</f>
        <v>7</v>
      </c>
      <c r="E558" s="1" t="str">
        <f>"1"</f>
        <v>1</v>
      </c>
      <c r="F558" s="2">
        <v>253843246.19</v>
      </c>
      <c r="H558" s="3"/>
    </row>
    <row r="559" spans="1:8" x14ac:dyDescent="0.25">
      <c r="A559" s="1">
        <f t="shared" si="92"/>
        <v>2860</v>
      </c>
      <c r="B559" s="1" t="str">
        <f t="shared" si="93"/>
        <v>Прочие кредиторы по банковской деятельности</v>
      </c>
      <c r="C559" s="1" t="str">
        <f>"2"</f>
        <v>2</v>
      </c>
      <c r="D559" s="1" t="str">
        <f>"7"</f>
        <v>7</v>
      </c>
      <c r="E559" s="1" t="str">
        <f>"3"</f>
        <v>3</v>
      </c>
      <c r="F559" s="2">
        <v>943354.69</v>
      </c>
      <c r="H559" s="3"/>
    </row>
    <row r="560" spans="1:8" x14ac:dyDescent="0.25">
      <c r="A560" s="1">
        <f>("2861")*1</f>
        <v>2861</v>
      </c>
      <c r="B560" s="1" t="str">
        <f>"Резерв на отпускные выплаты"</f>
        <v>Резерв на отпускные выплаты</v>
      </c>
      <c r="C560" s="1" t="str">
        <f>""</f>
        <v/>
      </c>
      <c r="D560" s="1" t="str">
        <f>""</f>
        <v/>
      </c>
      <c r="E560" s="1" t="str">
        <f>""</f>
        <v/>
      </c>
      <c r="F560" s="2">
        <v>1694288679.01</v>
      </c>
      <c r="H560" s="3"/>
    </row>
    <row r="561" spans="1:8" x14ac:dyDescent="0.25">
      <c r="A561" s="1">
        <f>("2865")*1</f>
        <v>2865</v>
      </c>
      <c r="B561" s="1" t="str">
        <f>"Обязательства по выпущенным электронным деньгам"</f>
        <v>Обязательства по выпущенным электронным деньгам</v>
      </c>
      <c r="C561" s="1" t="str">
        <f t="shared" ref="C561:C570" si="94">"1"</f>
        <v>1</v>
      </c>
      <c r="D561" s="1" t="str">
        <f>"9"</f>
        <v>9</v>
      </c>
      <c r="E561" s="1" t="str">
        <f>"1"</f>
        <v>1</v>
      </c>
      <c r="F561" s="2">
        <v>1054610.54</v>
      </c>
      <c r="H561" s="3"/>
    </row>
    <row r="562" spans="1:8" x14ac:dyDescent="0.25">
      <c r="A562" s="1">
        <f>("2865")*1</f>
        <v>2865</v>
      </c>
      <c r="B562" s="1" t="str">
        <f>"Обязательства по выпущенным электронным деньгам"</f>
        <v>Обязательства по выпущенным электронным деньгам</v>
      </c>
      <c r="C562" s="1" t="str">
        <f t="shared" si="94"/>
        <v>1</v>
      </c>
      <c r="D562" s="1" t="str">
        <f>"7"</f>
        <v>7</v>
      </c>
      <c r="E562" s="1" t="str">
        <f>"1"</f>
        <v>1</v>
      </c>
      <c r="F562" s="2">
        <v>517705253.81</v>
      </c>
      <c r="H562" s="3"/>
    </row>
    <row r="563" spans="1:8" x14ac:dyDescent="0.25">
      <c r="A563" s="1">
        <f>("2867")*1</f>
        <v>2867</v>
      </c>
      <c r="B563" s="1" t="str">
        <f>"Прочие кредиторы по неосновной деятельности"</f>
        <v>Прочие кредиторы по неосновной деятельности</v>
      </c>
      <c r="C563" s="1" t="str">
        <f t="shared" si="94"/>
        <v>1</v>
      </c>
      <c r="D563" s="1" t="str">
        <f>"7"</f>
        <v>7</v>
      </c>
      <c r="E563" s="1" t="str">
        <f>"1"</f>
        <v>1</v>
      </c>
      <c r="F563" s="2">
        <v>1676813.66</v>
      </c>
      <c r="H563" s="3"/>
    </row>
    <row r="564" spans="1:8" x14ac:dyDescent="0.25">
      <c r="A564" s="1">
        <f t="shared" ref="A564:A570" si="95">("2869")*1</f>
        <v>2869</v>
      </c>
      <c r="B564" s="1" t="str">
        <f t="shared" ref="B564:B570" si="96">"Выданные гарантии"</f>
        <v>Выданные гарантии</v>
      </c>
      <c r="C564" s="1" t="str">
        <f t="shared" si="94"/>
        <v>1</v>
      </c>
      <c r="D564" s="1" t="str">
        <f>"7"</f>
        <v>7</v>
      </c>
      <c r="E564" s="1" t="str">
        <f>"1"</f>
        <v>1</v>
      </c>
      <c r="F564" s="2">
        <v>208316956.36000001</v>
      </c>
      <c r="H564" s="3"/>
    </row>
    <row r="565" spans="1:8" x14ac:dyDescent="0.25">
      <c r="A565" s="1">
        <f t="shared" si="95"/>
        <v>2869</v>
      </c>
      <c r="B565" s="1" t="str">
        <f t="shared" si="96"/>
        <v>Выданные гарантии</v>
      </c>
      <c r="C565" s="1" t="str">
        <f t="shared" si="94"/>
        <v>1</v>
      </c>
      <c r="D565" s="1" t="str">
        <f>"5"</f>
        <v>5</v>
      </c>
      <c r="E565" s="1" t="str">
        <f>"1"</f>
        <v>1</v>
      </c>
      <c r="F565" s="2">
        <v>26004.98</v>
      </c>
      <c r="H565" s="3"/>
    </row>
    <row r="566" spans="1:8" x14ac:dyDescent="0.25">
      <c r="A566" s="1">
        <f t="shared" si="95"/>
        <v>2869</v>
      </c>
      <c r="B566" s="1" t="str">
        <f t="shared" si="96"/>
        <v>Выданные гарантии</v>
      </c>
      <c r="C566" s="1" t="str">
        <f t="shared" si="94"/>
        <v>1</v>
      </c>
      <c r="D566" s="1" t="str">
        <f>"7"</f>
        <v>7</v>
      </c>
      <c r="E566" s="1" t="str">
        <f>"3"</f>
        <v>3</v>
      </c>
      <c r="F566" s="2">
        <v>10793299.550000001</v>
      </c>
      <c r="H566" s="3"/>
    </row>
    <row r="567" spans="1:8" x14ac:dyDescent="0.25">
      <c r="A567" s="1">
        <f t="shared" si="95"/>
        <v>2869</v>
      </c>
      <c r="B567" s="1" t="str">
        <f t="shared" si="96"/>
        <v>Выданные гарантии</v>
      </c>
      <c r="C567" s="1" t="str">
        <f t="shared" si="94"/>
        <v>1</v>
      </c>
      <c r="D567" s="1" t="str">
        <f>"7"</f>
        <v>7</v>
      </c>
      <c r="E567" s="1" t="str">
        <f>"2"</f>
        <v>2</v>
      </c>
      <c r="F567" s="2">
        <v>63945507.490000002</v>
      </c>
      <c r="H567" s="3"/>
    </row>
    <row r="568" spans="1:8" x14ac:dyDescent="0.25">
      <c r="A568" s="1">
        <f t="shared" si="95"/>
        <v>2869</v>
      </c>
      <c r="B568" s="1" t="str">
        <f t="shared" si="96"/>
        <v>Выданные гарантии</v>
      </c>
      <c r="C568" s="1" t="str">
        <f t="shared" si="94"/>
        <v>1</v>
      </c>
      <c r="D568" s="1" t="str">
        <f>"6"</f>
        <v>6</v>
      </c>
      <c r="E568" s="1" t="str">
        <f>"1"</f>
        <v>1</v>
      </c>
      <c r="F568" s="2">
        <v>223878.35</v>
      </c>
      <c r="H568" s="3"/>
    </row>
    <row r="569" spans="1:8" x14ac:dyDescent="0.25">
      <c r="A569" s="1">
        <f t="shared" si="95"/>
        <v>2869</v>
      </c>
      <c r="B569" s="1" t="str">
        <f t="shared" si="96"/>
        <v>Выданные гарантии</v>
      </c>
      <c r="C569" s="1" t="str">
        <f t="shared" si="94"/>
        <v>1</v>
      </c>
      <c r="D569" s="1" t="str">
        <f>"8"</f>
        <v>8</v>
      </c>
      <c r="E569" s="1" t="str">
        <f>"1"</f>
        <v>1</v>
      </c>
      <c r="F569" s="2">
        <v>74541.210000000006</v>
      </c>
      <c r="H569" s="3"/>
    </row>
    <row r="570" spans="1:8" x14ac:dyDescent="0.25">
      <c r="A570" s="1">
        <f t="shared" si="95"/>
        <v>2869</v>
      </c>
      <c r="B570" s="1" t="str">
        <f t="shared" si="96"/>
        <v>Выданные гарантии</v>
      </c>
      <c r="C570" s="1" t="str">
        <f t="shared" si="94"/>
        <v>1</v>
      </c>
      <c r="D570" s="1" t="str">
        <f>"9"</f>
        <v>9</v>
      </c>
      <c r="E570" s="1" t="str">
        <f>"1"</f>
        <v>1</v>
      </c>
      <c r="F570" s="2">
        <v>1032980.14</v>
      </c>
      <c r="H570" s="3"/>
    </row>
    <row r="571" spans="1:8" x14ac:dyDescent="0.25">
      <c r="A571" s="1">
        <f t="shared" ref="A571:A581" si="97">("2870")*1</f>
        <v>2870</v>
      </c>
      <c r="B571" s="1" t="str">
        <f t="shared" ref="B571:B581" si="98">"Прочие транзитные счета"</f>
        <v>Прочие транзитные счета</v>
      </c>
      <c r="C571" s="1" t="str">
        <f>"2"</f>
        <v>2</v>
      </c>
      <c r="D571" s="1" t="str">
        <f>"9"</f>
        <v>9</v>
      </c>
      <c r="E571" s="1" t="str">
        <f>"3"</f>
        <v>3</v>
      </c>
      <c r="F571" s="2">
        <v>1929643</v>
      </c>
      <c r="H571" s="3"/>
    </row>
    <row r="572" spans="1:8" x14ac:dyDescent="0.25">
      <c r="A572" s="1">
        <f t="shared" si="97"/>
        <v>2870</v>
      </c>
      <c r="B572" s="1" t="str">
        <f t="shared" si="98"/>
        <v>Прочие транзитные счета</v>
      </c>
      <c r="C572" s="1" t="str">
        <f>"1"</f>
        <v>1</v>
      </c>
      <c r="D572" s="1" t="str">
        <f>"9"</f>
        <v>9</v>
      </c>
      <c r="E572" s="1" t="str">
        <f>"1"</f>
        <v>1</v>
      </c>
      <c r="F572" s="2">
        <v>1988354967.339</v>
      </c>
      <c r="H572" s="3"/>
    </row>
    <row r="573" spans="1:8" x14ac:dyDescent="0.25">
      <c r="A573" s="1">
        <f t="shared" si="97"/>
        <v>2870</v>
      </c>
      <c r="B573" s="1" t="str">
        <f t="shared" si="98"/>
        <v>Прочие транзитные счета</v>
      </c>
      <c r="C573" s="1" t="str">
        <f>"1"</f>
        <v>1</v>
      </c>
      <c r="D573" s="1" t="str">
        <f>"7"</f>
        <v>7</v>
      </c>
      <c r="E573" s="1" t="str">
        <f>"1"</f>
        <v>1</v>
      </c>
      <c r="F573" s="2">
        <v>45034129.340000004</v>
      </c>
      <c r="H573" s="3"/>
    </row>
    <row r="574" spans="1:8" x14ac:dyDescent="0.25">
      <c r="A574" s="1">
        <f t="shared" si="97"/>
        <v>2870</v>
      </c>
      <c r="B574" s="1" t="str">
        <f t="shared" si="98"/>
        <v>Прочие транзитные счета</v>
      </c>
      <c r="C574" s="1" t="str">
        <f>"2"</f>
        <v>2</v>
      </c>
      <c r="D574" s="1" t="str">
        <f>"4"</f>
        <v>4</v>
      </c>
      <c r="E574" s="1" t="str">
        <f>"2"</f>
        <v>2</v>
      </c>
      <c r="F574" s="2">
        <v>7478953508.1300001</v>
      </c>
      <c r="H574" s="3"/>
    </row>
    <row r="575" spans="1:8" x14ac:dyDescent="0.25">
      <c r="A575" s="1">
        <f t="shared" si="97"/>
        <v>2870</v>
      </c>
      <c r="B575" s="1" t="str">
        <f t="shared" si="98"/>
        <v>Прочие транзитные счета</v>
      </c>
      <c r="C575" s="1" t="str">
        <f>"1"</f>
        <v>1</v>
      </c>
      <c r="D575" s="1" t="str">
        <f>"9"</f>
        <v>9</v>
      </c>
      <c r="E575" s="1" t="str">
        <f>"2"</f>
        <v>2</v>
      </c>
      <c r="F575" s="2">
        <v>1269703364.7</v>
      </c>
      <c r="H575" s="3"/>
    </row>
    <row r="576" spans="1:8" x14ac:dyDescent="0.25">
      <c r="A576" s="1">
        <f t="shared" si="97"/>
        <v>2870</v>
      </c>
      <c r="B576" s="1" t="str">
        <f t="shared" si="98"/>
        <v>Прочие транзитные счета</v>
      </c>
      <c r="C576" s="1" t="str">
        <f>"2"</f>
        <v>2</v>
      </c>
      <c r="D576" s="1" t="str">
        <f>"9"</f>
        <v>9</v>
      </c>
      <c r="E576" s="1" t="str">
        <f>"1"</f>
        <v>1</v>
      </c>
      <c r="F576" s="2">
        <v>9111040.1500000004</v>
      </c>
      <c r="H576" s="3"/>
    </row>
    <row r="577" spans="1:8" x14ac:dyDescent="0.25">
      <c r="A577" s="1">
        <f t="shared" si="97"/>
        <v>2870</v>
      </c>
      <c r="B577" s="1" t="str">
        <f t="shared" si="98"/>
        <v>Прочие транзитные счета</v>
      </c>
      <c r="C577" s="1" t="str">
        <f>"1"</f>
        <v>1</v>
      </c>
      <c r="D577" s="1" t="str">
        <f>"7"</f>
        <v>7</v>
      </c>
      <c r="E577" s="1" t="str">
        <f>"2"</f>
        <v>2</v>
      </c>
      <c r="F577" s="2">
        <v>79278258.099999994</v>
      </c>
      <c r="H577" s="3"/>
    </row>
    <row r="578" spans="1:8" x14ac:dyDescent="0.25">
      <c r="A578" s="1">
        <f t="shared" si="97"/>
        <v>2870</v>
      </c>
      <c r="B578" s="1" t="str">
        <f t="shared" si="98"/>
        <v>Прочие транзитные счета</v>
      </c>
      <c r="C578" s="1" t="str">
        <f>"2"</f>
        <v>2</v>
      </c>
      <c r="D578" s="1" t="str">
        <f>"4"</f>
        <v>4</v>
      </c>
      <c r="E578" s="1" t="str">
        <f>"3"</f>
        <v>3</v>
      </c>
      <c r="F578" s="2">
        <v>614509699.04999995</v>
      </c>
      <c r="H578" s="3"/>
    </row>
    <row r="579" spans="1:8" x14ac:dyDescent="0.25">
      <c r="A579" s="1">
        <f t="shared" si="97"/>
        <v>2870</v>
      </c>
      <c r="B579" s="1" t="str">
        <f t="shared" si="98"/>
        <v>Прочие транзитные счета</v>
      </c>
      <c r="C579" s="1" t="str">
        <f>"1"</f>
        <v>1</v>
      </c>
      <c r="D579" s="1" t="str">
        <f>"7"</f>
        <v>7</v>
      </c>
      <c r="E579" s="1" t="str">
        <f>"3"</f>
        <v>3</v>
      </c>
      <c r="F579" s="2">
        <v>6098835.5199999996</v>
      </c>
      <c r="H579" s="3"/>
    </row>
    <row r="580" spans="1:8" x14ac:dyDescent="0.25">
      <c r="A580" s="1">
        <f t="shared" si="97"/>
        <v>2870</v>
      </c>
      <c r="B580" s="1" t="str">
        <f t="shared" si="98"/>
        <v>Прочие транзитные счета</v>
      </c>
      <c r="C580" s="1" t="str">
        <f>"2"</f>
        <v>2</v>
      </c>
      <c r="D580" s="1" t="str">
        <f>"9"</f>
        <v>9</v>
      </c>
      <c r="E580" s="1" t="str">
        <f>"2"</f>
        <v>2</v>
      </c>
      <c r="F580" s="2">
        <v>10580732.16</v>
      </c>
      <c r="H580" s="3"/>
    </row>
    <row r="581" spans="1:8" x14ac:dyDescent="0.25">
      <c r="A581" s="1">
        <f t="shared" si="97"/>
        <v>2870</v>
      </c>
      <c r="B581" s="1" t="str">
        <f t="shared" si="98"/>
        <v>Прочие транзитные счета</v>
      </c>
      <c r="C581" s="1" t="str">
        <f>"1"</f>
        <v>1</v>
      </c>
      <c r="D581" s="1" t="str">
        <f>"9"</f>
        <v>9</v>
      </c>
      <c r="E581" s="1" t="str">
        <f>"3"</f>
        <v>3</v>
      </c>
      <c r="F581" s="2">
        <v>24003232.300000001</v>
      </c>
      <c r="H581" s="3"/>
    </row>
    <row r="582" spans="1:8" x14ac:dyDescent="0.25">
      <c r="A582" s="1">
        <f>("2874")*1</f>
        <v>2874</v>
      </c>
      <c r="B582" s="1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C582" s="1" t="str">
        <f>"1"</f>
        <v>1</v>
      </c>
      <c r="D582" s="1" t="str">
        <f>""</f>
        <v/>
      </c>
      <c r="E582" s="1" t="str">
        <f>"3"</f>
        <v>3</v>
      </c>
      <c r="F582" s="2">
        <v>25.72</v>
      </c>
      <c r="H582" s="3"/>
    </row>
    <row r="583" spans="1:8" x14ac:dyDescent="0.25">
      <c r="A583" s="1">
        <f>("2874")*1</f>
        <v>2874</v>
      </c>
      <c r="B583" s="1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C583" s="1" t="str">
        <f>"1"</f>
        <v>1</v>
      </c>
      <c r="D583" s="1" t="str">
        <f>""</f>
        <v/>
      </c>
      <c r="E583" s="1" t="str">
        <f>"2"</f>
        <v>2</v>
      </c>
      <c r="F583" s="2">
        <v>503940.98</v>
      </c>
      <c r="H583" s="3"/>
    </row>
    <row r="584" spans="1:8" x14ac:dyDescent="0.25">
      <c r="A584" s="1">
        <f>("2874")*1</f>
        <v>2874</v>
      </c>
      <c r="B584" s="1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C584" s="1" t="str">
        <f>"1"</f>
        <v>1</v>
      </c>
      <c r="D584" s="1" t="str">
        <f>""</f>
        <v/>
      </c>
      <c r="E584" s="1" t="str">
        <f>"1"</f>
        <v>1</v>
      </c>
      <c r="F584" s="2">
        <v>8753156.1999999993</v>
      </c>
      <c r="H584" s="3"/>
    </row>
    <row r="585" spans="1:8" x14ac:dyDescent="0.25">
      <c r="A585" s="1">
        <f>("2874")*1</f>
        <v>2874</v>
      </c>
      <c r="B585" s="1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C585" s="1" t="str">
        <f>"2"</f>
        <v>2</v>
      </c>
      <c r="D585" s="1" t="str">
        <f>""</f>
        <v/>
      </c>
      <c r="E585" s="1" t="str">
        <f>"1"</f>
        <v>1</v>
      </c>
      <c r="F585" s="2">
        <v>12000</v>
      </c>
      <c r="H585" s="3"/>
    </row>
    <row r="586" spans="1:8" x14ac:dyDescent="0.25">
      <c r="A586" s="1">
        <f>("2875")*1</f>
        <v>2875</v>
      </c>
      <c r="B586" s="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C586" s="1" t="str">
        <f>"2"</f>
        <v>2</v>
      </c>
      <c r="D586" s="1" t="str">
        <f>"7"</f>
        <v>7</v>
      </c>
      <c r="E586" s="1" t="str">
        <f>"2"</f>
        <v>2</v>
      </c>
      <c r="F586" s="2">
        <v>5543527.8200000003</v>
      </c>
      <c r="H586" s="3"/>
    </row>
    <row r="587" spans="1:8" x14ac:dyDescent="0.25">
      <c r="A587" s="1">
        <f>("2875")*1</f>
        <v>2875</v>
      </c>
      <c r="B587" s="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C587" s="1" t="str">
        <f>"1"</f>
        <v>1</v>
      </c>
      <c r="D587" s="1" t="str">
        <f>"7"</f>
        <v>7</v>
      </c>
      <c r="E587" s="1" t="str">
        <f>"1"</f>
        <v>1</v>
      </c>
      <c r="F587" s="2">
        <v>93603531.730000004</v>
      </c>
      <c r="H587" s="3"/>
    </row>
    <row r="588" spans="1:8" x14ac:dyDescent="0.25">
      <c r="A588" s="1">
        <f>("2875")*1</f>
        <v>2875</v>
      </c>
      <c r="B588" s="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C588" s="1" t="str">
        <f>"2"</f>
        <v>2</v>
      </c>
      <c r="D588" s="1" t="str">
        <f>"7"</f>
        <v>7</v>
      </c>
      <c r="E588" s="1" t="str">
        <f>"1"</f>
        <v>1</v>
      </c>
      <c r="F588" s="2">
        <v>1871304.32</v>
      </c>
      <c r="H588" s="3"/>
    </row>
    <row r="589" spans="1:8" x14ac:dyDescent="0.25">
      <c r="A589" s="1">
        <f>("2875")*1</f>
        <v>2875</v>
      </c>
      <c r="B589" s="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C589" s="1" t="str">
        <f>"1"</f>
        <v>1</v>
      </c>
      <c r="D589" s="1" t="str">
        <f>"9"</f>
        <v>9</v>
      </c>
      <c r="E589" s="1" t="str">
        <f>"1"</f>
        <v>1</v>
      </c>
      <c r="F589" s="2">
        <v>9962205.5800000001</v>
      </c>
      <c r="H589" s="3"/>
    </row>
    <row r="590" spans="1:8" x14ac:dyDescent="0.25">
      <c r="A590" s="1">
        <f>("2875")*1</f>
        <v>2875</v>
      </c>
      <c r="B590" s="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C590" s="1" t="str">
        <f>"1"</f>
        <v>1</v>
      </c>
      <c r="D590" s="1" t="str">
        <f>"7"</f>
        <v>7</v>
      </c>
      <c r="E590" s="1" t="str">
        <f>"2"</f>
        <v>2</v>
      </c>
      <c r="F590" s="2">
        <v>4347864.41</v>
      </c>
      <c r="H590" s="3"/>
    </row>
    <row r="591" spans="1:8" x14ac:dyDescent="0.25">
      <c r="A591" s="1">
        <f>("2880")*1</f>
        <v>2880</v>
      </c>
      <c r="B591" s="1" t="str">
        <f>"Обязательства по секьюритизируемым активам"</f>
        <v>Обязательства по секьюритизируемым активам</v>
      </c>
      <c r="C591" s="1" t="str">
        <f>"1"</f>
        <v>1</v>
      </c>
      <c r="D591" s="1" t="str">
        <f>""</f>
        <v/>
      </c>
      <c r="E591" s="1" t="str">
        <f>"1"</f>
        <v>1</v>
      </c>
      <c r="F591" s="2">
        <v>3192376958.8699999</v>
      </c>
      <c r="H591" s="3"/>
    </row>
    <row r="592" spans="1:8" x14ac:dyDescent="0.25">
      <c r="A592" s="1">
        <f>("2892")*1</f>
        <v>2892</v>
      </c>
      <c r="B592" s="1" t="str">
        <f>"Обязательства по операциям форвард"</f>
        <v>Обязательства по операциям форвард</v>
      </c>
      <c r="C592" s="1" t="str">
        <f>"1"</f>
        <v>1</v>
      </c>
      <c r="D592" s="1" t="str">
        <f>"7"</f>
        <v>7</v>
      </c>
      <c r="E592" s="1" t="str">
        <f>"1"</f>
        <v>1</v>
      </c>
      <c r="F592" s="2">
        <v>77617974.709999993</v>
      </c>
      <c r="H592" s="3"/>
    </row>
    <row r="593" spans="1:8" x14ac:dyDescent="0.25">
      <c r="A593" s="1">
        <f>("2892")*1</f>
        <v>2892</v>
      </c>
      <c r="B593" s="1" t="str">
        <f>"Обязательства по операциям форвард"</f>
        <v>Обязательства по операциям форвард</v>
      </c>
      <c r="C593" s="1" t="str">
        <f>"2"</f>
        <v>2</v>
      </c>
      <c r="D593" s="1" t="str">
        <f>"4"</f>
        <v>4</v>
      </c>
      <c r="E593" s="1" t="str">
        <f>"1"</f>
        <v>1</v>
      </c>
      <c r="F593" s="2">
        <v>4897940.09</v>
      </c>
      <c r="H593" s="3"/>
    </row>
    <row r="594" spans="1:8" x14ac:dyDescent="0.25">
      <c r="A594" s="1">
        <f>("2894")*1</f>
        <v>2894</v>
      </c>
      <c r="B594" s="1" t="str">
        <f>"Обязательства по операциям спот"</f>
        <v>Обязательства по операциям спот</v>
      </c>
      <c r="C594" s="1" t="str">
        <f>"1"</f>
        <v>1</v>
      </c>
      <c r="D594" s="1" t="str">
        <f>"5"</f>
        <v>5</v>
      </c>
      <c r="E594" s="1" t="str">
        <f>"1"</f>
        <v>1</v>
      </c>
      <c r="F594" s="2">
        <v>373314304</v>
      </c>
      <c r="H594" s="3"/>
    </row>
    <row r="595" spans="1:8" x14ac:dyDescent="0.25">
      <c r="A595" s="1">
        <f>("2895")*1</f>
        <v>2895</v>
      </c>
      <c r="B595" s="1" t="str">
        <f>"Обязательства по операциям своп"</f>
        <v>Обязательства по операциям своп</v>
      </c>
      <c r="C595" s="1" t="str">
        <f>"1"</f>
        <v>1</v>
      </c>
      <c r="D595" s="1" t="str">
        <f>"5"</f>
        <v>5</v>
      </c>
      <c r="E595" s="1" t="str">
        <f>"1"</f>
        <v>1</v>
      </c>
      <c r="F595" s="2">
        <v>87631400</v>
      </c>
      <c r="H595" s="3"/>
    </row>
    <row r="596" spans="1:8" x14ac:dyDescent="0.25">
      <c r="A596" s="1">
        <f>("3001")*1</f>
        <v>3001</v>
      </c>
      <c r="B596" s="1" t="str">
        <f>"Уставный капитал – простые акции"</f>
        <v>Уставный капитал – простые акции</v>
      </c>
      <c r="C596" s="1" t="str">
        <f>""</f>
        <v/>
      </c>
      <c r="D596" s="1" t="str">
        <f>""</f>
        <v/>
      </c>
      <c r="E596" s="1" t="str">
        <f>""</f>
        <v/>
      </c>
      <c r="F596" s="2">
        <v>61135196834.199997</v>
      </c>
      <c r="H596" s="3"/>
    </row>
    <row r="597" spans="1:8" x14ac:dyDescent="0.25">
      <c r="A597" s="1">
        <f>("3101")*1</f>
        <v>3101</v>
      </c>
      <c r="B597" s="1" t="str">
        <f>"Дополнительный оплаченный капитал"</f>
        <v>Дополнительный оплаченный капитал</v>
      </c>
      <c r="C597" s="1" t="str">
        <f>""</f>
        <v/>
      </c>
      <c r="D597" s="1" t="str">
        <f>""</f>
        <v/>
      </c>
      <c r="E597" s="1" t="str">
        <f>""</f>
        <v/>
      </c>
      <c r="F597" s="2">
        <v>2025632000</v>
      </c>
      <c r="H597" s="3"/>
    </row>
    <row r="598" spans="1:8" x14ac:dyDescent="0.25">
      <c r="A598" s="1">
        <f>("3510")*1</f>
        <v>3510</v>
      </c>
      <c r="B598" s="1" t="str">
        <f>"Резервный капитал"</f>
        <v>Резервный капитал</v>
      </c>
      <c r="C598" s="1" t="str">
        <f>""</f>
        <v/>
      </c>
      <c r="D598" s="1" t="str">
        <f>""</f>
        <v/>
      </c>
      <c r="E598" s="1" t="str">
        <f>""</f>
        <v/>
      </c>
      <c r="F598" s="2">
        <v>8616900749.1700001</v>
      </c>
      <c r="H598" s="3"/>
    </row>
    <row r="599" spans="1:8" x14ac:dyDescent="0.25">
      <c r="A599" s="1">
        <f>("3561")*1</f>
        <v>3561</v>
      </c>
      <c r="B599" s="1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C599" s="1" t="str">
        <f>"1"</f>
        <v>1</v>
      </c>
      <c r="D599" s="1" t="str">
        <f>""</f>
        <v/>
      </c>
      <c r="E599" s="1" t="str">
        <f>"1"</f>
        <v>1</v>
      </c>
      <c r="F599" s="2">
        <v>-2393824478.48</v>
      </c>
      <c r="H599" s="3"/>
    </row>
    <row r="600" spans="1:8" x14ac:dyDescent="0.25">
      <c r="A600" s="1">
        <f>("3561")*1</f>
        <v>3561</v>
      </c>
      <c r="B600" s="1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C600" s="1" t="str">
        <f>"1"</f>
        <v>1</v>
      </c>
      <c r="D600" s="1" t="str">
        <f>""</f>
        <v/>
      </c>
      <c r="E600" s="1" t="str">
        <f>"2"</f>
        <v>2</v>
      </c>
      <c r="F600" s="2">
        <v>-2597859041.98</v>
      </c>
      <c r="H600" s="3"/>
    </row>
    <row r="601" spans="1:8" x14ac:dyDescent="0.25">
      <c r="A601" s="1">
        <f>("3561")*1</f>
        <v>3561</v>
      </c>
      <c r="B601" s="1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C601" s="1" t="str">
        <f>"2"</f>
        <v>2</v>
      </c>
      <c r="D601" s="1" t="str">
        <f>""</f>
        <v/>
      </c>
      <c r="E601" s="1" t="str">
        <f>"2"</f>
        <v>2</v>
      </c>
      <c r="F601" s="2">
        <v>-5147123042.8900003</v>
      </c>
      <c r="H601" s="3"/>
    </row>
    <row r="602" spans="1:8" x14ac:dyDescent="0.25">
      <c r="A602" s="1">
        <f>("3562")*1</f>
        <v>3562</v>
      </c>
      <c r="B602" s="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C602" s="1" t="str">
        <f>"2"</f>
        <v>2</v>
      </c>
      <c r="D602" s="1" t="str">
        <f>""</f>
        <v/>
      </c>
      <c r="E602" s="1" t="str">
        <f>"2"</f>
        <v>2</v>
      </c>
      <c r="F602" s="2">
        <v>4985158732.3000002</v>
      </c>
      <c r="H602" s="3"/>
    </row>
    <row r="603" spans="1:8" x14ac:dyDescent="0.25">
      <c r="A603" s="1">
        <f>("3562")*1</f>
        <v>3562</v>
      </c>
      <c r="B603" s="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C603" s="1" t="str">
        <f>"1"</f>
        <v>1</v>
      </c>
      <c r="D603" s="1" t="str">
        <f>""</f>
        <v/>
      </c>
      <c r="E603" s="1" t="str">
        <f>"2"</f>
        <v>2</v>
      </c>
      <c r="F603" s="2">
        <v>32400004.079999998</v>
      </c>
      <c r="H603" s="3"/>
    </row>
    <row r="604" spans="1:8" x14ac:dyDescent="0.25">
      <c r="A604" s="1">
        <f>("3580")*1</f>
        <v>3580</v>
      </c>
      <c r="B604" s="1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C604" s="1" t="str">
        <f>""</f>
        <v/>
      </c>
      <c r="D604" s="1" t="str">
        <f>""</f>
        <v/>
      </c>
      <c r="E604" s="1" t="str">
        <f>""</f>
        <v/>
      </c>
      <c r="F604" s="2">
        <v>46213040172.57</v>
      </c>
      <c r="H604" s="3"/>
    </row>
    <row r="605" spans="1:8" x14ac:dyDescent="0.25">
      <c r="A605" s="1">
        <f>("3599")*1</f>
        <v>3599</v>
      </c>
      <c r="B605" s="1" t="str">
        <f>"Нераспределенная чистая прибыль (непокрытый убыток)"</f>
        <v>Нераспределенная чистая прибыль (непокрытый убыток)</v>
      </c>
      <c r="C605" s="1" t="str">
        <f>""</f>
        <v/>
      </c>
      <c r="D605" s="1" t="str">
        <f>""</f>
        <v/>
      </c>
      <c r="E605" s="1" t="str">
        <f>""</f>
        <v/>
      </c>
      <c r="F605" s="2">
        <v>82582381022.369995</v>
      </c>
      <c r="H605" s="3"/>
    </row>
    <row r="606" spans="1:8" x14ac:dyDescent="0.25">
      <c r="A606" s="1">
        <f>("4052")*1</f>
        <v>4052</v>
      </c>
      <c r="B606" s="1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C606" s="1" t="str">
        <f>""</f>
        <v/>
      </c>
      <c r="D606" s="1" t="str">
        <f>""</f>
        <v/>
      </c>
      <c r="E606" s="1" t="str">
        <f>""</f>
        <v/>
      </c>
      <c r="F606" s="2">
        <v>2054707050.6199999</v>
      </c>
      <c r="H606" s="3"/>
    </row>
    <row r="607" spans="1:8" x14ac:dyDescent="0.25">
      <c r="A607" s="1">
        <f>("4101")*1</f>
        <v>4101</v>
      </c>
      <c r="B607" s="1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C607" s="1" t="str">
        <f>""</f>
        <v/>
      </c>
      <c r="D607" s="1" t="str">
        <f>""</f>
        <v/>
      </c>
      <c r="E607" s="1" t="str">
        <f>""</f>
        <v/>
      </c>
      <c r="F607" s="2">
        <v>1157381944.4100001</v>
      </c>
      <c r="H607" s="3"/>
    </row>
    <row r="608" spans="1:8" x14ac:dyDescent="0.25">
      <c r="A608" s="1">
        <f>("4103")*1</f>
        <v>4103</v>
      </c>
      <c r="B608" s="1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C608" s="1" t="str">
        <f>""</f>
        <v/>
      </c>
      <c r="D608" s="1" t="str">
        <f>""</f>
        <v/>
      </c>
      <c r="E608" s="1" t="str">
        <f>""</f>
        <v/>
      </c>
      <c r="F608" s="2">
        <v>4231920115.04</v>
      </c>
      <c r="H608" s="3"/>
    </row>
    <row r="609" spans="1:8" x14ac:dyDescent="0.25">
      <c r="A609" s="1">
        <f>("4251")*1</f>
        <v>4251</v>
      </c>
      <c r="B609" s="1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C609" s="1" t="str">
        <f>""</f>
        <v/>
      </c>
      <c r="D609" s="1" t="str">
        <f>""</f>
        <v/>
      </c>
      <c r="E609" s="1" t="str">
        <f>""</f>
        <v/>
      </c>
      <c r="F609" s="2">
        <v>40957423.340000004</v>
      </c>
      <c r="H609" s="3"/>
    </row>
    <row r="610" spans="1:8" x14ac:dyDescent="0.25">
      <c r="A610" s="1">
        <f>("4253")*1</f>
        <v>4253</v>
      </c>
      <c r="B610" s="1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C610" s="1" t="str">
        <f>""</f>
        <v/>
      </c>
      <c r="D610" s="1" t="str">
        <f>""</f>
        <v/>
      </c>
      <c r="E610" s="1" t="str">
        <f>""</f>
        <v/>
      </c>
      <c r="F610" s="2">
        <v>13467138.529999999</v>
      </c>
      <c r="H610" s="3"/>
    </row>
    <row r="611" spans="1:8" x14ac:dyDescent="0.25">
      <c r="A611" s="1">
        <f>("4267")*1</f>
        <v>4267</v>
      </c>
      <c r="B611" s="1" t="str">
        <f>"Доходы, связанные с получением вознаграждения на сумму денег, переданных в качестве обеспечения (заклад, задаток) обязательств"</f>
        <v>Доходы, связанные с получением вознаграждения на сумму денег, переданных в качестве обеспечения (заклад, задаток) обязательств</v>
      </c>
      <c r="C611" s="1" t="str">
        <f>""</f>
        <v/>
      </c>
      <c r="D611" s="1" t="str">
        <f>""</f>
        <v/>
      </c>
      <c r="E611" s="1" t="str">
        <f>""</f>
        <v/>
      </c>
      <c r="F611" s="2">
        <v>81884915.579999998</v>
      </c>
      <c r="H611" s="3"/>
    </row>
    <row r="612" spans="1:8" x14ac:dyDescent="0.25">
      <c r="A612" s="1">
        <f>("4302")*1</f>
        <v>4302</v>
      </c>
      <c r="B612" s="1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C612" s="1" t="str">
        <f>""</f>
        <v/>
      </c>
      <c r="D612" s="1" t="str">
        <f>""</f>
        <v/>
      </c>
      <c r="E612" s="1" t="str">
        <f>""</f>
        <v/>
      </c>
      <c r="F612" s="2">
        <v>4450651.05</v>
      </c>
      <c r="H612" s="3"/>
    </row>
    <row r="613" spans="1:8" x14ac:dyDescent="0.25">
      <c r="A613" s="1">
        <f>("4313")*1</f>
        <v>4313</v>
      </c>
      <c r="B613" s="1" t="str">
        <f>"Доходы, возникающие при корректировке валовой балансовой стоимости предоставленных займов в связи с их модификацией"</f>
        <v>Доходы, возникающие при корректировке валовой балансовой стоимости предоставленных займов в связи с их модификацией</v>
      </c>
      <c r="C613" s="1" t="str">
        <f>""</f>
        <v/>
      </c>
      <c r="D613" s="1" t="str">
        <f>""</f>
        <v/>
      </c>
      <c r="E613" s="1" t="str">
        <f>""</f>
        <v/>
      </c>
      <c r="F613" s="2">
        <v>24963243.02</v>
      </c>
      <c r="H613" s="3"/>
    </row>
    <row r="614" spans="1:8" x14ac:dyDescent="0.25">
      <c r="A614" s="1">
        <f>("4403")*1</f>
        <v>4403</v>
      </c>
      <c r="B614" s="1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C614" s="1" t="str">
        <f>""</f>
        <v/>
      </c>
      <c r="D614" s="1" t="str">
        <f>""</f>
        <v/>
      </c>
      <c r="E614" s="1" t="str">
        <f>""</f>
        <v/>
      </c>
      <c r="F614" s="2">
        <v>277451391.43000001</v>
      </c>
      <c r="H614" s="3"/>
    </row>
    <row r="615" spans="1:8" x14ac:dyDescent="0.25">
      <c r="A615" s="1">
        <f>("4411")*1</f>
        <v>4411</v>
      </c>
      <c r="B615" s="1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C615" s="1" t="str">
        <f>""</f>
        <v/>
      </c>
      <c r="D615" s="1" t="str">
        <f>""</f>
        <v/>
      </c>
      <c r="E615" s="1" t="str">
        <f>""</f>
        <v/>
      </c>
      <c r="F615" s="2">
        <v>2511325520.5</v>
      </c>
      <c r="H615" s="3"/>
    </row>
    <row r="616" spans="1:8" x14ac:dyDescent="0.25">
      <c r="A616" s="1">
        <f>("4417")*1</f>
        <v>4417</v>
      </c>
      <c r="B616" s="1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C616" s="1" t="str">
        <f>""</f>
        <v/>
      </c>
      <c r="D616" s="1" t="str">
        <f>""</f>
        <v/>
      </c>
      <c r="E616" s="1" t="str">
        <f>""</f>
        <v/>
      </c>
      <c r="F616" s="2">
        <v>154305933271.47</v>
      </c>
      <c r="H616" s="3"/>
    </row>
    <row r="617" spans="1:8" x14ac:dyDescent="0.25">
      <c r="A617" s="1">
        <f>("4424")*1</f>
        <v>4424</v>
      </c>
      <c r="B617" s="1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C617" s="1" t="str">
        <f>""</f>
        <v/>
      </c>
      <c r="D617" s="1" t="str">
        <f>""</f>
        <v/>
      </c>
      <c r="E617" s="1" t="str">
        <f>""</f>
        <v/>
      </c>
      <c r="F617" s="2">
        <v>1337799650.72</v>
      </c>
      <c r="H617" s="3"/>
    </row>
    <row r="618" spans="1:8" x14ac:dyDescent="0.25">
      <c r="A618" s="1">
        <f>("4429")*1</f>
        <v>4429</v>
      </c>
      <c r="B618" s="1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C618" s="1" t="str">
        <f>""</f>
        <v/>
      </c>
      <c r="D618" s="1" t="str">
        <f>""</f>
        <v/>
      </c>
      <c r="E618" s="1" t="str">
        <f>""</f>
        <v/>
      </c>
      <c r="F618" s="2">
        <v>4052775459.1199999</v>
      </c>
      <c r="H618" s="3"/>
    </row>
    <row r="619" spans="1:8" x14ac:dyDescent="0.25">
      <c r="A619" s="1">
        <f>("4434")*1</f>
        <v>4434</v>
      </c>
      <c r="B619" s="1" t="str">
        <f>"Доходы по амортизации дисконта по займам, предоставленным клиентам"</f>
        <v>Доходы по амортизации дисконта по займам, предоставленным клиентам</v>
      </c>
      <c r="C619" s="1" t="str">
        <f>""</f>
        <v/>
      </c>
      <c r="D619" s="1" t="str">
        <f>""</f>
        <v/>
      </c>
      <c r="E619" s="1" t="str">
        <f>""</f>
        <v/>
      </c>
      <c r="F619" s="2">
        <v>10906309087.959999</v>
      </c>
      <c r="H619" s="3"/>
    </row>
    <row r="620" spans="1:8" x14ac:dyDescent="0.25">
      <c r="A620" s="1">
        <f>("4452")*1</f>
        <v>4452</v>
      </c>
      <c r="B620" s="1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C620" s="1" t="str">
        <f>""</f>
        <v/>
      </c>
      <c r="D620" s="1" t="str">
        <f>""</f>
        <v/>
      </c>
      <c r="E620" s="1" t="str">
        <f>""</f>
        <v/>
      </c>
      <c r="F620" s="2">
        <v>2080457253.6600001</v>
      </c>
      <c r="H620" s="3"/>
    </row>
    <row r="621" spans="1:8" x14ac:dyDescent="0.25">
      <c r="A621" s="1">
        <f>("4453")*1</f>
        <v>4453</v>
      </c>
      <c r="B621" s="1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C621" s="1" t="str">
        <f>""</f>
        <v/>
      </c>
      <c r="D621" s="1" t="str">
        <f>""</f>
        <v/>
      </c>
      <c r="E621" s="1" t="str">
        <f>""</f>
        <v/>
      </c>
      <c r="F621" s="2">
        <v>354671111.99000001</v>
      </c>
      <c r="H621" s="3"/>
    </row>
    <row r="622" spans="1:8" x14ac:dyDescent="0.25">
      <c r="A622" s="1">
        <f>("4454")*1</f>
        <v>4454</v>
      </c>
      <c r="B622" s="1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C622" s="1" t="str">
        <f>""</f>
        <v/>
      </c>
      <c r="D622" s="1" t="str">
        <f>""</f>
        <v/>
      </c>
      <c r="E622" s="1" t="str">
        <f>""</f>
        <v/>
      </c>
      <c r="F622" s="2">
        <v>21023884.690000001</v>
      </c>
      <c r="H622" s="3"/>
    </row>
    <row r="623" spans="1:8" x14ac:dyDescent="0.25">
      <c r="A623" s="1">
        <f>("4465")*1</f>
        <v>4465</v>
      </c>
      <c r="B623" s="1" t="str">
        <f>"Доходы, связанные с получением вознаграждения по операциям «обратное РЕПО» с ценными бумагами"</f>
        <v>Доходы, связанные с получением вознаграждения по операциям «обратное РЕПО» с ценными бумагами</v>
      </c>
      <c r="C623" s="1" t="str">
        <f>""</f>
        <v/>
      </c>
      <c r="D623" s="1" t="str">
        <f>""</f>
        <v/>
      </c>
      <c r="E623" s="1" t="str">
        <f>""</f>
        <v/>
      </c>
      <c r="F623" s="2">
        <v>344662654.54000002</v>
      </c>
      <c r="H623" s="3"/>
    </row>
    <row r="624" spans="1:8" x14ac:dyDescent="0.25">
      <c r="A624" s="1">
        <f>("4481")*1</f>
        <v>4481</v>
      </c>
      <c r="B624" s="1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C624" s="1" t="str">
        <f>""</f>
        <v/>
      </c>
      <c r="D624" s="1" t="str">
        <f>""</f>
        <v/>
      </c>
      <c r="E624" s="1" t="str">
        <f>""</f>
        <v/>
      </c>
      <c r="F624" s="2">
        <v>13698024595.98</v>
      </c>
      <c r="H624" s="3"/>
    </row>
    <row r="625" spans="1:8" x14ac:dyDescent="0.25">
      <c r="A625" s="1">
        <f>("4482")*1</f>
        <v>4482</v>
      </c>
      <c r="B625" s="1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C625" s="1" t="str">
        <f>""</f>
        <v/>
      </c>
      <c r="D625" s="1" t="str">
        <f>""</f>
        <v/>
      </c>
      <c r="E625" s="1" t="str">
        <f>""</f>
        <v/>
      </c>
      <c r="F625" s="2">
        <v>6518982990.29</v>
      </c>
      <c r="H625" s="3"/>
    </row>
    <row r="626" spans="1:8" x14ac:dyDescent="0.25">
      <c r="A626" s="1">
        <f>("4491")*1</f>
        <v>4491</v>
      </c>
      <c r="B626" s="1" t="str">
        <f>"Доходы, связанные с получением вознаграждения по прочим финансовым активам, учитываемым по амортизированной стоимости"</f>
        <v>Доходы, связанные с получением вознаграждения по прочим финансовым активам, учитываемым по амортизированной стоимости</v>
      </c>
      <c r="C626" s="1" t="str">
        <f>""</f>
        <v/>
      </c>
      <c r="D626" s="1" t="str">
        <f>""</f>
        <v/>
      </c>
      <c r="E626" s="1" t="str">
        <f>""</f>
        <v/>
      </c>
      <c r="F626" s="2">
        <v>2975987.27</v>
      </c>
      <c r="H626" s="3"/>
    </row>
    <row r="627" spans="1:8" x14ac:dyDescent="0.25">
      <c r="A627" s="1">
        <f>("4492")*1</f>
        <v>4492</v>
      </c>
      <c r="B627" s="1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C627" s="1" t="str">
        <f>""</f>
        <v/>
      </c>
      <c r="D627" s="1" t="str">
        <f>""</f>
        <v/>
      </c>
      <c r="E627" s="1" t="str">
        <f>""</f>
        <v/>
      </c>
      <c r="F627" s="2">
        <v>125788499.14</v>
      </c>
      <c r="H627" s="3"/>
    </row>
    <row r="628" spans="1:8" x14ac:dyDescent="0.25">
      <c r="A628" s="1">
        <f>("4510")*1</f>
        <v>4510</v>
      </c>
      <c r="B628" s="1" t="str">
        <f>"Доходы по купле-продаже ценных бумаг"</f>
        <v>Доходы по купле-продаже ценных бумаг</v>
      </c>
      <c r="C628" s="1" t="str">
        <f>""</f>
        <v/>
      </c>
      <c r="D628" s="1" t="str">
        <f>""</f>
        <v/>
      </c>
      <c r="E628" s="1" t="str">
        <f>""</f>
        <v/>
      </c>
      <c r="F628" s="2">
        <v>199610.75</v>
      </c>
      <c r="H628" s="3"/>
    </row>
    <row r="629" spans="1:8" x14ac:dyDescent="0.25">
      <c r="A629" s="1">
        <f>("4530")*1</f>
        <v>4530</v>
      </c>
      <c r="B629" s="1" t="str">
        <f>"Доходы по купле-продаже иностранной валюты"</f>
        <v>Доходы по купле-продаже иностранной валюты</v>
      </c>
      <c r="C629" s="1" t="str">
        <f>""</f>
        <v/>
      </c>
      <c r="D629" s="1" t="str">
        <f>""</f>
        <v/>
      </c>
      <c r="E629" s="1" t="str">
        <f>""</f>
        <v/>
      </c>
      <c r="F629" s="2">
        <v>144865565800.63</v>
      </c>
      <c r="H629" s="3"/>
    </row>
    <row r="630" spans="1:8" x14ac:dyDescent="0.25">
      <c r="A630" s="1">
        <f>("4540")*1</f>
        <v>4540</v>
      </c>
      <c r="B630" s="1" t="str">
        <f>"Доходы от продажи аффинированных драгоценных металлов"</f>
        <v>Доходы от продажи аффинированных драгоценных металлов</v>
      </c>
      <c r="C630" s="1" t="str">
        <f>""</f>
        <v/>
      </c>
      <c r="D630" s="1" t="str">
        <f>""</f>
        <v/>
      </c>
      <c r="E630" s="1" t="str">
        <f>""</f>
        <v/>
      </c>
      <c r="F630" s="2">
        <v>18160851.469999999</v>
      </c>
      <c r="H630" s="3"/>
    </row>
    <row r="631" spans="1:8" x14ac:dyDescent="0.25">
      <c r="A631" s="1">
        <f>("4570")*1</f>
        <v>4570</v>
      </c>
      <c r="B631" s="1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C631" s="1" t="str">
        <f>""</f>
        <v/>
      </c>
      <c r="D631" s="1" t="str">
        <f>""</f>
        <v/>
      </c>
      <c r="E631" s="1" t="str">
        <f>""</f>
        <v/>
      </c>
      <c r="F631" s="2">
        <v>190809112.24000001</v>
      </c>
      <c r="H631" s="3"/>
    </row>
    <row r="632" spans="1:8" x14ac:dyDescent="0.25">
      <c r="A632" s="1">
        <f>("4593")*1</f>
        <v>4593</v>
      </c>
      <c r="B632" s="1" t="str">
        <f>"Доходы от переоценки операций своп"</f>
        <v>Доходы от переоценки операций своп</v>
      </c>
      <c r="C632" s="1" t="str">
        <f>""</f>
        <v/>
      </c>
      <c r="D632" s="1" t="str">
        <f>""</f>
        <v/>
      </c>
      <c r="E632" s="1" t="str">
        <f>""</f>
        <v/>
      </c>
      <c r="F632" s="2">
        <v>642036204.52999997</v>
      </c>
      <c r="H632" s="3"/>
    </row>
    <row r="633" spans="1:8" x14ac:dyDescent="0.25">
      <c r="A633" s="1">
        <f>("4601")*1</f>
        <v>4601</v>
      </c>
      <c r="B633" s="1" t="str">
        <f>"Комиссионные доходы за услуги по переводным операциям"</f>
        <v>Комиссионные доходы за услуги по переводным операциям</v>
      </c>
      <c r="C633" s="1" t="str">
        <f>""</f>
        <v/>
      </c>
      <c r="D633" s="1" t="str">
        <f>""</f>
        <v/>
      </c>
      <c r="E633" s="1" t="str">
        <f>""</f>
        <v/>
      </c>
      <c r="F633" s="2">
        <v>4376281464.9399996</v>
      </c>
      <c r="H633" s="3"/>
    </row>
    <row r="634" spans="1:8" x14ac:dyDescent="0.25">
      <c r="A634" s="1">
        <f>("4602")*1</f>
        <v>4602</v>
      </c>
      <c r="B634" s="1" t="str">
        <f>"Комиссионные доходы за агентские услуги"</f>
        <v>Комиссионные доходы за агентские услуги</v>
      </c>
      <c r="C634" s="1" t="str">
        <f>""</f>
        <v/>
      </c>
      <c r="D634" s="1" t="str">
        <f>""</f>
        <v/>
      </c>
      <c r="E634" s="1" t="str">
        <f>""</f>
        <v/>
      </c>
      <c r="F634" s="2">
        <v>26879883586.130001</v>
      </c>
      <c r="H634" s="3"/>
    </row>
    <row r="635" spans="1:8" x14ac:dyDescent="0.25">
      <c r="A635" s="1">
        <f>("4605")*1</f>
        <v>4605</v>
      </c>
      <c r="B635" s="1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C635" s="1" t="str">
        <f>""</f>
        <v/>
      </c>
      <c r="D635" s="1" t="str">
        <f>""</f>
        <v/>
      </c>
      <c r="E635" s="1" t="str">
        <f>""</f>
        <v/>
      </c>
      <c r="F635" s="2">
        <v>136798121.84</v>
      </c>
      <c r="H635" s="3"/>
    </row>
    <row r="636" spans="1:8" x14ac:dyDescent="0.25">
      <c r="A636" s="1">
        <f>("4606")*1</f>
        <v>4606</v>
      </c>
      <c r="B636" s="1" t="str">
        <f>"Комиссионные доходы за услуги по операциям с гарантиями"</f>
        <v>Комиссионные доходы за услуги по операциям с гарантиями</v>
      </c>
      <c r="C636" s="1" t="str">
        <f>""</f>
        <v/>
      </c>
      <c r="D636" s="1" t="str">
        <f>""</f>
        <v/>
      </c>
      <c r="E636" s="1" t="str">
        <f>""</f>
        <v/>
      </c>
      <c r="F636" s="2">
        <v>399081325.91000003</v>
      </c>
      <c r="H636" s="3"/>
    </row>
    <row r="637" spans="1:8" x14ac:dyDescent="0.25">
      <c r="A637" s="1">
        <f>("4607")*1</f>
        <v>4607</v>
      </c>
      <c r="B637" s="1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C637" s="1" t="str">
        <f>""</f>
        <v/>
      </c>
      <c r="D637" s="1" t="str">
        <f>""</f>
        <v/>
      </c>
      <c r="E637" s="1" t="str">
        <f>""</f>
        <v/>
      </c>
      <c r="F637" s="2">
        <v>604493524.76999998</v>
      </c>
      <c r="H637" s="3"/>
    </row>
    <row r="638" spans="1:8" x14ac:dyDescent="0.25">
      <c r="A638" s="1">
        <f>("4608")*1</f>
        <v>4608</v>
      </c>
      <c r="B638" s="1" t="str">
        <f>"Прочие комиссионные доходы"</f>
        <v>Прочие комиссионные доходы</v>
      </c>
      <c r="C638" s="1" t="str">
        <f>""</f>
        <v/>
      </c>
      <c r="D638" s="1" t="str">
        <f>""</f>
        <v/>
      </c>
      <c r="E638" s="1" t="str">
        <f>""</f>
        <v/>
      </c>
      <c r="F638" s="2">
        <v>12758315784.49</v>
      </c>
      <c r="H638" s="3"/>
    </row>
    <row r="639" spans="1:8" x14ac:dyDescent="0.25">
      <c r="A639" s="1">
        <f>("4609")*1</f>
        <v>4609</v>
      </c>
      <c r="B639" s="1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C639" s="1" t="str">
        <f>""</f>
        <v/>
      </c>
      <c r="D639" s="1" t="str">
        <f>""</f>
        <v/>
      </c>
      <c r="E639" s="1" t="str">
        <f>""</f>
        <v/>
      </c>
      <c r="F639" s="2">
        <v>170135592.94999999</v>
      </c>
      <c r="H639" s="3"/>
    </row>
    <row r="640" spans="1:8" x14ac:dyDescent="0.25">
      <c r="A640" s="1">
        <f>("4611")*1</f>
        <v>4611</v>
      </c>
      <c r="B640" s="1" t="str">
        <f>"Комиссионные доходы за услуги по кассовым операциям"</f>
        <v>Комиссионные доходы за услуги по кассовым операциям</v>
      </c>
      <c r="C640" s="1" t="str">
        <f>""</f>
        <v/>
      </c>
      <c r="D640" s="1" t="str">
        <f>""</f>
        <v/>
      </c>
      <c r="E640" s="1" t="str">
        <f>""</f>
        <v/>
      </c>
      <c r="F640" s="2">
        <v>1832962053.3800001</v>
      </c>
      <c r="H640" s="3"/>
    </row>
    <row r="641" spans="1:8" x14ac:dyDescent="0.25">
      <c r="A641" s="1">
        <f>("4612")*1</f>
        <v>4612</v>
      </c>
      <c r="B641" s="1" t="str">
        <f>"Комиссионные доходы по документарным расчетам"</f>
        <v>Комиссионные доходы по документарным расчетам</v>
      </c>
      <c r="C641" s="1" t="str">
        <f>""</f>
        <v/>
      </c>
      <c r="D641" s="1" t="str">
        <f>""</f>
        <v/>
      </c>
      <c r="E641" s="1" t="str">
        <f>""</f>
        <v/>
      </c>
      <c r="F641" s="2">
        <v>174446694.41</v>
      </c>
      <c r="H641" s="3"/>
    </row>
    <row r="642" spans="1:8" x14ac:dyDescent="0.25">
      <c r="A642" s="1">
        <f>("4615")*1</f>
        <v>4615</v>
      </c>
      <c r="B642" s="1" t="str">
        <f>"Комиссионные доходы за услуги по инкассации"</f>
        <v>Комиссионные доходы за услуги по инкассации</v>
      </c>
      <c r="C642" s="1" t="str">
        <f>""</f>
        <v/>
      </c>
      <c r="D642" s="1" t="str">
        <f>""</f>
        <v/>
      </c>
      <c r="E642" s="1" t="str">
        <f>""</f>
        <v/>
      </c>
      <c r="F642" s="2">
        <v>27446562.440000001</v>
      </c>
      <c r="H642" s="3"/>
    </row>
    <row r="643" spans="1:8" x14ac:dyDescent="0.25">
      <c r="A643" s="1">
        <f>("4617")*1</f>
        <v>4617</v>
      </c>
      <c r="B643" s="1" t="str">
        <f>"Комиссионные доходы за услуги по сейфовым операциям"</f>
        <v>Комиссионные доходы за услуги по сейфовым операциям</v>
      </c>
      <c r="C643" s="1" t="str">
        <f>""</f>
        <v/>
      </c>
      <c r="D643" s="1" t="str">
        <f>""</f>
        <v/>
      </c>
      <c r="E643" s="1" t="str">
        <f>""</f>
        <v/>
      </c>
      <c r="F643" s="2">
        <v>17803301.420000002</v>
      </c>
      <c r="H643" s="3"/>
    </row>
    <row r="644" spans="1:8" x14ac:dyDescent="0.25">
      <c r="A644" s="1">
        <f>("4619")*1</f>
        <v>4619</v>
      </c>
      <c r="B644" s="1" t="str">
        <f>"Комиссионные доходы за обслуживание платежных карточек"</f>
        <v>Комиссионные доходы за обслуживание платежных карточек</v>
      </c>
      <c r="C644" s="1" t="str">
        <f>""</f>
        <v/>
      </c>
      <c r="D644" s="1" t="str">
        <f>""</f>
        <v/>
      </c>
      <c r="E644" s="1" t="str">
        <f>""</f>
        <v/>
      </c>
      <c r="F644" s="2">
        <v>1165500</v>
      </c>
      <c r="H644" s="3"/>
    </row>
    <row r="645" spans="1:8" x14ac:dyDescent="0.25">
      <c r="A645" s="1">
        <f>("4703")*1</f>
        <v>4703</v>
      </c>
      <c r="B645" s="1" t="str">
        <f>"Доход от переоценки иностранной валюты"</f>
        <v>Доход от переоценки иностранной валюты</v>
      </c>
      <c r="C645" s="1" t="str">
        <f>""</f>
        <v/>
      </c>
      <c r="D645" s="1" t="str">
        <f>""</f>
        <v/>
      </c>
      <c r="E645" s="1" t="str">
        <f>""</f>
        <v/>
      </c>
      <c r="F645" s="2">
        <v>278950230344.27002</v>
      </c>
      <c r="H645" s="3"/>
    </row>
    <row r="646" spans="1:8" x14ac:dyDescent="0.25">
      <c r="A646" s="1">
        <f>("4704")*1</f>
        <v>4704</v>
      </c>
      <c r="B646" s="1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C646" s="1" t="str">
        <f>""</f>
        <v/>
      </c>
      <c r="D646" s="1" t="str">
        <f>""</f>
        <v/>
      </c>
      <c r="E646" s="1" t="str">
        <f>""</f>
        <v/>
      </c>
      <c r="F646" s="2">
        <v>136481623.02000001</v>
      </c>
      <c r="H646" s="3"/>
    </row>
    <row r="647" spans="1:8" x14ac:dyDescent="0.25">
      <c r="A647" s="1">
        <f>("4714")*1</f>
        <v>4714</v>
      </c>
      <c r="B647" s="1" t="str">
        <f>"Доходы от восстановления убытка от обесценения долгосрочных активов, предназначенных для продажи"</f>
        <v>Доходы от восстановления убытка от обесценения долгосрочных активов, предназначенных для продажи</v>
      </c>
      <c r="C647" s="1" t="str">
        <f>""</f>
        <v/>
      </c>
      <c r="D647" s="1" t="str">
        <f>""</f>
        <v/>
      </c>
      <c r="E647" s="1" t="str">
        <f>""</f>
        <v/>
      </c>
      <c r="F647" s="2">
        <v>10177253.6</v>
      </c>
      <c r="H647" s="3"/>
    </row>
    <row r="648" spans="1:8" x14ac:dyDescent="0.25">
      <c r="A648" s="1">
        <f>("4733")*1</f>
        <v>4733</v>
      </c>
      <c r="B648" s="1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C648" s="1" t="str">
        <f>""</f>
        <v/>
      </c>
      <c r="D648" s="1" t="str">
        <f>""</f>
        <v/>
      </c>
      <c r="E648" s="1" t="str">
        <f>""</f>
        <v/>
      </c>
      <c r="F648" s="2">
        <v>2985074.2</v>
      </c>
      <c r="H648" s="3"/>
    </row>
    <row r="649" spans="1:8" x14ac:dyDescent="0.25">
      <c r="A649" s="1">
        <f>("4852")*1</f>
        <v>4852</v>
      </c>
      <c r="B649" s="1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C649" s="1" t="str">
        <f>""</f>
        <v/>
      </c>
      <c r="D649" s="1" t="str">
        <f>""</f>
        <v/>
      </c>
      <c r="E649" s="1" t="str">
        <f>""</f>
        <v/>
      </c>
      <c r="F649" s="2">
        <v>17691964.280000001</v>
      </c>
      <c r="H649" s="3"/>
    </row>
    <row r="650" spans="1:8" x14ac:dyDescent="0.25">
      <c r="A650" s="1">
        <f>("4853")*1</f>
        <v>4853</v>
      </c>
      <c r="B650" s="1" t="str">
        <f>"Доходы от реализации запасов"</f>
        <v>Доходы от реализации запасов</v>
      </c>
      <c r="C650" s="1" t="str">
        <f>""</f>
        <v/>
      </c>
      <c r="D650" s="1" t="str">
        <f>""</f>
        <v/>
      </c>
      <c r="E650" s="1" t="str">
        <f>""</f>
        <v/>
      </c>
      <c r="F650" s="2">
        <v>360357.16</v>
      </c>
      <c r="H650" s="3"/>
    </row>
    <row r="651" spans="1:8" x14ac:dyDescent="0.25">
      <c r="A651" s="1">
        <f>("4854")*1</f>
        <v>4854</v>
      </c>
      <c r="B651" s="1" t="str">
        <f>"Доходы от реализации долгосрочных активов, предназначенных для продажи"</f>
        <v>Доходы от реализации долгосрочных активов, предназначенных для продажи</v>
      </c>
      <c r="C651" s="1" t="str">
        <f>""</f>
        <v/>
      </c>
      <c r="D651" s="1" t="str">
        <f>""</f>
        <v/>
      </c>
      <c r="E651" s="1" t="str">
        <f>""</f>
        <v/>
      </c>
      <c r="F651" s="2">
        <v>109735085.87</v>
      </c>
      <c r="H651" s="3"/>
    </row>
    <row r="652" spans="1:8" x14ac:dyDescent="0.25">
      <c r="A652" s="1">
        <f>("4892")*1</f>
        <v>4892</v>
      </c>
      <c r="B652" s="1" t="str">
        <f>"Доходы по операциям форвард"</f>
        <v>Доходы по операциям форвард</v>
      </c>
      <c r="C652" s="1" t="str">
        <f>""</f>
        <v/>
      </c>
      <c r="D652" s="1" t="str">
        <f>""</f>
        <v/>
      </c>
      <c r="E652" s="1" t="str">
        <f>""</f>
        <v/>
      </c>
      <c r="F652" s="2">
        <v>249217034</v>
      </c>
      <c r="H652" s="3"/>
    </row>
    <row r="653" spans="1:8" x14ac:dyDescent="0.25">
      <c r="A653" s="1">
        <f>("4895")*1</f>
        <v>4895</v>
      </c>
      <c r="B653" s="1" t="str">
        <f>"Доходы по операциям своп"</f>
        <v>Доходы по операциям своп</v>
      </c>
      <c r="C653" s="1" t="str">
        <f>""</f>
        <v/>
      </c>
      <c r="D653" s="1" t="str">
        <f>""</f>
        <v/>
      </c>
      <c r="E653" s="1" t="str">
        <f>""</f>
        <v/>
      </c>
      <c r="F653" s="2">
        <v>8158361095.5</v>
      </c>
      <c r="H653" s="3"/>
    </row>
    <row r="654" spans="1:8" x14ac:dyDescent="0.25">
      <c r="A654" s="1">
        <f>("4900")*1</f>
        <v>4900</v>
      </c>
      <c r="B654" s="1" t="str">
        <f>"Неустойка (штраф, пеня)"</f>
        <v>Неустойка (штраф, пеня)</v>
      </c>
      <c r="C654" s="1" t="str">
        <f>""</f>
        <v/>
      </c>
      <c r="D654" s="1" t="str">
        <f>""</f>
        <v/>
      </c>
      <c r="E654" s="1" t="str">
        <f>""</f>
        <v/>
      </c>
      <c r="F654" s="2">
        <v>1407697369.4000001</v>
      </c>
      <c r="H654" s="3"/>
    </row>
    <row r="655" spans="1:8" x14ac:dyDescent="0.25">
      <c r="A655" s="1">
        <f>("4921")*1</f>
        <v>4921</v>
      </c>
      <c r="B655" s="1" t="str">
        <f>"Прочие доходы от банковской деятельности"</f>
        <v>Прочие доходы от банковской деятельности</v>
      </c>
      <c r="C655" s="1" t="str">
        <f>""</f>
        <v/>
      </c>
      <c r="D655" s="1" t="str">
        <f>""</f>
        <v/>
      </c>
      <c r="E655" s="1" t="str">
        <f>""</f>
        <v/>
      </c>
      <c r="F655" s="2">
        <v>162105373.86000001</v>
      </c>
      <c r="H655" s="3"/>
    </row>
    <row r="656" spans="1:8" x14ac:dyDescent="0.25">
      <c r="A656" s="1">
        <f>("4922")*1</f>
        <v>4922</v>
      </c>
      <c r="B656" s="1" t="str">
        <f>"Прочие доходы от неосновной деятельности"</f>
        <v>Прочие доходы от неосновной деятельности</v>
      </c>
      <c r="C656" s="1" t="str">
        <f>""</f>
        <v/>
      </c>
      <c r="D656" s="1" t="str">
        <f>""</f>
        <v/>
      </c>
      <c r="E656" s="1" t="str">
        <f>""</f>
        <v/>
      </c>
      <c r="F656" s="2">
        <v>68035578.629999995</v>
      </c>
      <c r="H656" s="3"/>
    </row>
    <row r="657" spans="1:8" x14ac:dyDescent="0.25">
      <c r="A657" s="1">
        <f>("4951")*1</f>
        <v>4951</v>
      </c>
      <c r="B657" s="1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C657" s="1" t="str">
        <f>""</f>
        <v/>
      </c>
      <c r="D657" s="1" t="str">
        <f>""</f>
        <v/>
      </c>
      <c r="E657" s="1" t="str">
        <f>""</f>
        <v/>
      </c>
      <c r="F657" s="2">
        <v>15291314</v>
      </c>
      <c r="H657" s="3"/>
    </row>
    <row r="658" spans="1:8" x14ac:dyDescent="0.25">
      <c r="A658" s="1">
        <f>("4953")*1</f>
        <v>4953</v>
      </c>
      <c r="B658" s="1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C658" s="1" t="str">
        <f>""</f>
        <v/>
      </c>
      <c r="D658" s="1" t="str">
        <f>""</f>
        <v/>
      </c>
      <c r="E658" s="1" t="str">
        <f>""</f>
        <v/>
      </c>
      <c r="F658" s="2">
        <v>2502450710.25</v>
      </c>
      <c r="H658" s="3"/>
    </row>
    <row r="659" spans="1:8" x14ac:dyDescent="0.25">
      <c r="A659" s="1">
        <f>("4954")*1</f>
        <v>4954</v>
      </c>
      <c r="B659" s="1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C659" s="1" t="str">
        <f>""</f>
        <v/>
      </c>
      <c r="D659" s="1" t="str">
        <f>""</f>
        <v/>
      </c>
      <c r="E659" s="1" t="str">
        <f>""</f>
        <v/>
      </c>
      <c r="F659" s="2">
        <v>13025737133.889999</v>
      </c>
      <c r="H659" s="3"/>
    </row>
    <row r="660" spans="1:8" x14ac:dyDescent="0.25">
      <c r="A660" s="1">
        <f>("4955")*1</f>
        <v>4955</v>
      </c>
      <c r="B660" s="1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C660" s="1" t="str">
        <f>""</f>
        <v/>
      </c>
      <c r="D660" s="1" t="str">
        <f>""</f>
        <v/>
      </c>
      <c r="E660" s="1" t="str">
        <f>""</f>
        <v/>
      </c>
      <c r="F660" s="2">
        <v>109941412524.75999</v>
      </c>
      <c r="H660" s="3"/>
    </row>
    <row r="661" spans="1:8" x14ac:dyDescent="0.25">
      <c r="A661" s="1">
        <f>("4956")*1</f>
        <v>4956</v>
      </c>
      <c r="B661" s="1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C661" s="1" t="str">
        <f>""</f>
        <v/>
      </c>
      <c r="D661" s="1" t="str">
        <f>""</f>
        <v/>
      </c>
      <c r="E661" s="1" t="str">
        <f>""</f>
        <v/>
      </c>
      <c r="F661" s="2">
        <v>27452351.949999999</v>
      </c>
      <c r="H661" s="3"/>
    </row>
    <row r="662" spans="1:8" x14ac:dyDescent="0.25">
      <c r="A662" s="1">
        <f>("4957")*1</f>
        <v>4957</v>
      </c>
      <c r="B662" s="1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C662" s="1" t="str">
        <f>""</f>
        <v/>
      </c>
      <c r="D662" s="1" t="str">
        <f>""</f>
        <v/>
      </c>
      <c r="E662" s="1" t="str">
        <f>""</f>
        <v/>
      </c>
      <c r="F662" s="2">
        <v>82092936.969999999</v>
      </c>
      <c r="H662" s="3"/>
    </row>
    <row r="663" spans="1:8" x14ac:dyDescent="0.25">
      <c r="A663" s="1">
        <f>("4958")*1</f>
        <v>4958</v>
      </c>
      <c r="B663" s="1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C663" s="1" t="str">
        <f>""</f>
        <v/>
      </c>
      <c r="D663" s="1" t="str">
        <f>""</f>
        <v/>
      </c>
      <c r="E663" s="1" t="str">
        <f>""</f>
        <v/>
      </c>
      <c r="F663" s="2">
        <v>1775801347.4100001</v>
      </c>
      <c r="H663" s="3"/>
    </row>
    <row r="664" spans="1:8" x14ac:dyDescent="0.25">
      <c r="A664" s="1">
        <f>("4959")*1</f>
        <v>4959</v>
      </c>
      <c r="B664" s="1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C664" s="1" t="str">
        <f>""</f>
        <v/>
      </c>
      <c r="D664" s="1" t="str">
        <f>""</f>
        <v/>
      </c>
      <c r="E664" s="1" t="str">
        <f>""</f>
        <v/>
      </c>
      <c r="F664" s="2">
        <v>511223.26</v>
      </c>
      <c r="H664" s="3"/>
    </row>
    <row r="665" spans="1:8" x14ac:dyDescent="0.25">
      <c r="A665" s="1">
        <f>("4963")*1</f>
        <v>4963</v>
      </c>
      <c r="B665" s="1" t="str">
        <f>"Доходы от восстановления резервов (провизий) по прочим финансовым активам, учитываемым по амортизированной стоимости"</f>
        <v>Доходы от восстановления резервов (провизий) по прочим финансовым активам, учитываемым по амортизированной стоимости</v>
      </c>
      <c r="C665" s="1" t="str">
        <f>""</f>
        <v/>
      </c>
      <c r="D665" s="1" t="str">
        <f>""</f>
        <v/>
      </c>
      <c r="E665" s="1" t="str">
        <f>""</f>
        <v/>
      </c>
      <c r="F665" s="2">
        <v>67321370.680000007</v>
      </c>
      <c r="H665" s="3"/>
    </row>
    <row r="666" spans="1:8" x14ac:dyDescent="0.25">
      <c r="A666" s="1">
        <f>("5036")*1</f>
        <v>5036</v>
      </c>
      <c r="B666" s="1" t="str">
        <f>"Расходы, связанные с выплатой вознаграждения по долгосрочным займам, полученным от Правительства и местных исполнительных органов Республики Казахстан"</f>
        <v>Расходы, связанные с выплатой вознаграждения по долгосрочным займам, полученным от Правительства и местных исполнительных органов Республики Казахстан</v>
      </c>
      <c r="C666" s="1" t="str">
        <f>""</f>
        <v/>
      </c>
      <c r="D666" s="1" t="str">
        <f>""</f>
        <v/>
      </c>
      <c r="E666" s="1" t="str">
        <f>""</f>
        <v/>
      </c>
      <c r="F666" s="2">
        <v>22390091.109999999</v>
      </c>
      <c r="H666" s="3"/>
    </row>
    <row r="667" spans="1:8" x14ac:dyDescent="0.25">
      <c r="A667" s="1">
        <f>("5056")*1</f>
        <v>5056</v>
      </c>
      <c r="B667" s="1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C667" s="1" t="str">
        <f>""</f>
        <v/>
      </c>
      <c r="D667" s="1" t="str">
        <f>""</f>
        <v/>
      </c>
      <c r="E667" s="1" t="str">
        <f>""</f>
        <v/>
      </c>
      <c r="F667" s="2">
        <v>231144711.50999999</v>
      </c>
      <c r="H667" s="3"/>
    </row>
    <row r="668" spans="1:8" x14ac:dyDescent="0.25">
      <c r="A668" s="1">
        <f>("5066")*1</f>
        <v>5066</v>
      </c>
      <c r="B668" s="1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C668" s="1" t="str">
        <f>""</f>
        <v/>
      </c>
      <c r="D668" s="1" t="str">
        <f>""</f>
        <v/>
      </c>
      <c r="E668" s="1" t="str">
        <f>""</f>
        <v/>
      </c>
      <c r="F668" s="2">
        <v>587651467.33000004</v>
      </c>
      <c r="H668" s="3"/>
    </row>
    <row r="669" spans="1:8" x14ac:dyDescent="0.25">
      <c r="A669" s="1">
        <f>("5071")*1</f>
        <v>5071</v>
      </c>
      <c r="B669" s="1" t="str">
        <f>"Расходы, возникающие при корректировке валовой балансовой стоимости предоставленных займов в связи с их модификацией и (или) корректировке займов, предоставленных по нерыночной ставке процента"</f>
        <v>Расходы, возникающие при корректировке валовой балансовой стоимости предоставленных займов в связи с их модификацией и (или) корректировке займов, предоставленных по нерыночной ставке процента</v>
      </c>
      <c r="C669" s="1" t="str">
        <f>""</f>
        <v/>
      </c>
      <c r="D669" s="1" t="str">
        <f>""</f>
        <v/>
      </c>
      <c r="E669" s="1" t="str">
        <f>""</f>
        <v/>
      </c>
      <c r="F669" s="2">
        <v>356577333.75</v>
      </c>
      <c r="H669" s="3"/>
    </row>
    <row r="670" spans="1:8" x14ac:dyDescent="0.25">
      <c r="A670" s="1">
        <f>("5126")*1</f>
        <v>5126</v>
      </c>
      <c r="B670" s="1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C670" s="1" t="str">
        <f>""</f>
        <v/>
      </c>
      <c r="D670" s="1" t="str">
        <f>""</f>
        <v/>
      </c>
      <c r="E670" s="1" t="str">
        <f>""</f>
        <v/>
      </c>
      <c r="F670" s="2">
        <v>10580048.42</v>
      </c>
      <c r="H670" s="3"/>
    </row>
    <row r="671" spans="1:8" x14ac:dyDescent="0.25">
      <c r="A671" s="1">
        <f>("5211")*1</f>
        <v>5211</v>
      </c>
      <c r="B671" s="1" t="str">
        <f>"Расходы, связанные с выплатой вознаграждения по вкладам до востребования клиентов"</f>
        <v>Расходы, связанные с выплатой вознаграждения по вкладам до востребования клиентов</v>
      </c>
      <c r="C671" s="1" t="str">
        <f>""</f>
        <v/>
      </c>
      <c r="D671" s="1" t="str">
        <f>""</f>
        <v/>
      </c>
      <c r="E671" s="1" t="str">
        <f>""</f>
        <v/>
      </c>
      <c r="F671" s="2">
        <v>2437056566.29</v>
      </c>
      <c r="H671" s="3"/>
    </row>
    <row r="672" spans="1:8" x14ac:dyDescent="0.25">
      <c r="A672" s="1">
        <f>("5215")*1</f>
        <v>5215</v>
      </c>
      <c r="B672" s="1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C672" s="1" t="str">
        <f>""</f>
        <v/>
      </c>
      <c r="D672" s="1" t="str">
        <f>""</f>
        <v/>
      </c>
      <c r="E672" s="1" t="str">
        <f>""</f>
        <v/>
      </c>
      <c r="F672" s="2">
        <v>20533653374.599998</v>
      </c>
      <c r="H672" s="3"/>
    </row>
    <row r="673" spans="1:8" x14ac:dyDescent="0.25">
      <c r="A673" s="1">
        <f>("5217")*1</f>
        <v>5217</v>
      </c>
      <c r="B673" s="1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C673" s="1" t="str">
        <f>""</f>
        <v/>
      </c>
      <c r="D673" s="1" t="str">
        <f>""</f>
        <v/>
      </c>
      <c r="E673" s="1" t="str">
        <f>""</f>
        <v/>
      </c>
      <c r="F673" s="2">
        <v>29608334101.439999</v>
      </c>
      <c r="H673" s="3"/>
    </row>
    <row r="674" spans="1:8" x14ac:dyDescent="0.25">
      <c r="A674" s="1">
        <f>("5218")*1</f>
        <v>5218</v>
      </c>
      <c r="B674" s="1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C674" s="1" t="str">
        <f>""</f>
        <v/>
      </c>
      <c r="D674" s="1" t="str">
        <f>""</f>
        <v/>
      </c>
      <c r="E674" s="1" t="str">
        <f>""</f>
        <v/>
      </c>
      <c r="F674" s="2">
        <v>10944544612.959999</v>
      </c>
      <c r="H674" s="3"/>
    </row>
    <row r="675" spans="1:8" x14ac:dyDescent="0.25">
      <c r="A675" s="1">
        <f>("5219")*1</f>
        <v>5219</v>
      </c>
      <c r="B675" s="1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C675" s="1" t="str">
        <f>""</f>
        <v/>
      </c>
      <c r="D675" s="1" t="str">
        <f>""</f>
        <v/>
      </c>
      <c r="E675" s="1" t="str">
        <f>""</f>
        <v/>
      </c>
      <c r="F675" s="2">
        <v>397920.55</v>
      </c>
      <c r="H675" s="3"/>
    </row>
    <row r="676" spans="1:8" x14ac:dyDescent="0.25">
      <c r="A676" s="1">
        <f>("5220")*1</f>
        <v>5220</v>
      </c>
      <c r="B676" s="1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C676" s="1" t="str">
        <f>""</f>
        <v/>
      </c>
      <c r="D676" s="1" t="str">
        <f>""</f>
        <v/>
      </c>
      <c r="E676" s="1" t="str">
        <f>""</f>
        <v/>
      </c>
      <c r="F676" s="2">
        <v>1172655547.28</v>
      </c>
      <c r="H676" s="3"/>
    </row>
    <row r="677" spans="1:8" x14ac:dyDescent="0.25">
      <c r="A677" s="1">
        <f>("5223")*1</f>
        <v>5223</v>
      </c>
      <c r="B677" s="1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C677" s="1" t="str">
        <f>""</f>
        <v/>
      </c>
      <c r="D677" s="1" t="str">
        <f>""</f>
        <v/>
      </c>
      <c r="E677" s="1" t="str">
        <f>""</f>
        <v/>
      </c>
      <c r="F677" s="2">
        <v>982392792.29999995</v>
      </c>
      <c r="H677" s="3"/>
    </row>
    <row r="678" spans="1:8" x14ac:dyDescent="0.25">
      <c r="A678" s="1">
        <f>("5227")*1</f>
        <v>5227</v>
      </c>
      <c r="B678" s="1" t="str">
        <f>"Процентные расходы по обязательствам по аренде"</f>
        <v>Процентные расходы по обязательствам по аренде</v>
      </c>
      <c r="C678" s="1" t="str">
        <f>""</f>
        <v/>
      </c>
      <c r="D678" s="1" t="str">
        <f>""</f>
        <v/>
      </c>
      <c r="E678" s="1" t="str">
        <f>""</f>
        <v/>
      </c>
      <c r="F678" s="2">
        <v>314631260.25</v>
      </c>
      <c r="H678" s="3"/>
    </row>
    <row r="679" spans="1:8" x14ac:dyDescent="0.25">
      <c r="A679" s="1">
        <f>("5240")*1</f>
        <v>5240</v>
      </c>
      <c r="B679" s="1" t="str">
        <f>"Расходы по амортизации премии по займам, предоставленным клиентам"</f>
        <v>Расходы по амортизации премии по займам, предоставленным клиентам</v>
      </c>
      <c r="C679" s="1" t="str">
        <f>""</f>
        <v/>
      </c>
      <c r="D679" s="1" t="str">
        <f>""</f>
        <v/>
      </c>
      <c r="E679" s="1" t="str">
        <f>""</f>
        <v/>
      </c>
      <c r="F679" s="2">
        <v>1258697306.1199999</v>
      </c>
      <c r="H679" s="3"/>
    </row>
    <row r="680" spans="1:8" x14ac:dyDescent="0.25">
      <c r="A680" s="1">
        <f>("5250")*1</f>
        <v>5250</v>
      </c>
      <c r="B680" s="1" t="str">
        <f>"Расходы, связанные с выплатой вознаграждения по операциям «РЕПО» с ценными бумагами"</f>
        <v>Расходы, связанные с выплатой вознаграждения по операциям «РЕПО» с ценными бумагами</v>
      </c>
      <c r="C680" s="1" t="str">
        <f>""</f>
        <v/>
      </c>
      <c r="D680" s="1" t="str">
        <f>""</f>
        <v/>
      </c>
      <c r="E680" s="1" t="str">
        <f>""</f>
        <v/>
      </c>
      <c r="F680" s="2">
        <v>1655689444.45</v>
      </c>
      <c r="H680" s="3"/>
    </row>
    <row r="681" spans="1:8" x14ac:dyDescent="0.25">
      <c r="A681" s="1">
        <f>("5301")*1</f>
        <v>5301</v>
      </c>
      <c r="B681" s="1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C681" s="1" t="str">
        <f>""</f>
        <v/>
      </c>
      <c r="D681" s="1" t="str">
        <f>""</f>
        <v/>
      </c>
      <c r="E681" s="1" t="str">
        <f>""</f>
        <v/>
      </c>
      <c r="F681" s="2">
        <v>1702025307.6400001</v>
      </c>
      <c r="H681" s="3"/>
    </row>
    <row r="682" spans="1:8" x14ac:dyDescent="0.25">
      <c r="A682" s="1">
        <f>("5306")*1</f>
        <v>5306</v>
      </c>
      <c r="B682" s="1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C682" s="1" t="str">
        <f>""</f>
        <v/>
      </c>
      <c r="D682" s="1" t="str">
        <f>""</f>
        <v/>
      </c>
      <c r="E682" s="1" t="str">
        <f>""</f>
        <v/>
      </c>
      <c r="F682" s="2">
        <v>208178701.30000001</v>
      </c>
      <c r="H682" s="3"/>
    </row>
    <row r="683" spans="1:8" x14ac:dyDescent="0.25">
      <c r="A683" s="1">
        <f>("5307")*1</f>
        <v>5307</v>
      </c>
      <c r="B683" s="1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C683" s="1" t="str">
        <f>""</f>
        <v/>
      </c>
      <c r="D683" s="1" t="str">
        <f>""</f>
        <v/>
      </c>
      <c r="E683" s="1" t="str">
        <f>""</f>
        <v/>
      </c>
      <c r="F683" s="2">
        <v>115977238.56</v>
      </c>
      <c r="H683" s="3"/>
    </row>
    <row r="684" spans="1:8" x14ac:dyDescent="0.25">
      <c r="A684" s="1">
        <f>("5308")*1</f>
        <v>5308</v>
      </c>
      <c r="B684" s="1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C684" s="1" t="str">
        <f>""</f>
        <v/>
      </c>
      <c r="D684" s="1" t="str">
        <f>""</f>
        <v/>
      </c>
      <c r="E684" s="1" t="str">
        <f>""</f>
        <v/>
      </c>
      <c r="F684" s="2">
        <v>3143355631.0799999</v>
      </c>
      <c r="H684" s="3"/>
    </row>
    <row r="685" spans="1:8" x14ac:dyDescent="0.25">
      <c r="A685" s="1">
        <f>("5309")*1</f>
        <v>5309</v>
      </c>
      <c r="B685" s="1" t="str">
        <f>"Расходы по амортизации премии по прочим финансовым активам, учитываемым по амортизированной стоимости"</f>
        <v>Расходы по амортизации премии по прочим финансовым активам, учитываемым по амортизированной стоимости</v>
      </c>
      <c r="C685" s="1" t="str">
        <f>""</f>
        <v/>
      </c>
      <c r="D685" s="1" t="str">
        <f>""</f>
        <v/>
      </c>
      <c r="E685" s="1" t="str">
        <f>""</f>
        <v/>
      </c>
      <c r="F685" s="2">
        <v>289426020.52999997</v>
      </c>
      <c r="H685" s="3"/>
    </row>
    <row r="686" spans="1:8" x14ac:dyDescent="0.25">
      <c r="A686" s="1">
        <f>("5404")*1</f>
        <v>5404</v>
      </c>
      <c r="B686" s="1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C686" s="1" t="str">
        <f>""</f>
        <v/>
      </c>
      <c r="D686" s="1" t="str">
        <f>""</f>
        <v/>
      </c>
      <c r="E686" s="1" t="str">
        <f>""</f>
        <v/>
      </c>
      <c r="F686" s="2">
        <v>4263989148.1500001</v>
      </c>
      <c r="H686" s="3"/>
    </row>
    <row r="687" spans="1:8" x14ac:dyDescent="0.25">
      <c r="A687" s="1">
        <f>("5406")*1</f>
        <v>5406</v>
      </c>
      <c r="B687" s="1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C687" s="1" t="str">
        <f>""</f>
        <v/>
      </c>
      <c r="D687" s="1" t="str">
        <f>""</f>
        <v/>
      </c>
      <c r="E687" s="1" t="str">
        <f>""</f>
        <v/>
      </c>
      <c r="F687" s="2">
        <v>7744466825</v>
      </c>
      <c r="H687" s="3"/>
    </row>
    <row r="688" spans="1:8" x14ac:dyDescent="0.25">
      <c r="A688" s="1">
        <f>("5451")*1</f>
        <v>5451</v>
      </c>
      <c r="B688" s="1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C688" s="1" t="str">
        <f>""</f>
        <v/>
      </c>
      <c r="D688" s="1" t="str">
        <f>""</f>
        <v/>
      </c>
      <c r="E688" s="1" t="str">
        <f>""</f>
        <v/>
      </c>
      <c r="F688" s="2">
        <v>23381870.510000002</v>
      </c>
      <c r="H688" s="3"/>
    </row>
    <row r="689" spans="1:8" x14ac:dyDescent="0.25">
      <c r="A689" s="1">
        <f>("5453")*1</f>
        <v>5453</v>
      </c>
      <c r="B689" s="1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C689" s="1" t="str">
        <f>""</f>
        <v/>
      </c>
      <c r="D689" s="1" t="str">
        <f>""</f>
        <v/>
      </c>
      <c r="E689" s="1" t="str">
        <f>""</f>
        <v/>
      </c>
      <c r="F689" s="2">
        <v>3644732112.1300001</v>
      </c>
      <c r="H689" s="3"/>
    </row>
    <row r="690" spans="1:8" x14ac:dyDescent="0.25">
      <c r="A690" s="1">
        <f>("5455")*1</f>
        <v>5455</v>
      </c>
      <c r="B690" s="1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C690" s="1" t="str">
        <f>""</f>
        <v/>
      </c>
      <c r="D690" s="1" t="str">
        <f>""</f>
        <v/>
      </c>
      <c r="E690" s="1" t="str">
        <f>""</f>
        <v/>
      </c>
      <c r="F690" s="2">
        <v>133210399231.77</v>
      </c>
      <c r="H690" s="3"/>
    </row>
    <row r="691" spans="1:8" x14ac:dyDescent="0.25">
      <c r="A691" s="1">
        <f>("5456")*1</f>
        <v>5456</v>
      </c>
      <c r="B691" s="1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C691" s="1" t="str">
        <f>""</f>
        <v/>
      </c>
      <c r="D691" s="1" t="str">
        <f>""</f>
        <v/>
      </c>
      <c r="E691" s="1" t="str">
        <f>""</f>
        <v/>
      </c>
      <c r="F691" s="2">
        <v>405336856.20999998</v>
      </c>
      <c r="H691" s="3"/>
    </row>
    <row r="692" spans="1:8" x14ac:dyDescent="0.25">
      <c r="A692" s="1">
        <f>("5457")*1</f>
        <v>5457</v>
      </c>
      <c r="B692" s="1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C692" s="1" t="str">
        <f>""</f>
        <v/>
      </c>
      <c r="D692" s="1" t="str">
        <f>""</f>
        <v/>
      </c>
      <c r="E692" s="1" t="str">
        <f>""</f>
        <v/>
      </c>
      <c r="F692" s="2">
        <v>133849506.66</v>
      </c>
      <c r="H692" s="3"/>
    </row>
    <row r="693" spans="1:8" x14ac:dyDescent="0.25">
      <c r="A693" s="1">
        <f>("5459")*1</f>
        <v>5459</v>
      </c>
      <c r="B693" s="1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C693" s="1" t="str">
        <f>""</f>
        <v/>
      </c>
      <c r="D693" s="1" t="str">
        <f>""</f>
        <v/>
      </c>
      <c r="E693" s="1" t="str">
        <f>""</f>
        <v/>
      </c>
      <c r="F693" s="2">
        <v>323451.53000000003</v>
      </c>
      <c r="H693" s="3"/>
    </row>
    <row r="694" spans="1:8" x14ac:dyDescent="0.25">
      <c r="A694" s="1">
        <f>("5461")*1</f>
        <v>5461</v>
      </c>
      <c r="B694" s="1" t="str">
        <f>"Расходы на формирование резервов (провизий) по прочим финансовым активам, учитываемым по амортизированной стоимости"</f>
        <v>Расходы на формирование резервов (провизий) по прочим финансовым активам, учитываемым по амортизированной стоимости</v>
      </c>
      <c r="C694" s="1" t="str">
        <f>""</f>
        <v/>
      </c>
      <c r="D694" s="1" t="str">
        <f>""</f>
        <v/>
      </c>
      <c r="E694" s="1" t="str">
        <f>""</f>
        <v/>
      </c>
      <c r="F694" s="2">
        <v>4512532.84</v>
      </c>
      <c r="H694" s="3"/>
    </row>
    <row r="695" spans="1:8" x14ac:dyDescent="0.25">
      <c r="A695" s="1">
        <f>("5464")*1</f>
        <v>5464</v>
      </c>
      <c r="B695" s="1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C695" s="1" t="str">
        <f>""</f>
        <v/>
      </c>
      <c r="D695" s="1" t="str">
        <f>""</f>
        <v/>
      </c>
      <c r="E695" s="1" t="str">
        <f>""</f>
        <v/>
      </c>
      <c r="F695" s="2">
        <v>27343360319.720001</v>
      </c>
      <c r="H695" s="3"/>
    </row>
    <row r="696" spans="1:8" x14ac:dyDescent="0.25">
      <c r="A696" s="1">
        <f>("5465")*1</f>
        <v>5465</v>
      </c>
      <c r="B696" s="1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C696" s="1" t="str">
        <f>""</f>
        <v/>
      </c>
      <c r="D696" s="1" t="str">
        <f>""</f>
        <v/>
      </c>
      <c r="E696" s="1" t="str">
        <f>""</f>
        <v/>
      </c>
      <c r="F696" s="2">
        <v>1786981602.6400001</v>
      </c>
      <c r="H696" s="3"/>
    </row>
    <row r="697" spans="1:8" x14ac:dyDescent="0.25">
      <c r="A697" s="1">
        <f>("5510")*1</f>
        <v>5510</v>
      </c>
      <c r="B697" s="1" t="str">
        <f>"Расходы по купле-продаже ценных бумаг"</f>
        <v>Расходы по купле-продаже ценных бумаг</v>
      </c>
      <c r="C697" s="1" t="str">
        <f>""</f>
        <v/>
      </c>
      <c r="D697" s="1" t="str">
        <f>""</f>
        <v/>
      </c>
      <c r="E697" s="1" t="str">
        <f>""</f>
        <v/>
      </c>
      <c r="F697" s="2">
        <v>193651498.80000001</v>
      </c>
      <c r="H697" s="3"/>
    </row>
    <row r="698" spans="1:8" x14ac:dyDescent="0.25">
      <c r="A698" s="1">
        <f>("5530")*1</f>
        <v>5530</v>
      </c>
      <c r="B698" s="1" t="str">
        <f>"Расходы по купле-продаже иностранной валюты"</f>
        <v>Расходы по купле-продаже иностранной валюты</v>
      </c>
      <c r="C698" s="1" t="str">
        <f>""</f>
        <v/>
      </c>
      <c r="D698" s="1" t="str">
        <f>""</f>
        <v/>
      </c>
      <c r="E698" s="1" t="str">
        <f>""</f>
        <v/>
      </c>
      <c r="F698" s="2">
        <v>86502225037.839996</v>
      </c>
      <c r="H698" s="3"/>
    </row>
    <row r="699" spans="1:8" x14ac:dyDescent="0.25">
      <c r="A699" s="1">
        <f>("5540")*1</f>
        <v>5540</v>
      </c>
      <c r="B699" s="1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C699" s="1" t="str">
        <f>""</f>
        <v/>
      </c>
      <c r="D699" s="1" t="str">
        <f>""</f>
        <v/>
      </c>
      <c r="E699" s="1" t="str">
        <f>""</f>
        <v/>
      </c>
      <c r="F699" s="2">
        <v>1059266.94</v>
      </c>
      <c r="H699" s="3"/>
    </row>
    <row r="700" spans="1:8" x14ac:dyDescent="0.25">
      <c r="A700" s="1">
        <f>("5570")*1</f>
        <v>5570</v>
      </c>
      <c r="B700" s="1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C700" s="1" t="str">
        <f>""</f>
        <v/>
      </c>
      <c r="D700" s="1" t="str">
        <f>""</f>
        <v/>
      </c>
      <c r="E700" s="1" t="str">
        <f>""</f>
        <v/>
      </c>
      <c r="F700" s="2">
        <v>112025914.8</v>
      </c>
      <c r="H700" s="3"/>
    </row>
    <row r="701" spans="1:8" x14ac:dyDescent="0.25">
      <c r="A701" s="1">
        <f>("5593")*1</f>
        <v>5593</v>
      </c>
      <c r="B701" s="1" t="str">
        <f>"Расходы от переоценки операций своп"</f>
        <v>Расходы от переоценки операций своп</v>
      </c>
      <c r="C701" s="1" t="str">
        <f>""</f>
        <v/>
      </c>
      <c r="D701" s="1" t="str">
        <f>""</f>
        <v/>
      </c>
      <c r="E701" s="1" t="str">
        <f>""</f>
        <v/>
      </c>
      <c r="F701" s="2">
        <v>377143000</v>
      </c>
      <c r="H701" s="3"/>
    </row>
    <row r="702" spans="1:8" x14ac:dyDescent="0.25">
      <c r="A702" s="1">
        <f>("5601")*1</f>
        <v>5601</v>
      </c>
      <c r="B702" s="1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C702" s="1" t="str">
        <f>""</f>
        <v/>
      </c>
      <c r="D702" s="1" t="str">
        <f>""</f>
        <v/>
      </c>
      <c r="E702" s="1" t="str">
        <f>""</f>
        <v/>
      </c>
      <c r="F702" s="2">
        <v>671767272.36000001</v>
      </c>
      <c r="H702" s="3"/>
    </row>
    <row r="703" spans="1:8" x14ac:dyDescent="0.25">
      <c r="A703" s="1">
        <f>("5602")*1</f>
        <v>5602</v>
      </c>
      <c r="B703" s="1" t="str">
        <f>"Комиссионные расходы по полученным агентским услугам"</f>
        <v>Комиссионные расходы по полученным агентским услугам</v>
      </c>
      <c r="C703" s="1" t="str">
        <f>""</f>
        <v/>
      </c>
      <c r="D703" s="1" t="str">
        <f>""</f>
        <v/>
      </c>
      <c r="E703" s="1" t="str">
        <f>""</f>
        <v/>
      </c>
      <c r="F703" s="2">
        <v>2894883829.0500002</v>
      </c>
      <c r="H703" s="3"/>
    </row>
    <row r="704" spans="1:8" x14ac:dyDescent="0.25">
      <c r="A704" s="1">
        <f>("5603")*1</f>
        <v>5603</v>
      </c>
      <c r="B704" s="1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C704" s="1" t="str">
        <f>""</f>
        <v/>
      </c>
      <c r="D704" s="1" t="str">
        <f>""</f>
        <v/>
      </c>
      <c r="E704" s="1" t="str">
        <f>""</f>
        <v/>
      </c>
      <c r="F704" s="2">
        <v>4104255.85</v>
      </c>
      <c r="H704" s="3"/>
    </row>
    <row r="705" spans="1:8" x14ac:dyDescent="0.25">
      <c r="A705" s="1">
        <f>("5607")*1</f>
        <v>5607</v>
      </c>
      <c r="B705" s="1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C705" s="1" t="str">
        <f>""</f>
        <v/>
      </c>
      <c r="D705" s="1" t="str">
        <f>""</f>
        <v/>
      </c>
      <c r="E705" s="1" t="str">
        <f>""</f>
        <v/>
      </c>
      <c r="F705" s="2">
        <v>29377690.800000001</v>
      </c>
      <c r="H705" s="3"/>
    </row>
    <row r="706" spans="1:8" x14ac:dyDescent="0.25">
      <c r="A706" s="1">
        <f>("5608")*1</f>
        <v>5608</v>
      </c>
      <c r="B706" s="1" t="str">
        <f>"Прочие комиссионные расходы"</f>
        <v>Прочие комиссионные расходы</v>
      </c>
      <c r="C706" s="1" t="str">
        <f>""</f>
        <v/>
      </c>
      <c r="D706" s="1" t="str">
        <f>""</f>
        <v/>
      </c>
      <c r="E706" s="1" t="str">
        <f>""</f>
        <v/>
      </c>
      <c r="F706" s="2">
        <v>13340021775.42</v>
      </c>
      <c r="H706" s="3"/>
    </row>
    <row r="707" spans="1:8" x14ac:dyDescent="0.25">
      <c r="A707" s="1">
        <f>("5609")*1</f>
        <v>5609</v>
      </c>
      <c r="B707" s="1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C707" s="1" t="str">
        <f>""</f>
        <v/>
      </c>
      <c r="D707" s="1" t="str">
        <f>""</f>
        <v/>
      </c>
      <c r="E707" s="1" t="str">
        <f>""</f>
        <v/>
      </c>
      <c r="F707" s="2">
        <v>169316697.27000001</v>
      </c>
      <c r="H707" s="3"/>
    </row>
    <row r="708" spans="1:8" x14ac:dyDescent="0.25">
      <c r="A708" s="1">
        <f>("5703")*1</f>
        <v>5703</v>
      </c>
      <c r="B708" s="1" t="str">
        <f>"Расходы от переоценки иностранной валюты"</f>
        <v>Расходы от переоценки иностранной валюты</v>
      </c>
      <c r="C708" s="1" t="str">
        <f>""</f>
        <v/>
      </c>
      <c r="D708" s="1" t="str">
        <f>""</f>
        <v/>
      </c>
      <c r="E708" s="1" t="str">
        <f>""</f>
        <v/>
      </c>
      <c r="F708" s="2">
        <v>284828075813.46997</v>
      </c>
      <c r="H708" s="3"/>
    </row>
    <row r="709" spans="1:8" x14ac:dyDescent="0.25">
      <c r="A709" s="1">
        <f>("5704")*1</f>
        <v>5704</v>
      </c>
      <c r="B709" s="1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C709" s="1" t="str">
        <f>""</f>
        <v/>
      </c>
      <c r="D709" s="1" t="str">
        <f>""</f>
        <v/>
      </c>
      <c r="E709" s="1" t="str">
        <f>""</f>
        <v/>
      </c>
      <c r="F709" s="2">
        <v>108957157.95</v>
      </c>
      <c r="H709" s="3"/>
    </row>
    <row r="710" spans="1:8" x14ac:dyDescent="0.25">
      <c r="A710" s="1">
        <f>("5715")*1</f>
        <v>5715</v>
      </c>
      <c r="B710" s="1" t="str">
        <f>"Расходы от обесценения долгосрочных активов, предназначенных для продажи"</f>
        <v>Расходы от обесценения долгосрочных активов, предназначенных для продажи</v>
      </c>
      <c r="C710" s="1" t="str">
        <f>""</f>
        <v/>
      </c>
      <c r="D710" s="1" t="str">
        <f>""</f>
        <v/>
      </c>
      <c r="E710" s="1" t="str">
        <f>""</f>
        <v/>
      </c>
      <c r="F710" s="2">
        <v>23838896</v>
      </c>
      <c r="H710" s="3"/>
    </row>
    <row r="711" spans="1:8" x14ac:dyDescent="0.25">
      <c r="A711" s="1">
        <f>("5721")*1</f>
        <v>5721</v>
      </c>
      <c r="B711" s="1" t="str">
        <f>"Расходы по оплате труда"</f>
        <v>Расходы по оплате труда</v>
      </c>
      <c r="C711" s="1" t="str">
        <f>""</f>
        <v/>
      </c>
      <c r="D711" s="1" t="str">
        <f>""</f>
        <v/>
      </c>
      <c r="E711" s="1" t="str">
        <f>""</f>
        <v/>
      </c>
      <c r="F711" s="2">
        <v>29123606139.220001</v>
      </c>
      <c r="H711" s="3"/>
    </row>
    <row r="712" spans="1:8" x14ac:dyDescent="0.25">
      <c r="A712" s="1">
        <f>("5722")*1</f>
        <v>5722</v>
      </c>
      <c r="B712" s="1" t="str">
        <f>"Социальные отчисления"</f>
        <v>Социальные отчисления</v>
      </c>
      <c r="C712" s="1" t="str">
        <f>""</f>
        <v/>
      </c>
      <c r="D712" s="1" t="str">
        <f>""</f>
        <v/>
      </c>
      <c r="E712" s="1" t="str">
        <f>""</f>
        <v/>
      </c>
      <c r="F712" s="2">
        <v>1026880349</v>
      </c>
      <c r="H712" s="3"/>
    </row>
    <row r="713" spans="1:8" x14ac:dyDescent="0.25">
      <c r="A713" s="1">
        <f>("5729")*1</f>
        <v>5729</v>
      </c>
      <c r="B713" s="1" t="str">
        <f>"Прочие выплаты"</f>
        <v>Прочие выплаты</v>
      </c>
      <c r="C713" s="1" t="str">
        <f>""</f>
        <v/>
      </c>
      <c r="D713" s="1" t="str">
        <f>""</f>
        <v/>
      </c>
      <c r="E713" s="1" t="str">
        <f>""</f>
        <v/>
      </c>
      <c r="F713" s="2">
        <v>1017376821.29</v>
      </c>
      <c r="H713" s="3"/>
    </row>
    <row r="714" spans="1:8" x14ac:dyDescent="0.25">
      <c r="A714" s="1">
        <f>("5733")*1</f>
        <v>5733</v>
      </c>
      <c r="B714" s="1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C714" s="1" t="str">
        <f>""</f>
        <v/>
      </c>
      <c r="D714" s="1" t="str">
        <f>""</f>
        <v/>
      </c>
      <c r="E714" s="1" t="str">
        <f>""</f>
        <v/>
      </c>
      <c r="F714" s="2">
        <v>199587.55</v>
      </c>
      <c r="H714" s="3"/>
    </row>
    <row r="715" spans="1:8" x14ac:dyDescent="0.25">
      <c r="A715" s="1">
        <f>("5741")*1</f>
        <v>5741</v>
      </c>
      <c r="B715" s="1" t="str">
        <f>"Транспортные расходы"</f>
        <v>Транспортные расходы</v>
      </c>
      <c r="C715" s="1" t="str">
        <f>""</f>
        <v/>
      </c>
      <c r="D715" s="1" t="str">
        <f>""</f>
        <v/>
      </c>
      <c r="E715" s="1" t="str">
        <f>""</f>
        <v/>
      </c>
      <c r="F715" s="2">
        <v>57689158.359999999</v>
      </c>
      <c r="H715" s="3"/>
    </row>
    <row r="716" spans="1:8" x14ac:dyDescent="0.25">
      <c r="A716" s="1">
        <f>("5742")*1</f>
        <v>5742</v>
      </c>
      <c r="B716" s="1" t="str">
        <f>"Административные расходы"</f>
        <v>Административные расходы</v>
      </c>
      <c r="C716" s="1" t="str">
        <f>""</f>
        <v/>
      </c>
      <c r="D716" s="1" t="str">
        <f>""</f>
        <v/>
      </c>
      <c r="E716" s="1" t="str">
        <f>""</f>
        <v/>
      </c>
      <c r="F716" s="2">
        <v>6204767921.3699999</v>
      </c>
      <c r="H716" s="3"/>
    </row>
    <row r="717" spans="1:8" x14ac:dyDescent="0.25">
      <c r="A717" s="1">
        <f>("5743")*1</f>
        <v>5743</v>
      </c>
      <c r="B717" s="1" t="str">
        <f>"Расходы на инкассацию"</f>
        <v>Расходы на инкассацию</v>
      </c>
      <c r="C717" s="1" t="str">
        <f>""</f>
        <v/>
      </c>
      <c r="D717" s="1" t="str">
        <f>""</f>
        <v/>
      </c>
      <c r="E717" s="1" t="str">
        <f>""</f>
        <v/>
      </c>
      <c r="F717" s="2">
        <v>315242886.56</v>
      </c>
      <c r="H717" s="3"/>
    </row>
    <row r="718" spans="1:8" x14ac:dyDescent="0.25">
      <c r="A718" s="1">
        <f>("5744")*1</f>
        <v>5744</v>
      </c>
      <c r="B718" s="1" t="str">
        <f>"Расходы на ремонт"</f>
        <v>Расходы на ремонт</v>
      </c>
      <c r="C718" s="1" t="str">
        <f>""</f>
        <v/>
      </c>
      <c r="D718" s="1" t="str">
        <f>""</f>
        <v/>
      </c>
      <c r="E718" s="1" t="str">
        <f>""</f>
        <v/>
      </c>
      <c r="F718" s="2">
        <v>410566404.63999999</v>
      </c>
      <c r="H718" s="3"/>
    </row>
    <row r="719" spans="1:8" x14ac:dyDescent="0.25">
      <c r="A719" s="1">
        <f>("5745")*1</f>
        <v>5745</v>
      </c>
      <c r="B719" s="1" t="str">
        <f>"Расходы на рекламу"</f>
        <v>Расходы на рекламу</v>
      </c>
      <c r="C719" s="1" t="str">
        <f>""</f>
        <v/>
      </c>
      <c r="D719" s="1" t="str">
        <f>""</f>
        <v/>
      </c>
      <c r="E719" s="1" t="str">
        <f>""</f>
        <v/>
      </c>
      <c r="F719" s="2">
        <v>435242519.99000001</v>
      </c>
      <c r="H719" s="3"/>
    </row>
    <row r="720" spans="1:8" x14ac:dyDescent="0.25">
      <c r="A720" s="1">
        <f>("5746")*1</f>
        <v>5746</v>
      </c>
      <c r="B720" s="1" t="str">
        <f>"Расходы на охрану и сигнализацию"</f>
        <v>Расходы на охрану и сигнализацию</v>
      </c>
      <c r="C720" s="1" t="str">
        <f>""</f>
        <v/>
      </c>
      <c r="D720" s="1" t="str">
        <f>""</f>
        <v/>
      </c>
      <c r="E720" s="1" t="str">
        <f>""</f>
        <v/>
      </c>
      <c r="F720" s="2">
        <v>1230683094.4300001</v>
      </c>
      <c r="H720" s="3"/>
    </row>
    <row r="721" spans="1:8" x14ac:dyDescent="0.25">
      <c r="A721" s="1">
        <f>("5747")*1</f>
        <v>5747</v>
      </c>
      <c r="B721" s="1" t="str">
        <f>"Представительские расходы"</f>
        <v>Представительские расходы</v>
      </c>
      <c r="C721" s="1" t="str">
        <f>""</f>
        <v/>
      </c>
      <c r="D721" s="1" t="str">
        <f>""</f>
        <v/>
      </c>
      <c r="E721" s="1" t="str">
        <f>""</f>
        <v/>
      </c>
      <c r="F721" s="2">
        <v>1156254</v>
      </c>
      <c r="H721" s="3"/>
    </row>
    <row r="722" spans="1:8" x14ac:dyDescent="0.25">
      <c r="A722" s="1">
        <f>("5748")*1</f>
        <v>5748</v>
      </c>
      <c r="B722" s="1" t="str">
        <f>"Прочие общехозяйственные расходы"</f>
        <v>Прочие общехозяйственные расходы</v>
      </c>
      <c r="C722" s="1" t="str">
        <f>""</f>
        <v/>
      </c>
      <c r="D722" s="1" t="str">
        <f>""</f>
        <v/>
      </c>
      <c r="E722" s="1" t="str">
        <f>""</f>
        <v/>
      </c>
      <c r="F722" s="2">
        <v>3959780.39</v>
      </c>
      <c r="H722" s="3"/>
    </row>
    <row r="723" spans="1:8" x14ac:dyDescent="0.25">
      <c r="A723" s="1">
        <f>("5749")*1</f>
        <v>5749</v>
      </c>
      <c r="B723" s="1" t="str">
        <f>"Расходы на служебные командировки"</f>
        <v>Расходы на служебные командировки</v>
      </c>
      <c r="C723" s="1" t="str">
        <f>""</f>
        <v/>
      </c>
      <c r="D723" s="1" t="str">
        <f>""</f>
        <v/>
      </c>
      <c r="E723" s="1" t="str">
        <f>""</f>
        <v/>
      </c>
      <c r="F723" s="2">
        <v>262294027.38</v>
      </c>
      <c r="H723" s="3"/>
    </row>
    <row r="724" spans="1:8" x14ac:dyDescent="0.25">
      <c r="A724" s="1">
        <f>("5750")*1</f>
        <v>5750</v>
      </c>
      <c r="B724" s="1" t="str">
        <f>"Расходы по аудиту и консультационным услугам"</f>
        <v>Расходы по аудиту и консультационным услугам</v>
      </c>
      <c r="C724" s="1" t="str">
        <f>""</f>
        <v/>
      </c>
      <c r="D724" s="1" t="str">
        <f>""</f>
        <v/>
      </c>
      <c r="E724" s="1" t="str">
        <f>""</f>
        <v/>
      </c>
      <c r="F724" s="2">
        <v>136586818.49000001</v>
      </c>
      <c r="H724" s="3"/>
    </row>
    <row r="725" spans="1:8" x14ac:dyDescent="0.25">
      <c r="A725" s="1">
        <f>("5752")*1</f>
        <v>5752</v>
      </c>
      <c r="B725" s="1" t="str">
        <f>"Расходы по страхованию"</f>
        <v>Расходы по страхованию</v>
      </c>
      <c r="C725" s="1" t="str">
        <f>""</f>
        <v/>
      </c>
      <c r="D725" s="1" t="str">
        <f>""</f>
        <v/>
      </c>
      <c r="E725" s="1" t="str">
        <f>""</f>
        <v/>
      </c>
      <c r="F725" s="2">
        <v>58287014.689999998</v>
      </c>
      <c r="H725" s="3"/>
    </row>
    <row r="726" spans="1:8" x14ac:dyDescent="0.25">
      <c r="A726" s="1">
        <f>("5753")*1</f>
        <v>5753</v>
      </c>
      <c r="B726" s="1" t="str">
        <f>"Расходы по услугам связи"</f>
        <v>Расходы по услугам связи</v>
      </c>
      <c r="C726" s="1" t="str">
        <f>""</f>
        <v/>
      </c>
      <c r="D726" s="1" t="str">
        <f>""</f>
        <v/>
      </c>
      <c r="E726" s="1" t="str">
        <f>""</f>
        <v/>
      </c>
      <c r="F726" s="2">
        <v>1487302520.4100001</v>
      </c>
      <c r="H726" s="3"/>
    </row>
    <row r="727" spans="1:8" x14ac:dyDescent="0.25">
      <c r="A727" s="1">
        <f>("5754")*1</f>
        <v>5754</v>
      </c>
      <c r="B727" s="1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C727" s="1" t="str">
        <f>""</f>
        <v/>
      </c>
      <c r="D727" s="1" t="str">
        <f>""</f>
        <v/>
      </c>
      <c r="E727" s="1" t="str">
        <f>""</f>
        <v/>
      </c>
      <c r="F727" s="2">
        <v>2297748161.0700002</v>
      </c>
      <c r="H727" s="3"/>
    </row>
    <row r="728" spans="1:8" x14ac:dyDescent="0.25">
      <c r="A728" s="1">
        <f>("5761")*1</f>
        <v>5761</v>
      </c>
      <c r="B728" s="1" t="str">
        <f>"Налог на добавленную стоимость"</f>
        <v>Налог на добавленную стоимость</v>
      </c>
      <c r="C728" s="1" t="str">
        <f>""</f>
        <v/>
      </c>
      <c r="D728" s="1" t="str">
        <f>""</f>
        <v/>
      </c>
      <c r="E728" s="1" t="str">
        <f>""</f>
        <v/>
      </c>
      <c r="F728" s="2">
        <v>1394726557.6800001</v>
      </c>
      <c r="H728" s="3"/>
    </row>
    <row r="729" spans="1:8" x14ac:dyDescent="0.25">
      <c r="A729" s="1">
        <f>("5763")*1</f>
        <v>5763</v>
      </c>
      <c r="B729" s="1" t="str">
        <f>"Социальный налог"</f>
        <v>Социальный налог</v>
      </c>
      <c r="C729" s="1" t="str">
        <f>""</f>
        <v/>
      </c>
      <c r="D729" s="1" t="str">
        <f>""</f>
        <v/>
      </c>
      <c r="E729" s="1" t="str">
        <f>""</f>
        <v/>
      </c>
      <c r="F729" s="2">
        <v>1904675448.1700001</v>
      </c>
      <c r="H729" s="3"/>
    </row>
    <row r="730" spans="1:8" x14ac:dyDescent="0.25">
      <c r="A730" s="1">
        <f>("5764")*1</f>
        <v>5764</v>
      </c>
      <c r="B730" s="1" t="str">
        <f>"Земельный налог"</f>
        <v>Земельный налог</v>
      </c>
      <c r="C730" s="1" t="str">
        <f>""</f>
        <v/>
      </c>
      <c r="D730" s="1" t="str">
        <f>""</f>
        <v/>
      </c>
      <c r="E730" s="1" t="str">
        <f>""</f>
        <v/>
      </c>
      <c r="F730" s="2">
        <v>6329298.3499999996</v>
      </c>
      <c r="H730" s="3"/>
    </row>
    <row r="731" spans="1:8" x14ac:dyDescent="0.25">
      <c r="A731" s="1">
        <f>("5765")*1</f>
        <v>5765</v>
      </c>
      <c r="B731" s="1" t="str">
        <f>"Налог на имущество юридических лиц"</f>
        <v>Налог на имущество юридических лиц</v>
      </c>
      <c r="C731" s="1" t="str">
        <f>""</f>
        <v/>
      </c>
      <c r="D731" s="1" t="str">
        <f>""</f>
        <v/>
      </c>
      <c r="E731" s="1" t="str">
        <f>""</f>
        <v/>
      </c>
      <c r="F731" s="2">
        <v>148809596.13999999</v>
      </c>
      <c r="H731" s="3"/>
    </row>
    <row r="732" spans="1:8" x14ac:dyDescent="0.25">
      <c r="A732" s="1">
        <f>("5766")*1</f>
        <v>5766</v>
      </c>
      <c r="B732" s="1" t="str">
        <f>"Налог на транспортные средства"</f>
        <v>Налог на транспортные средства</v>
      </c>
      <c r="C732" s="1" t="str">
        <f>""</f>
        <v/>
      </c>
      <c r="D732" s="1" t="str">
        <f>""</f>
        <v/>
      </c>
      <c r="E732" s="1" t="str">
        <f>""</f>
        <v/>
      </c>
      <c r="F732" s="2">
        <v>3460850</v>
      </c>
      <c r="H732" s="3"/>
    </row>
    <row r="733" spans="1:8" x14ac:dyDescent="0.25">
      <c r="A733" s="1">
        <f>("5768")*1</f>
        <v>5768</v>
      </c>
      <c r="B733" s="1" t="str">
        <f>"Прочие налоги и обязательные платежи в бюджет"</f>
        <v>Прочие налоги и обязательные платежи в бюджет</v>
      </c>
      <c r="C733" s="1" t="str">
        <f>""</f>
        <v/>
      </c>
      <c r="D733" s="1" t="str">
        <f>""</f>
        <v/>
      </c>
      <c r="E733" s="1" t="str">
        <f>""</f>
        <v/>
      </c>
      <c r="F733" s="2">
        <v>14985734.26</v>
      </c>
      <c r="H733" s="3"/>
    </row>
    <row r="734" spans="1:8" x14ac:dyDescent="0.25">
      <c r="A734" s="1">
        <f>("5781")*1</f>
        <v>5781</v>
      </c>
      <c r="B734" s="1" t="str">
        <f>"Расходы по амортизации зданий и сооружений"</f>
        <v>Расходы по амортизации зданий и сооружений</v>
      </c>
      <c r="C734" s="1" t="str">
        <f>""</f>
        <v/>
      </c>
      <c r="D734" s="1" t="str">
        <f>""</f>
        <v/>
      </c>
      <c r="E734" s="1" t="str">
        <f>""</f>
        <v/>
      </c>
      <c r="F734" s="2">
        <v>148670772</v>
      </c>
      <c r="H734" s="3"/>
    </row>
    <row r="735" spans="1:8" x14ac:dyDescent="0.25">
      <c r="A735" s="1">
        <f>("5782")*1</f>
        <v>5782</v>
      </c>
      <c r="B735" s="1" t="str">
        <f>"Расходы по амортизации компьютерного оборудования"</f>
        <v>Расходы по амортизации компьютерного оборудования</v>
      </c>
      <c r="C735" s="1" t="str">
        <f>""</f>
        <v/>
      </c>
      <c r="D735" s="1" t="str">
        <f>""</f>
        <v/>
      </c>
      <c r="E735" s="1" t="str">
        <f>""</f>
        <v/>
      </c>
      <c r="F735" s="2">
        <v>725411717.25999999</v>
      </c>
      <c r="H735" s="3"/>
    </row>
    <row r="736" spans="1:8" x14ac:dyDescent="0.25">
      <c r="A736" s="1">
        <f>("5783")*1</f>
        <v>5783</v>
      </c>
      <c r="B736" s="1" t="str">
        <f>"Расходы по амортизации прочих основных средств"</f>
        <v>Расходы по амортизации прочих основных средств</v>
      </c>
      <c r="C736" s="1" t="str">
        <f>""</f>
        <v/>
      </c>
      <c r="D736" s="1" t="str">
        <f>""</f>
        <v/>
      </c>
      <c r="E736" s="1" t="str">
        <f>""</f>
        <v/>
      </c>
      <c r="F736" s="2">
        <v>581262633.66999996</v>
      </c>
      <c r="H736" s="3"/>
    </row>
    <row r="737" spans="1:8" x14ac:dyDescent="0.25">
      <c r="A737" s="1">
        <f>("5784")*1</f>
        <v>5784</v>
      </c>
      <c r="B737" s="1" t="str">
        <f>"Расходы по амортизации активов в форме права пользования"</f>
        <v>Расходы по амортизации активов в форме права пользования</v>
      </c>
      <c r="C737" s="1" t="str">
        <f>""</f>
        <v/>
      </c>
      <c r="D737" s="1" t="str">
        <f>""</f>
        <v/>
      </c>
      <c r="E737" s="1" t="str">
        <f>""</f>
        <v/>
      </c>
      <c r="F737" s="2">
        <v>1304167076.6800001</v>
      </c>
      <c r="H737" s="3"/>
    </row>
    <row r="738" spans="1:8" x14ac:dyDescent="0.25">
      <c r="A738" s="1">
        <f>("5786")*1</f>
        <v>5786</v>
      </c>
      <c r="B738" s="1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C738" s="1" t="str">
        <f>""</f>
        <v/>
      </c>
      <c r="D738" s="1" t="str">
        <f>""</f>
        <v/>
      </c>
      <c r="E738" s="1" t="str">
        <f>""</f>
        <v/>
      </c>
      <c r="F738" s="2">
        <v>589099</v>
      </c>
      <c r="H738" s="3"/>
    </row>
    <row r="739" spans="1:8" x14ac:dyDescent="0.25">
      <c r="A739" s="1">
        <f>("5787")*1</f>
        <v>5787</v>
      </c>
      <c r="B739" s="1" t="str">
        <f>"Расходы по амортизации транспортных средств"</f>
        <v>Расходы по амортизации транспортных средств</v>
      </c>
      <c r="C739" s="1" t="str">
        <f>""</f>
        <v/>
      </c>
      <c r="D739" s="1" t="str">
        <f>""</f>
        <v/>
      </c>
      <c r="E739" s="1" t="str">
        <f>""</f>
        <v/>
      </c>
      <c r="F739" s="2">
        <v>35555074.329999998</v>
      </c>
      <c r="H739" s="3"/>
    </row>
    <row r="740" spans="1:8" x14ac:dyDescent="0.25">
      <c r="A740" s="1">
        <f>("5788")*1</f>
        <v>5788</v>
      </c>
      <c r="B740" s="1" t="str">
        <f>"Расходы по амортизации нематериальных активов"</f>
        <v>Расходы по амортизации нематериальных активов</v>
      </c>
      <c r="C740" s="1" t="str">
        <f>""</f>
        <v/>
      </c>
      <c r="D740" s="1" t="str">
        <f>""</f>
        <v/>
      </c>
      <c r="E740" s="1" t="str">
        <f>""</f>
        <v/>
      </c>
      <c r="F740" s="2">
        <v>1418040466.6600001</v>
      </c>
      <c r="H740" s="3"/>
    </row>
    <row r="741" spans="1:8" x14ac:dyDescent="0.25">
      <c r="A741" s="1">
        <f>("5854")*1</f>
        <v>5854</v>
      </c>
      <c r="B741" s="1" t="str">
        <f>"Расходы от реализации запасов"</f>
        <v>Расходы от реализации запасов</v>
      </c>
      <c r="C741" s="1" t="str">
        <f>""</f>
        <v/>
      </c>
      <c r="D741" s="1" t="str">
        <f>""</f>
        <v/>
      </c>
      <c r="E741" s="1" t="str">
        <f>""</f>
        <v/>
      </c>
      <c r="F741" s="2">
        <v>402001.15</v>
      </c>
      <c r="H741" s="3"/>
    </row>
    <row r="742" spans="1:8" x14ac:dyDescent="0.25">
      <c r="A742" s="1">
        <f>("5892")*1</f>
        <v>5892</v>
      </c>
      <c r="B742" s="1" t="str">
        <f>"Расходы по операциям форвард"</f>
        <v>Расходы по операциям форвард</v>
      </c>
      <c r="C742" s="1" t="str">
        <f>""</f>
        <v/>
      </c>
      <c r="D742" s="1" t="str">
        <f>""</f>
        <v/>
      </c>
      <c r="E742" s="1" t="str">
        <f>""</f>
        <v/>
      </c>
      <c r="F742" s="2">
        <v>85839074.930000007</v>
      </c>
      <c r="H742" s="3"/>
    </row>
    <row r="743" spans="1:8" x14ac:dyDescent="0.25">
      <c r="A743" s="1">
        <f>("5895")*1</f>
        <v>5895</v>
      </c>
      <c r="B743" s="1" t="str">
        <f>"Расходы по операциям своп"</f>
        <v>Расходы по операциям своп</v>
      </c>
      <c r="C743" s="1" t="str">
        <f>""</f>
        <v/>
      </c>
      <c r="D743" s="1" t="str">
        <f>""</f>
        <v/>
      </c>
      <c r="E743" s="1" t="str">
        <f>""</f>
        <v/>
      </c>
      <c r="F743" s="2">
        <v>6176514418.3800001</v>
      </c>
      <c r="H743" s="3"/>
    </row>
    <row r="744" spans="1:8" x14ac:dyDescent="0.25">
      <c r="A744" s="1">
        <f>("5900")*1</f>
        <v>5900</v>
      </c>
      <c r="B744" s="1" t="str">
        <f>"Неустойка (штраф, пеня)"</f>
        <v>Неустойка (штраф, пеня)</v>
      </c>
      <c r="C744" s="1" t="str">
        <f>""</f>
        <v/>
      </c>
      <c r="D744" s="1" t="str">
        <f>""</f>
        <v/>
      </c>
      <c r="E744" s="1" t="str">
        <f>""</f>
        <v/>
      </c>
      <c r="F744" s="2">
        <v>5968048.8899999997</v>
      </c>
      <c r="H744" s="3"/>
    </row>
    <row r="745" spans="1:8" x14ac:dyDescent="0.25">
      <c r="A745" s="1">
        <f>("5921")*1</f>
        <v>5921</v>
      </c>
      <c r="B745" s="1" t="str">
        <f>"Прочие расходы от банковской деятельности"</f>
        <v>Прочие расходы от банковской деятельности</v>
      </c>
      <c r="C745" s="1" t="str">
        <f>""</f>
        <v/>
      </c>
      <c r="D745" s="1" t="str">
        <f>""</f>
        <v/>
      </c>
      <c r="E745" s="1" t="str">
        <f>""</f>
        <v/>
      </c>
      <c r="F745" s="2">
        <v>4849390049.21</v>
      </c>
      <c r="H745" s="3"/>
    </row>
    <row r="746" spans="1:8" x14ac:dyDescent="0.25">
      <c r="A746" s="1">
        <f>("5922")*1</f>
        <v>5922</v>
      </c>
      <c r="B746" s="1" t="str">
        <f>"Прочие расходы от неосновной деятельности"</f>
        <v>Прочие расходы от неосновной деятельности</v>
      </c>
      <c r="C746" s="1" t="str">
        <f>""</f>
        <v/>
      </c>
      <c r="D746" s="1" t="str">
        <f>""</f>
        <v/>
      </c>
      <c r="E746" s="1" t="str">
        <f>""</f>
        <v/>
      </c>
      <c r="F746" s="2">
        <v>481523629.42000002</v>
      </c>
      <c r="H746" s="3"/>
    </row>
    <row r="747" spans="1:8" x14ac:dyDescent="0.25">
      <c r="A747" s="1">
        <f>("5923")*1</f>
        <v>5923</v>
      </c>
      <c r="B747" s="1" t="str">
        <f>"Расходы по аренде"</f>
        <v>Расходы по аренде</v>
      </c>
      <c r="C747" s="1" t="str">
        <f>""</f>
        <v/>
      </c>
      <c r="D747" s="1" t="str">
        <f>""</f>
        <v/>
      </c>
      <c r="E747" s="1" t="str">
        <f>""</f>
        <v/>
      </c>
      <c r="F747" s="2">
        <v>436398410.04000002</v>
      </c>
      <c r="H747" s="3"/>
    </row>
    <row r="748" spans="1:8" x14ac:dyDescent="0.25">
      <c r="A748" s="1">
        <f>("5999")*1</f>
        <v>5999</v>
      </c>
      <c r="B748" s="1" t="str">
        <f>"Корпоративный подоходный налог"</f>
        <v>Корпоративный подоходный налог</v>
      </c>
      <c r="C748" s="1" t="str">
        <f>""</f>
        <v/>
      </c>
      <c r="D748" s="1" t="str">
        <f>""</f>
        <v/>
      </c>
      <c r="E748" s="1" t="str">
        <f>""</f>
        <v/>
      </c>
      <c r="F748" s="2">
        <v>24186816521</v>
      </c>
      <c r="H748" s="3"/>
    </row>
    <row r="749" spans="1:8" x14ac:dyDescent="0.25">
      <c r="A749" s="1">
        <f>("6010")*1</f>
        <v>6010</v>
      </c>
      <c r="B749" s="1" t="str">
        <f>"Возможные требования по подтвержденным непокрытым аккредитивам"</f>
        <v>Возможные требования по подтвержденным непокрытым аккредитивам</v>
      </c>
      <c r="C749" s="1" t="str">
        <f>""</f>
        <v/>
      </c>
      <c r="D749" s="1" t="str">
        <f>""</f>
        <v/>
      </c>
      <c r="E749" s="1" t="str">
        <f>""</f>
        <v/>
      </c>
      <c r="F749" s="2">
        <v>7895019037.4099998</v>
      </c>
      <c r="H749" s="3"/>
    </row>
    <row r="750" spans="1:8" x14ac:dyDescent="0.25">
      <c r="A750" s="1">
        <f>("6020")*1</f>
        <v>6020</v>
      </c>
      <c r="B750" s="1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C750" s="1" t="str">
        <f>""</f>
        <v/>
      </c>
      <c r="D750" s="1" t="str">
        <f>""</f>
        <v/>
      </c>
      <c r="E750" s="1" t="str">
        <f>""</f>
        <v/>
      </c>
      <c r="F750" s="2">
        <v>1665697298.8199999</v>
      </c>
      <c r="H750" s="3"/>
    </row>
    <row r="751" spans="1:8" x14ac:dyDescent="0.25">
      <c r="A751" s="1">
        <f>("6055")*1</f>
        <v>6055</v>
      </c>
      <c r="B751" s="1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C751" s="1" t="str">
        <f>""</f>
        <v/>
      </c>
      <c r="D751" s="1" t="str">
        <f>""</f>
        <v/>
      </c>
      <c r="E751" s="1" t="str">
        <f>""</f>
        <v/>
      </c>
      <c r="F751" s="2">
        <v>25923384885.73</v>
      </c>
      <c r="H751" s="3"/>
    </row>
    <row r="752" spans="1:8" x14ac:dyDescent="0.25">
      <c r="A752" s="1">
        <f>("6075")*1</f>
        <v>6075</v>
      </c>
      <c r="B752" s="1" t="str">
        <f>"Возможные требования по принятым гарантиям"</f>
        <v>Возможные требования по принятым гарантиям</v>
      </c>
      <c r="C752" s="1" t="str">
        <f>""</f>
        <v/>
      </c>
      <c r="D752" s="1" t="str">
        <f>""</f>
        <v/>
      </c>
      <c r="E752" s="1" t="str">
        <f>""</f>
        <v/>
      </c>
      <c r="F752" s="2">
        <v>2210786421377.5498</v>
      </c>
      <c r="H752" s="3"/>
    </row>
    <row r="753" spans="1:8" x14ac:dyDescent="0.25">
      <c r="A753" s="1">
        <f>("6125")*1</f>
        <v>6125</v>
      </c>
      <c r="B753" s="1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C753" s="1" t="str">
        <f>""</f>
        <v/>
      </c>
      <c r="D753" s="1" t="str">
        <f>""</f>
        <v/>
      </c>
      <c r="E753" s="1" t="str">
        <f>""</f>
        <v/>
      </c>
      <c r="F753" s="2">
        <v>6995037.4699999997</v>
      </c>
      <c r="H753" s="3"/>
    </row>
    <row r="754" spans="1:8" x14ac:dyDescent="0.25">
      <c r="A754" s="1">
        <f>("6126")*1</f>
        <v>6126</v>
      </c>
      <c r="B754" s="1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C754" s="1" t="str">
        <f>""</f>
        <v/>
      </c>
      <c r="D754" s="1" t="str">
        <f>""</f>
        <v/>
      </c>
      <c r="E754" s="1" t="str">
        <f>""</f>
        <v/>
      </c>
      <c r="F754" s="2">
        <v>146573726357.35999</v>
      </c>
      <c r="H754" s="3"/>
    </row>
    <row r="755" spans="1:8" x14ac:dyDescent="0.25">
      <c r="A755" s="1">
        <f>("6130")*1</f>
        <v>6130</v>
      </c>
      <c r="B755" s="1" t="str">
        <f>"Неподвижные вклады клиентов"</f>
        <v>Неподвижные вклады клиентов</v>
      </c>
      <c r="C755" s="1" t="str">
        <f>""</f>
        <v/>
      </c>
      <c r="D755" s="1" t="str">
        <f>""</f>
        <v/>
      </c>
      <c r="E755" s="1" t="str">
        <f>""</f>
        <v/>
      </c>
      <c r="F755" s="2">
        <v>41376340.5</v>
      </c>
      <c r="H755" s="3"/>
    </row>
    <row r="756" spans="1:8" x14ac:dyDescent="0.25">
      <c r="A756" s="1">
        <f>("6155")*1</f>
        <v>6155</v>
      </c>
      <c r="B756" s="1" t="str">
        <f>"Условные требования по получению вкладов в будущем"</f>
        <v>Условные требования по получению вкладов в будущем</v>
      </c>
      <c r="C756" s="1" t="str">
        <f>""</f>
        <v/>
      </c>
      <c r="D756" s="1" t="str">
        <f>""</f>
        <v/>
      </c>
      <c r="E756" s="1" t="str">
        <f>""</f>
        <v/>
      </c>
      <c r="F756" s="2">
        <v>8285819576.71</v>
      </c>
      <c r="H756" s="3"/>
    </row>
    <row r="757" spans="1:8" x14ac:dyDescent="0.25">
      <c r="A757" s="1">
        <f>("6175")*1</f>
        <v>6175</v>
      </c>
      <c r="B757" s="1" t="str">
        <f>"Условные требования по получению займов в будущем"</f>
        <v>Условные требования по получению займов в будущем</v>
      </c>
      <c r="C757" s="1" t="str">
        <f>""</f>
        <v/>
      </c>
      <c r="D757" s="1" t="str">
        <f>""</f>
        <v/>
      </c>
      <c r="E757" s="1" t="str">
        <f>""</f>
        <v/>
      </c>
      <c r="F757" s="2">
        <v>68209995</v>
      </c>
      <c r="H757" s="3"/>
    </row>
    <row r="758" spans="1:8" x14ac:dyDescent="0.25">
      <c r="A758" s="1">
        <f>("6177")*1</f>
        <v>6177</v>
      </c>
      <c r="B758" s="1" t="str">
        <f>"Условные требования по предоставленным займам"</f>
        <v>Условные требования по предоставленным займам</v>
      </c>
      <c r="C758" s="1" t="str">
        <f>""</f>
        <v/>
      </c>
      <c r="D758" s="1" t="str">
        <f>""</f>
        <v/>
      </c>
      <c r="E758" s="1" t="str">
        <f>""</f>
        <v/>
      </c>
      <c r="F758" s="2">
        <v>5798617.4199999999</v>
      </c>
      <c r="H758" s="3"/>
    </row>
    <row r="759" spans="1:8" x14ac:dyDescent="0.25">
      <c r="A759" s="1">
        <f>("6405")*1</f>
        <v>6405</v>
      </c>
      <c r="B759" s="1" t="str">
        <f>"Условные требования по купле-продаже иностранной валюты"</f>
        <v>Условные требования по купле-продаже иностранной валюты</v>
      </c>
      <c r="C759" s="1" t="str">
        <f>""</f>
        <v/>
      </c>
      <c r="D759" s="1" t="str">
        <f>""</f>
        <v/>
      </c>
      <c r="E759" s="1" t="str">
        <f>""</f>
        <v/>
      </c>
      <c r="F759" s="2">
        <v>88334885900</v>
      </c>
      <c r="H759" s="3"/>
    </row>
    <row r="760" spans="1:8" x14ac:dyDescent="0.25">
      <c r="A760" s="1">
        <f>("6510")*1</f>
        <v>6510</v>
      </c>
      <c r="B760" s="1" t="str">
        <f>"Возможные обязательства по подтвержденным непокрытым аккредитивам"</f>
        <v>Возможные обязательства по подтвержденным непокрытым аккредитивам</v>
      </c>
      <c r="C760" s="1" t="str">
        <f>""</f>
        <v/>
      </c>
      <c r="D760" s="1" t="str">
        <f>""</f>
        <v/>
      </c>
      <c r="E760" s="1" t="str">
        <f>""</f>
        <v/>
      </c>
      <c r="F760" s="2">
        <v>7895019037.4099998</v>
      </c>
      <c r="H760" s="3"/>
    </row>
    <row r="761" spans="1:8" x14ac:dyDescent="0.25">
      <c r="A761" s="1">
        <f>("6520")*1</f>
        <v>6520</v>
      </c>
      <c r="B761" s="1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C761" s="1" t="str">
        <f>""</f>
        <v/>
      </c>
      <c r="D761" s="1" t="str">
        <f>""</f>
        <v/>
      </c>
      <c r="E761" s="1" t="str">
        <f>""</f>
        <v/>
      </c>
      <c r="F761" s="2">
        <v>1665697298.8199999</v>
      </c>
      <c r="H761" s="3"/>
    </row>
    <row r="762" spans="1:8" x14ac:dyDescent="0.25">
      <c r="A762" s="1">
        <f>("6555")*1</f>
        <v>6555</v>
      </c>
      <c r="B762" s="1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C762" s="1" t="str">
        <f>""</f>
        <v/>
      </c>
      <c r="D762" s="1" t="str">
        <f>""</f>
        <v/>
      </c>
      <c r="E762" s="1" t="str">
        <f>""</f>
        <v/>
      </c>
      <c r="F762" s="2">
        <v>25923384885.73</v>
      </c>
      <c r="H762" s="3"/>
    </row>
    <row r="763" spans="1:8" x14ac:dyDescent="0.25">
      <c r="A763" s="1">
        <f>("6575")*1</f>
        <v>6575</v>
      </c>
      <c r="B763" s="1" t="str">
        <f>"Возможное уменьшение требований по принятым гарантиям"</f>
        <v>Возможное уменьшение требований по принятым гарантиям</v>
      </c>
      <c r="C763" s="1" t="str">
        <f>""</f>
        <v/>
      </c>
      <c r="D763" s="1" t="str">
        <f>""</f>
        <v/>
      </c>
      <c r="E763" s="1" t="str">
        <f>""</f>
        <v/>
      </c>
      <c r="F763" s="2">
        <v>2210786421377.5498</v>
      </c>
      <c r="H763" s="3"/>
    </row>
    <row r="764" spans="1:8" x14ac:dyDescent="0.25">
      <c r="A764" s="1">
        <f>("6625")*1</f>
        <v>6625</v>
      </c>
      <c r="B764" s="1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C764" s="1" t="str">
        <f>""</f>
        <v/>
      </c>
      <c r="D764" s="1" t="str">
        <f>""</f>
        <v/>
      </c>
      <c r="E764" s="1" t="str">
        <f>""</f>
        <v/>
      </c>
      <c r="F764" s="2">
        <v>6995037.4699999997</v>
      </c>
      <c r="H764" s="3"/>
    </row>
    <row r="765" spans="1:8" x14ac:dyDescent="0.25">
      <c r="A765" s="1">
        <f>("6626")*1</f>
        <v>6626</v>
      </c>
      <c r="B765" s="1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C765" s="1" t="str">
        <f>""</f>
        <v/>
      </c>
      <c r="D765" s="1" t="str">
        <f>""</f>
        <v/>
      </c>
      <c r="E765" s="1" t="str">
        <f>""</f>
        <v/>
      </c>
      <c r="F765" s="2">
        <v>146573726357.35999</v>
      </c>
      <c r="H765" s="3"/>
    </row>
    <row r="766" spans="1:8" x14ac:dyDescent="0.25">
      <c r="A766" s="1">
        <f>("6630")*1</f>
        <v>6630</v>
      </c>
      <c r="B766" s="1" t="str">
        <f>"Обязательства по неподвижным вкладам клиентов"</f>
        <v>Обязательства по неподвижным вкладам клиентов</v>
      </c>
      <c r="C766" s="1" t="str">
        <f>""</f>
        <v/>
      </c>
      <c r="D766" s="1" t="str">
        <f>""</f>
        <v/>
      </c>
      <c r="E766" s="1" t="str">
        <f>""</f>
        <v/>
      </c>
      <c r="F766" s="2">
        <v>41376340.5</v>
      </c>
      <c r="H766" s="3"/>
    </row>
    <row r="767" spans="1:8" x14ac:dyDescent="0.25">
      <c r="A767" s="1">
        <f>("6655")*1</f>
        <v>6655</v>
      </c>
      <c r="B767" s="1" t="str">
        <f>"Будущие обязательства по получаемым вкладам"</f>
        <v>Будущие обязательства по получаемым вкладам</v>
      </c>
      <c r="C767" s="1" t="str">
        <f>""</f>
        <v/>
      </c>
      <c r="D767" s="1" t="str">
        <f>""</f>
        <v/>
      </c>
      <c r="E767" s="1" t="str">
        <f>""</f>
        <v/>
      </c>
      <c r="F767" s="2">
        <v>8285819576.71</v>
      </c>
      <c r="H767" s="3"/>
    </row>
    <row r="768" spans="1:8" x14ac:dyDescent="0.25">
      <c r="A768" s="1">
        <f>("6675")*1</f>
        <v>6675</v>
      </c>
      <c r="B768" s="1" t="str">
        <f>"Будущие обязательства по получаемым займам"</f>
        <v>Будущие обязательства по получаемым займам</v>
      </c>
      <c r="C768" s="1" t="str">
        <f>""</f>
        <v/>
      </c>
      <c r="D768" s="1" t="str">
        <f>""</f>
        <v/>
      </c>
      <c r="E768" s="1" t="str">
        <f>""</f>
        <v/>
      </c>
      <c r="F768" s="2">
        <v>68209995</v>
      </c>
      <c r="H768" s="3"/>
    </row>
    <row r="769" spans="1:8" x14ac:dyDescent="0.25">
      <c r="A769" s="1">
        <f>("6677")*1</f>
        <v>6677</v>
      </c>
      <c r="B769" s="1" t="str">
        <f>"Условные обязательства по предоставленным займам"</f>
        <v>Условные обязательства по предоставленным займам</v>
      </c>
      <c r="C769" s="1" t="str">
        <f>""</f>
        <v/>
      </c>
      <c r="D769" s="1" t="str">
        <f>""</f>
        <v/>
      </c>
      <c r="E769" s="1" t="str">
        <f>""</f>
        <v/>
      </c>
      <c r="F769" s="2">
        <v>5798617.4199999999</v>
      </c>
      <c r="H769" s="3"/>
    </row>
    <row r="770" spans="1:8" x14ac:dyDescent="0.25">
      <c r="A770" s="1">
        <f>("6905")*1</f>
        <v>6905</v>
      </c>
      <c r="B770" s="1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C770" s="1" t="str">
        <f>""</f>
        <v/>
      </c>
      <c r="D770" s="1" t="str">
        <f>""</f>
        <v/>
      </c>
      <c r="E770" s="1" t="str">
        <f>""</f>
        <v/>
      </c>
      <c r="F770" s="2">
        <v>88142869914</v>
      </c>
      <c r="H770" s="3"/>
    </row>
    <row r="771" spans="1:8" x14ac:dyDescent="0.25">
      <c r="A771" s="1">
        <f>("6999")*1</f>
        <v>6999</v>
      </c>
      <c r="B771" s="1" t="str">
        <f>"Позиция по сделкам с иностранной валютой"</f>
        <v>Позиция по сделкам с иностранной валютой</v>
      </c>
      <c r="C771" s="1" t="str">
        <f>""</f>
        <v/>
      </c>
      <c r="D771" s="1" t="str">
        <f>""</f>
        <v/>
      </c>
      <c r="E771" s="1" t="str">
        <f>""</f>
        <v/>
      </c>
      <c r="F771" s="2">
        <v>192015986</v>
      </c>
      <c r="H771" s="3"/>
    </row>
    <row r="772" spans="1:8" x14ac:dyDescent="0.25">
      <c r="A772" s="1">
        <f>("7150")*1</f>
        <v>7150</v>
      </c>
      <c r="B772" s="1" t="str">
        <f>"Документы и ценности по иностранным операциям, отосланные на инкассо"</f>
        <v>Документы и ценности по иностранным операциям, отосланные на инкассо</v>
      </c>
      <c r="C772" s="1" t="str">
        <f>""</f>
        <v/>
      </c>
      <c r="D772" s="1" t="str">
        <f>""</f>
        <v/>
      </c>
      <c r="E772" s="1" t="str">
        <f>""</f>
        <v/>
      </c>
      <c r="F772" s="2">
        <v>1276061.55</v>
      </c>
      <c r="H772" s="3"/>
    </row>
    <row r="773" spans="1:8" x14ac:dyDescent="0.25">
      <c r="A773" s="1">
        <f>("7160")*1</f>
        <v>7160</v>
      </c>
      <c r="B773" s="1" t="str">
        <f>"Имущество, переданное в обеспечение (залог) обязательств"</f>
        <v>Имущество, переданное в обеспечение (залог) обязательств</v>
      </c>
      <c r="C773" s="1" t="str">
        <f>""</f>
        <v/>
      </c>
      <c r="D773" s="1" t="str">
        <f>""</f>
        <v/>
      </c>
      <c r="E773" s="1" t="str">
        <f>""</f>
        <v/>
      </c>
      <c r="F773" s="2">
        <v>12001597785.84</v>
      </c>
      <c r="H773" s="3"/>
    </row>
    <row r="774" spans="1:8" x14ac:dyDescent="0.25">
      <c r="A774" s="1">
        <f>("7220")*1</f>
        <v>7220</v>
      </c>
      <c r="B774" s="1" t="str">
        <f>"Арендованные активы"</f>
        <v>Арендованные активы</v>
      </c>
      <c r="C774" s="1" t="str">
        <f>""</f>
        <v/>
      </c>
      <c r="D774" s="1" t="str">
        <f>""</f>
        <v/>
      </c>
      <c r="E774" s="1" t="str">
        <f>""</f>
        <v/>
      </c>
      <c r="F774" s="2">
        <v>422193075.92000002</v>
      </c>
      <c r="H774" s="3"/>
    </row>
    <row r="775" spans="1:8" x14ac:dyDescent="0.25">
      <c r="A775" s="1">
        <f>("7240")*1</f>
        <v>7240</v>
      </c>
      <c r="B775" s="1" t="str">
        <f>"Документы и ценности, принятые на инкассо"</f>
        <v>Документы и ценности, принятые на инкассо</v>
      </c>
      <c r="C775" s="1" t="str">
        <f>""</f>
        <v/>
      </c>
      <c r="D775" s="1" t="str">
        <f>""</f>
        <v/>
      </c>
      <c r="E775" s="1" t="str">
        <f>""</f>
        <v/>
      </c>
      <c r="F775" s="2">
        <v>43144978.5</v>
      </c>
      <c r="H775" s="3"/>
    </row>
    <row r="776" spans="1:8" x14ac:dyDescent="0.25">
      <c r="A776" s="1">
        <f>("7250")*1</f>
        <v>7250</v>
      </c>
      <c r="B776" s="1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C776" s="1" t="str">
        <f>""</f>
        <v/>
      </c>
      <c r="D776" s="1" t="str">
        <f>""</f>
        <v/>
      </c>
      <c r="E776" s="1" t="str">
        <f>""</f>
        <v/>
      </c>
      <c r="F776" s="2">
        <v>880078065000.93005</v>
      </c>
      <c r="H776" s="3"/>
    </row>
    <row r="777" spans="1:8" x14ac:dyDescent="0.25">
      <c r="A777" s="1">
        <f>("7303")*1</f>
        <v>7303</v>
      </c>
      <c r="B777" s="1" t="str">
        <f>"Платежные документы, не оплаченные в срок"</f>
        <v>Платежные документы, не оплаченные в срок</v>
      </c>
      <c r="C777" s="1" t="str">
        <f>""</f>
        <v/>
      </c>
      <c r="D777" s="1" t="str">
        <f>""</f>
        <v/>
      </c>
      <c r="E777" s="1" t="str">
        <f>""</f>
        <v/>
      </c>
      <c r="F777" s="2">
        <v>824400962525.93994</v>
      </c>
      <c r="H777" s="3"/>
    </row>
    <row r="778" spans="1:8" x14ac:dyDescent="0.25">
      <c r="A778" s="1">
        <f>("7339")*1</f>
        <v>7339</v>
      </c>
      <c r="B778" s="1" t="str">
        <f>"Разные ценности и документы"</f>
        <v>Разные ценности и документы</v>
      </c>
      <c r="C778" s="1" t="str">
        <f>""</f>
        <v/>
      </c>
      <c r="D778" s="1" t="str">
        <f>""</f>
        <v/>
      </c>
      <c r="E778" s="1" t="str">
        <f>""</f>
        <v/>
      </c>
      <c r="F778" s="2">
        <v>151931</v>
      </c>
      <c r="H778" s="3"/>
    </row>
    <row r="779" spans="1:8" x14ac:dyDescent="0.25">
      <c r="A779" s="1">
        <f>("7342")*1</f>
        <v>7342</v>
      </c>
      <c r="B779" s="1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C779" s="1" t="str">
        <f>""</f>
        <v/>
      </c>
      <c r="D779" s="1" t="str">
        <f>""</f>
        <v/>
      </c>
      <c r="E779" s="1" t="str">
        <f>""</f>
        <v/>
      </c>
      <c r="F779" s="2">
        <v>2023419</v>
      </c>
      <c r="H779" s="3"/>
    </row>
    <row r="780" spans="1:8" x14ac:dyDescent="0.25">
      <c r="A780" s="1">
        <f>("7363")*1</f>
        <v>7363</v>
      </c>
      <c r="B780" s="1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C780" s="1" t="str">
        <f>""</f>
        <v/>
      </c>
      <c r="D780" s="1" t="str">
        <f>""</f>
        <v/>
      </c>
      <c r="E780" s="1" t="str">
        <f>""</f>
        <v/>
      </c>
      <c r="F780" s="2">
        <v>46873201961.25</v>
      </c>
      <c r="H780" s="3"/>
    </row>
    <row r="781" spans="1:8" x14ac:dyDescent="0.25">
      <c r="A781" s="1">
        <f>("7535")*1</f>
        <v>7535</v>
      </c>
      <c r="B781" s="1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C781" s="1" t="str">
        <f>""</f>
        <v/>
      </c>
      <c r="D781" s="1" t="str">
        <f>""</f>
        <v/>
      </c>
      <c r="E781" s="1" t="str">
        <f>""</f>
        <v/>
      </c>
      <c r="F781" s="2">
        <v>3264562277.8499999</v>
      </c>
      <c r="H781" s="3"/>
    </row>
    <row r="782" spans="1:8" x14ac:dyDescent="0.25">
      <c r="A782" s="1">
        <f>("7536")*1</f>
        <v>7536</v>
      </c>
      <c r="B782" s="1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C782" s="1" t="str">
        <f>""</f>
        <v/>
      </c>
      <c r="D782" s="1" t="str">
        <f>""</f>
        <v/>
      </c>
      <c r="E782" s="1" t="str">
        <f>""</f>
        <v/>
      </c>
      <c r="F782" s="2">
        <v>588223.38</v>
      </c>
      <c r="H782" s="3"/>
    </row>
    <row r="783" spans="1:8" x14ac:dyDescent="0.25">
      <c r="A783" s="1">
        <f>("7542")*1</f>
        <v>7542</v>
      </c>
      <c r="B783" s="1" t="str">
        <f>"Начисленное вознаграждение по ипотечным займам, права требования по которым приняты в доверительное управление"</f>
        <v>Начисленное вознаграждение по ипотечным займам, права требования по которым приняты в доверительное управление</v>
      </c>
      <c r="C783" s="1" t="str">
        <f>""</f>
        <v/>
      </c>
      <c r="D783" s="1" t="str">
        <f>""</f>
        <v/>
      </c>
      <c r="E783" s="1" t="str">
        <f>""</f>
        <v/>
      </c>
      <c r="F783" s="2">
        <v>18570887.109999999</v>
      </c>
      <c r="H783" s="3"/>
    </row>
    <row r="784" spans="1:8" x14ac:dyDescent="0.25">
      <c r="A784" s="1">
        <f>("7543")*1</f>
        <v>7543</v>
      </c>
      <c r="B784" s="1" t="str">
        <f>"Неустойка (штраф, пеня) по ипотечным займам, права требования по которым приняты в доверительное управление"</f>
        <v>Неустойка (штраф, пеня) по ипотечным займам, права требования по которым приняты в доверительное управление</v>
      </c>
      <c r="C784" s="1" t="str">
        <f>""</f>
        <v/>
      </c>
      <c r="D784" s="1" t="str">
        <f>""</f>
        <v/>
      </c>
      <c r="E784" s="1" t="str">
        <f>""</f>
        <v/>
      </c>
      <c r="F784" s="2">
        <v>4921.22</v>
      </c>
      <c r="H784" s="3"/>
    </row>
    <row r="785" spans="1:8" x14ac:dyDescent="0.25">
      <c r="A785" s="1">
        <f>("7544")*1</f>
        <v>7544</v>
      </c>
      <c r="B785" s="1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C785" s="1" t="str">
        <f>""</f>
        <v/>
      </c>
      <c r="D785" s="1" t="str">
        <f>""</f>
        <v/>
      </c>
      <c r="E785" s="1" t="str">
        <f>""</f>
        <v/>
      </c>
      <c r="F785" s="2">
        <v>854967.76</v>
      </c>
      <c r="H785" s="3"/>
    </row>
    <row r="786" spans="1:8" x14ac:dyDescent="0.25">
      <c r="A786" s="1">
        <f>("7701")*1</f>
        <v>7701</v>
      </c>
      <c r="B786" s="1" t="str">
        <f>"Ценные бумаги"</f>
        <v>Ценные бумаги</v>
      </c>
      <c r="C786" s="1" t="str">
        <f>""</f>
        <v/>
      </c>
      <c r="D786" s="1" t="str">
        <f>""</f>
        <v/>
      </c>
      <c r="E786" s="1" t="str">
        <f>""</f>
        <v/>
      </c>
      <c r="F786" s="2">
        <v>36274004082.709999</v>
      </c>
      <c r="H786" s="3"/>
    </row>
    <row r="787" spans="1:8" x14ac:dyDescent="0.25">
      <c r="A787" s="1">
        <f>("7702")*1</f>
        <v>7702</v>
      </c>
      <c r="B787" s="1" t="str">
        <f>"Вклады в других банках"</f>
        <v>Вклады в других банках</v>
      </c>
      <c r="C787" s="1" t="str">
        <f>""</f>
        <v/>
      </c>
      <c r="D787" s="1" t="str">
        <f>""</f>
        <v/>
      </c>
      <c r="E787" s="1" t="str">
        <f>""</f>
        <v/>
      </c>
      <c r="F787" s="2">
        <v>2097846.4900000002</v>
      </c>
      <c r="H787" s="3"/>
    </row>
    <row r="788" spans="1:8" x14ac:dyDescent="0.25">
      <c r="A788" s="1">
        <f>("7704")*1</f>
        <v>7704</v>
      </c>
      <c r="B788" s="1" t="str">
        <f>"Операции «обратное РЕПО»"</f>
        <v>Операции «обратное РЕПО»</v>
      </c>
      <c r="C788" s="1" t="str">
        <f>""</f>
        <v/>
      </c>
      <c r="D788" s="1" t="str">
        <f>""</f>
        <v/>
      </c>
      <c r="E788" s="1" t="str">
        <f>""</f>
        <v/>
      </c>
      <c r="F788" s="2">
        <v>1392786111.48</v>
      </c>
      <c r="H788" s="3"/>
    </row>
    <row r="789" spans="1:8" x14ac:dyDescent="0.25">
      <c r="A789" s="1">
        <f>("7707")*1</f>
        <v>7707</v>
      </c>
      <c r="B789" s="1" t="str">
        <f>"Инвестиции в капитал"</f>
        <v>Инвестиции в капитал</v>
      </c>
      <c r="C789" s="1" t="str">
        <f>""</f>
        <v/>
      </c>
      <c r="D789" s="1" t="str">
        <f>""</f>
        <v/>
      </c>
      <c r="E789" s="1" t="str">
        <f>""</f>
        <v/>
      </c>
      <c r="F789" s="2">
        <v>2357956915</v>
      </c>
      <c r="H789" s="3"/>
    </row>
    <row r="790" spans="1:8" x14ac:dyDescent="0.25">
      <c r="A790" s="1">
        <f>("7708")*1</f>
        <v>7708</v>
      </c>
      <c r="B790" s="1" t="str">
        <f>"Инвестиции в здания, машины, оборудование, транспортные и другие основные средства"</f>
        <v>Инвестиции в здания, машины, оборудование, транспортные и другие основные средства</v>
      </c>
      <c r="C790" s="1" t="str">
        <f>""</f>
        <v/>
      </c>
      <c r="D790" s="1" t="str">
        <f>""</f>
        <v/>
      </c>
      <c r="E790" s="1" t="str">
        <f>""</f>
        <v/>
      </c>
      <c r="F790" s="2">
        <v>29893019075</v>
      </c>
      <c r="H790" s="3"/>
    </row>
    <row r="791" spans="1:8" x14ac:dyDescent="0.25">
      <c r="A791" s="1">
        <f>("7711")*1</f>
        <v>7711</v>
      </c>
      <c r="B791" s="1" t="str">
        <f>"Вознаграждение"</f>
        <v>Вознаграждение</v>
      </c>
      <c r="C791" s="1" t="str">
        <f>""</f>
        <v/>
      </c>
      <c r="D791" s="1" t="str">
        <f>""</f>
        <v/>
      </c>
      <c r="E791" s="1" t="str">
        <f>""</f>
        <v/>
      </c>
      <c r="F791" s="2">
        <v>361919408.94999999</v>
      </c>
      <c r="H791" s="3"/>
    </row>
    <row r="792" spans="1:8" x14ac:dyDescent="0.25">
      <c r="A792" s="1">
        <f>("7713")*1</f>
        <v>7713</v>
      </c>
      <c r="B792" s="1" t="str">
        <f>"Прочие требования"</f>
        <v>Прочие требования</v>
      </c>
      <c r="C792" s="1" t="str">
        <f>""</f>
        <v/>
      </c>
      <c r="D792" s="1" t="str">
        <f>""</f>
        <v/>
      </c>
      <c r="E792" s="1" t="str">
        <f>""</f>
        <v/>
      </c>
      <c r="F792" s="2">
        <v>1061827389.47</v>
      </c>
      <c r="H792" s="3"/>
    </row>
    <row r="793" spans="1:8" x14ac:dyDescent="0.25">
      <c r="H793" s="3"/>
    </row>
    <row r="794" spans="1:8" x14ac:dyDescent="0.25">
      <c r="H794" s="3"/>
    </row>
    <row r="795" spans="1:8" x14ac:dyDescent="0.25">
      <c r="H795" s="3"/>
    </row>
    <row r="796" spans="1:8" x14ac:dyDescent="0.25">
      <c r="H796" s="3"/>
    </row>
    <row r="797" spans="1:8" x14ac:dyDescent="0.25">
      <c r="H797" s="3"/>
    </row>
    <row r="798" spans="1:8" x14ac:dyDescent="0.25">
      <c r="H798" s="3"/>
    </row>
    <row r="799" spans="1:8" x14ac:dyDescent="0.25">
      <c r="H799" s="3"/>
    </row>
    <row r="800" spans="1:8" x14ac:dyDescent="0.25">
      <c r="H800" s="3"/>
    </row>
    <row r="801" spans="8:8" x14ac:dyDescent="0.25">
      <c r="H801" s="3"/>
    </row>
    <row r="802" spans="8:8" x14ac:dyDescent="0.25">
      <c r="H802" s="3"/>
    </row>
    <row r="803" spans="8:8" x14ac:dyDescent="0.25">
      <c r="H803" s="3"/>
    </row>
    <row r="804" spans="8:8" x14ac:dyDescent="0.25">
      <c r="H804" s="3"/>
    </row>
    <row r="805" spans="8:8" x14ac:dyDescent="0.25">
      <c r="H805" s="3"/>
    </row>
    <row r="806" spans="8:8" x14ac:dyDescent="0.25">
      <c r="H806" s="3"/>
    </row>
    <row r="807" spans="8:8" x14ac:dyDescent="0.25">
      <c r="H807" s="3"/>
    </row>
    <row r="808" spans="8:8" x14ac:dyDescent="0.25">
      <c r="H808" s="3"/>
    </row>
    <row r="809" spans="8:8" x14ac:dyDescent="0.25">
      <c r="H809" s="3"/>
    </row>
    <row r="810" spans="8:8" x14ac:dyDescent="0.25">
      <c r="H810" s="3"/>
    </row>
    <row r="811" spans="8:8" x14ac:dyDescent="0.25">
      <c r="H811" s="3"/>
    </row>
    <row r="812" spans="8:8" x14ac:dyDescent="0.25">
      <c r="H812" s="3"/>
    </row>
    <row r="813" spans="8:8" x14ac:dyDescent="0.25">
      <c r="H813" s="3"/>
    </row>
    <row r="814" spans="8:8" x14ac:dyDescent="0.25">
      <c r="H814" s="3"/>
    </row>
    <row r="815" spans="8:8" x14ac:dyDescent="0.25">
      <c r="H815" s="3"/>
    </row>
    <row r="816" spans="8:8" x14ac:dyDescent="0.25">
      <c r="H816" s="3"/>
    </row>
    <row r="817" spans="8:8" x14ac:dyDescent="0.25">
      <c r="H817" s="3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r:id="rId1"/>
  <headerFooter>
    <oddHeader>&amp;L&amp;"Calibri"&amp;10&amp;K000000ВНУТРЕННЯЯ ИНФОРМАЦИЯ&amp;1#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700_ND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Жұманова Арайлым Бауыржанқызы</dc:creator>
  <cp:lastModifiedBy>Абдуллаева Карина Канатовна</cp:lastModifiedBy>
  <dcterms:created xsi:type="dcterms:W3CDTF">2021-07-26T05:34:31Z</dcterms:created>
  <dcterms:modified xsi:type="dcterms:W3CDTF">2023-01-17T11:57:03Z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67e166-4b10-4d44-9951-ddc92040c9bd_Enabled">
    <vt:lpwstr>true</vt:lpwstr>
  </property>
  <property fmtid="{D5CDD505-2E9C-101B-9397-08002B2CF9AE}" pid="3" name="MSIP_Label_5667e166-4b10-4d44-9951-ddc92040c9bd_SetDate">
    <vt:lpwstr>2023-01-17T11:57:03Z</vt:lpwstr>
  </property>
  <property fmtid="{D5CDD505-2E9C-101B-9397-08002B2CF9AE}" pid="4" name="MSIP_Label_5667e166-4b10-4d44-9951-ddc92040c9bd_Method">
    <vt:lpwstr>Standard</vt:lpwstr>
  </property>
  <property fmtid="{D5CDD505-2E9C-101B-9397-08002B2CF9AE}" pid="5" name="MSIP_Label_5667e166-4b10-4d44-9951-ddc92040c9bd_Name">
    <vt:lpwstr>С маркировкой</vt:lpwstr>
  </property>
  <property fmtid="{D5CDD505-2E9C-101B-9397-08002B2CF9AE}" pid="6" name="MSIP_Label_5667e166-4b10-4d44-9951-ddc92040c9bd_SiteId">
    <vt:lpwstr>38598580-1f17-4a12-918c-077d560b949f</vt:lpwstr>
  </property>
  <property fmtid="{D5CDD505-2E9C-101B-9397-08002B2CF9AE}" pid="7" name="MSIP_Label_5667e166-4b10-4d44-9951-ddc92040c9bd_ActionId">
    <vt:lpwstr>c86476aa-19e9-470a-a830-96e6554e46ee</vt:lpwstr>
  </property>
  <property fmtid="{D5CDD505-2E9C-101B-9397-08002B2CF9AE}" pid="8" name="MSIP_Label_5667e166-4b10-4d44-9951-ddc92040c9bd_ContentBits">
    <vt:lpwstr>1</vt:lpwstr>
  </property>
</Properties>
</file>