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GBO\03_УО\Валихан\KASE\2022\Июль\"/>
    </mc:Choice>
  </mc:AlternateContent>
  <bookViews>
    <workbookView xWindow="0" yWindow="0" windowWidth="28800" windowHeight="11700"/>
  </bookViews>
  <sheets>
    <sheet name="700_ND " sheetId="1" r:id="rId1"/>
  </sheets>
  <definedNames>
    <definedName name="_xlnm._FilterDatabase" localSheetId="0" hidden="1">'700_ND '!$A$8:$F$847</definedName>
  </definedNames>
  <calcPr calcId="162913"/>
</workbook>
</file>

<file path=xl/calcChain.xml><?xml version="1.0" encoding="utf-8"?>
<calcChain xmlns="http://schemas.openxmlformats.org/spreadsheetml/2006/main">
  <c r="E775" i="1" l="1"/>
  <c r="D775" i="1"/>
  <c r="C775" i="1"/>
  <c r="B775" i="1"/>
  <c r="A775" i="1"/>
  <c r="E774" i="1"/>
  <c r="D774" i="1"/>
  <c r="C774" i="1"/>
  <c r="B774" i="1"/>
  <c r="A774" i="1"/>
  <c r="E773" i="1"/>
  <c r="D773" i="1"/>
  <c r="C773" i="1"/>
  <c r="B773" i="1"/>
  <c r="A773" i="1"/>
  <c r="E772" i="1"/>
  <c r="D772" i="1"/>
  <c r="C772" i="1"/>
  <c r="B772" i="1"/>
  <c r="A772" i="1"/>
  <c r="E771" i="1"/>
  <c r="D771" i="1"/>
  <c r="C771" i="1"/>
  <c r="B771" i="1"/>
  <c r="A771" i="1"/>
  <c r="E770" i="1"/>
  <c r="D770" i="1"/>
  <c r="C770" i="1"/>
  <c r="B770" i="1"/>
  <c r="A770" i="1"/>
  <c r="E769" i="1"/>
  <c r="D769" i="1"/>
  <c r="C769" i="1"/>
  <c r="B769" i="1"/>
  <c r="A769" i="1"/>
  <c r="E768" i="1"/>
  <c r="D768" i="1"/>
  <c r="C768" i="1"/>
  <c r="B768" i="1"/>
  <c r="A768" i="1"/>
  <c r="E767" i="1"/>
  <c r="D767" i="1"/>
  <c r="C767" i="1"/>
  <c r="B767" i="1"/>
  <c r="A767" i="1"/>
  <c r="E766" i="1"/>
  <c r="D766" i="1"/>
  <c r="C766" i="1"/>
  <c r="B766" i="1"/>
  <c r="A766" i="1"/>
  <c r="E765" i="1"/>
  <c r="D765" i="1"/>
  <c r="C765" i="1"/>
  <c r="B765" i="1"/>
  <c r="A765" i="1"/>
  <c r="E764" i="1"/>
  <c r="D764" i="1"/>
  <c r="C764" i="1"/>
  <c r="B764" i="1"/>
  <c r="A764" i="1"/>
  <c r="E763" i="1"/>
  <c r="D763" i="1"/>
  <c r="C763" i="1"/>
  <c r="B763" i="1"/>
  <c r="A763" i="1"/>
  <c r="E762" i="1"/>
  <c r="D762" i="1"/>
  <c r="C762" i="1"/>
  <c r="B762" i="1"/>
  <c r="A762" i="1"/>
  <c r="E761" i="1"/>
  <c r="D761" i="1"/>
  <c r="C761" i="1"/>
  <c r="B761" i="1"/>
  <c r="A761" i="1"/>
  <c r="E760" i="1"/>
  <c r="D760" i="1"/>
  <c r="C760" i="1"/>
  <c r="B760" i="1"/>
  <c r="A760" i="1"/>
  <c r="E759" i="1"/>
  <c r="D759" i="1"/>
  <c r="C759" i="1"/>
  <c r="B759" i="1"/>
  <c r="A759" i="1"/>
  <c r="E758" i="1"/>
  <c r="D758" i="1"/>
  <c r="C758" i="1"/>
  <c r="B758" i="1"/>
  <c r="A758" i="1"/>
  <c r="E757" i="1"/>
  <c r="D757" i="1"/>
  <c r="C757" i="1"/>
  <c r="B757" i="1"/>
  <c r="A757" i="1"/>
  <c r="E756" i="1"/>
  <c r="D756" i="1"/>
  <c r="C756" i="1"/>
  <c r="B756" i="1"/>
  <c r="A756" i="1"/>
  <c r="E755" i="1"/>
  <c r="D755" i="1"/>
  <c r="C755" i="1"/>
  <c r="B755" i="1"/>
  <c r="A755" i="1"/>
  <c r="E754" i="1"/>
  <c r="D754" i="1"/>
  <c r="C754" i="1"/>
  <c r="B754" i="1"/>
  <c r="A754" i="1"/>
  <c r="E753" i="1"/>
  <c r="D753" i="1"/>
  <c r="C753" i="1"/>
  <c r="B753" i="1"/>
  <c r="A753" i="1"/>
  <c r="E752" i="1"/>
  <c r="D752" i="1"/>
  <c r="C752" i="1"/>
  <c r="B752" i="1"/>
  <c r="A752" i="1"/>
  <c r="E751" i="1"/>
  <c r="D751" i="1"/>
  <c r="C751" i="1"/>
  <c r="B751" i="1"/>
  <c r="A751" i="1"/>
  <c r="E750" i="1"/>
  <c r="D750" i="1"/>
  <c r="C750" i="1"/>
  <c r="B750" i="1"/>
  <c r="A750" i="1"/>
  <c r="E749" i="1"/>
  <c r="D749" i="1"/>
  <c r="C749" i="1"/>
  <c r="B749" i="1"/>
  <c r="A749" i="1"/>
  <c r="E748" i="1"/>
  <c r="D748" i="1"/>
  <c r="C748" i="1"/>
  <c r="B748" i="1"/>
  <c r="A748" i="1"/>
  <c r="E747" i="1"/>
  <c r="D747" i="1"/>
  <c r="C747" i="1"/>
  <c r="B747" i="1"/>
  <c r="A747" i="1"/>
  <c r="E746" i="1"/>
  <c r="D746" i="1"/>
  <c r="C746" i="1"/>
  <c r="B746" i="1"/>
  <c r="A746" i="1"/>
  <c r="E745" i="1"/>
  <c r="D745" i="1"/>
  <c r="C745" i="1"/>
  <c r="B745" i="1"/>
  <c r="A745" i="1"/>
  <c r="E744" i="1"/>
  <c r="D744" i="1"/>
  <c r="C744" i="1"/>
  <c r="B744" i="1"/>
  <c r="A744" i="1"/>
  <c r="E743" i="1"/>
  <c r="D743" i="1"/>
  <c r="C743" i="1"/>
  <c r="B743" i="1"/>
  <c r="A743" i="1"/>
  <c r="E742" i="1"/>
  <c r="D742" i="1"/>
  <c r="C742" i="1"/>
  <c r="B742" i="1"/>
  <c r="A742" i="1"/>
  <c r="E741" i="1"/>
  <c r="D741" i="1"/>
  <c r="C741" i="1"/>
  <c r="B741" i="1"/>
  <c r="A741" i="1"/>
  <c r="E740" i="1"/>
  <c r="D740" i="1"/>
  <c r="C740" i="1"/>
  <c r="B740" i="1"/>
  <c r="A740" i="1"/>
  <c r="E739" i="1"/>
  <c r="D739" i="1"/>
  <c r="C739" i="1"/>
  <c r="B739" i="1"/>
  <c r="A739" i="1"/>
  <c r="E738" i="1"/>
  <c r="D738" i="1"/>
  <c r="C738" i="1"/>
  <c r="B738" i="1"/>
  <c r="A738" i="1"/>
  <c r="E737" i="1"/>
  <c r="D737" i="1"/>
  <c r="C737" i="1"/>
  <c r="B737" i="1"/>
  <c r="A737" i="1"/>
  <c r="E736" i="1"/>
  <c r="D736" i="1"/>
  <c r="C736" i="1"/>
  <c r="B736" i="1"/>
  <c r="A736" i="1"/>
  <c r="E735" i="1"/>
  <c r="D735" i="1"/>
  <c r="C735" i="1"/>
  <c r="B735" i="1"/>
  <c r="A735" i="1"/>
  <c r="E734" i="1"/>
  <c r="D734" i="1"/>
  <c r="C734" i="1"/>
  <c r="B734" i="1"/>
  <c r="A734" i="1"/>
  <c r="E733" i="1"/>
  <c r="D733" i="1"/>
  <c r="C733" i="1"/>
  <c r="B733" i="1"/>
  <c r="A733" i="1"/>
  <c r="E732" i="1"/>
  <c r="D732" i="1"/>
  <c r="C732" i="1"/>
  <c r="B732" i="1"/>
  <c r="A732" i="1"/>
  <c r="E731" i="1"/>
  <c r="D731" i="1"/>
  <c r="C731" i="1"/>
  <c r="B731" i="1"/>
  <c r="A731" i="1"/>
  <c r="E730" i="1"/>
  <c r="D730" i="1"/>
  <c r="C730" i="1"/>
  <c r="B730" i="1"/>
  <c r="A730" i="1"/>
  <c r="E729" i="1"/>
  <c r="D729" i="1"/>
  <c r="C729" i="1"/>
  <c r="B729" i="1"/>
  <c r="A729" i="1"/>
  <c r="E728" i="1"/>
  <c r="D728" i="1"/>
  <c r="C728" i="1"/>
  <c r="B728" i="1"/>
  <c r="A728" i="1"/>
  <c r="E727" i="1"/>
  <c r="D727" i="1"/>
  <c r="C727" i="1"/>
  <c r="B727" i="1"/>
  <c r="A727" i="1"/>
  <c r="E726" i="1"/>
  <c r="D726" i="1"/>
  <c r="C726" i="1"/>
  <c r="B726" i="1"/>
  <c r="A726" i="1"/>
  <c r="E725" i="1"/>
  <c r="D725" i="1"/>
  <c r="C725" i="1"/>
  <c r="B725" i="1"/>
  <c r="A725" i="1"/>
  <c r="E724" i="1"/>
  <c r="D724" i="1"/>
  <c r="C724" i="1"/>
  <c r="B724" i="1"/>
  <c r="A724" i="1"/>
  <c r="E723" i="1"/>
  <c r="D723" i="1"/>
  <c r="C723" i="1"/>
  <c r="B723" i="1"/>
  <c r="A723" i="1"/>
  <c r="E722" i="1"/>
  <c r="D722" i="1"/>
  <c r="C722" i="1"/>
  <c r="B722" i="1"/>
  <c r="A722" i="1"/>
  <c r="E721" i="1"/>
  <c r="D721" i="1"/>
  <c r="C721" i="1"/>
  <c r="B721" i="1"/>
  <c r="A721" i="1"/>
  <c r="E720" i="1"/>
  <c r="D720" i="1"/>
  <c r="C720" i="1"/>
  <c r="B720" i="1"/>
  <c r="A720" i="1"/>
  <c r="E719" i="1"/>
  <c r="D719" i="1"/>
  <c r="C719" i="1"/>
  <c r="B719" i="1"/>
  <c r="A719" i="1"/>
  <c r="E718" i="1"/>
  <c r="D718" i="1"/>
  <c r="C718" i="1"/>
  <c r="B718" i="1"/>
  <c r="A718" i="1"/>
  <c r="E717" i="1"/>
  <c r="D717" i="1"/>
  <c r="C717" i="1"/>
  <c r="B717" i="1"/>
  <c r="A717" i="1"/>
  <c r="E716" i="1"/>
  <c r="D716" i="1"/>
  <c r="C716" i="1"/>
  <c r="B716" i="1"/>
  <c r="A716" i="1"/>
  <c r="E715" i="1"/>
  <c r="D715" i="1"/>
  <c r="C715" i="1"/>
  <c r="B715" i="1"/>
  <c r="A715" i="1"/>
  <c r="E714" i="1"/>
  <c r="D714" i="1"/>
  <c r="C714" i="1"/>
  <c r="B714" i="1"/>
  <c r="A714" i="1"/>
  <c r="E713" i="1"/>
  <c r="D713" i="1"/>
  <c r="C713" i="1"/>
  <c r="B713" i="1"/>
  <c r="A713" i="1"/>
  <c r="E712" i="1"/>
  <c r="D712" i="1"/>
  <c r="C712" i="1"/>
  <c r="B712" i="1"/>
  <c r="A712" i="1"/>
  <c r="E711" i="1"/>
  <c r="D711" i="1"/>
  <c r="C711" i="1"/>
  <c r="B711" i="1"/>
  <c r="A711" i="1"/>
  <c r="E710" i="1"/>
  <c r="D710" i="1"/>
  <c r="C710" i="1"/>
  <c r="B710" i="1"/>
  <c r="A710" i="1"/>
  <c r="E709" i="1"/>
  <c r="D709" i="1"/>
  <c r="C709" i="1"/>
  <c r="B709" i="1"/>
  <c r="A709" i="1"/>
  <c r="E708" i="1"/>
  <c r="D708" i="1"/>
  <c r="C708" i="1"/>
  <c r="B708" i="1"/>
  <c r="A708" i="1"/>
  <c r="E707" i="1"/>
  <c r="D707" i="1"/>
  <c r="C707" i="1"/>
  <c r="B707" i="1"/>
  <c r="A707" i="1"/>
  <c r="E706" i="1"/>
  <c r="D706" i="1"/>
  <c r="C706" i="1"/>
  <c r="B706" i="1"/>
  <c r="A706" i="1"/>
  <c r="E705" i="1"/>
  <c r="D705" i="1"/>
  <c r="C705" i="1"/>
  <c r="B705" i="1"/>
  <c r="A705" i="1"/>
  <c r="E704" i="1"/>
  <c r="D704" i="1"/>
  <c r="C704" i="1"/>
  <c r="B704" i="1"/>
  <c r="A704" i="1"/>
  <c r="E703" i="1"/>
  <c r="D703" i="1"/>
  <c r="C703" i="1"/>
  <c r="B703" i="1"/>
  <c r="A703" i="1"/>
  <c r="E702" i="1"/>
  <c r="D702" i="1"/>
  <c r="C702" i="1"/>
  <c r="B702" i="1"/>
  <c r="A702" i="1"/>
  <c r="E701" i="1"/>
  <c r="D701" i="1"/>
  <c r="C701" i="1"/>
  <c r="B701" i="1"/>
  <c r="A701" i="1"/>
  <c r="E700" i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</calcChain>
</file>

<file path=xl/sharedStrings.xml><?xml version="1.0" encoding="utf-8"?>
<sst xmlns="http://schemas.openxmlformats.org/spreadsheetml/2006/main" count="9" uniqueCount="9">
  <si>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</si>
  <si>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</si>
  <si>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</si>
  <si>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</si>
  <si>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</si>
  <si>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</si>
  <si>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Отчет об остатках на балансовых и внебалансовых счетах</t>
  </si>
  <si>
    <t>АО "Евразийский Банк"</t>
  </si>
  <si>
    <t>по состоянию на 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</si>
</sst>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0" xfId="0" applyBorder="1"/>
    <xf numFmtId="4" fontId="0" fillId="0" borderId="10" xfId="0" applyNumberFormat="1" applyBorder="1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3" fontId="0" fillId="0" borderId="10" xfId="42" applyFont="1" applyBorder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47"/>
  <sheetViews>
    <sheetView tabSelected="1" zoomScale="85" zoomScaleNormal="85" workbookViewId="0">
      <selection activeCell="B14" sqref="B14"/>
    </sheetView>
  </sheetViews>
  <sheetFormatPr defaultRowHeight="15" x14ac:dyDescent="0.25"/>
  <cols>
    <col min="1" max="1" width="15.5703125" bestFit="1" customWidth="1"/>
    <col min="2" max="2" width="202.42578125" bestFit="1" customWidth="1"/>
    <col min="3" max="3" width="24.5703125" bestFit="1" customWidth="1"/>
    <col min="4" max="4" width="25.85546875" bestFit="1" customWidth="1"/>
    <col min="5" max="5" width="20.28515625" bestFit="1" customWidth="1"/>
    <col min="6" max="6" width="19.140625" style="5" bestFit="1" customWidth="1"/>
    <col min="7" max="7" width="9.140625" style="3"/>
    <col min="8" max="8" width="15.42578125" style="4" bestFit="1" customWidth="1"/>
    <col min="9" max="9" width="9.140625" style="3"/>
    <col min="10" max="10" width="19.140625" style="3" bestFit="1" customWidth="1"/>
    <col min="11" max="16384" width="9.140625" style="3"/>
  </cols>
  <sheetData>
    <row r="2" spans="1:6" x14ac:dyDescent="0.25">
      <c r="A2" s="6"/>
      <c r="B2" s="6"/>
      <c r="C2" s="6"/>
      <c r="D2" s="6"/>
      <c r="E2" s="6"/>
      <c r="F2" s="7"/>
    </row>
    <row r="3" spans="1:6" ht="18.75" x14ac:dyDescent="0.3">
      <c r="A3" s="8" t="s">
        <v>6</v>
      </c>
      <c r="B3" s="8"/>
      <c r="C3" s="8"/>
      <c r="D3" s="8"/>
      <c r="E3" s="8"/>
      <c r="F3" s="8"/>
    </row>
    <row r="4" spans="1:6" ht="18.75" x14ac:dyDescent="0.3">
      <c r="A4" s="9" t="s">
        <v>8</v>
      </c>
      <c r="B4" s="9"/>
      <c r="C4" s="9"/>
      <c r="D4" s="9"/>
      <c r="E4" s="9"/>
      <c r="F4" s="9"/>
    </row>
    <row r="5" spans="1:6" ht="18.75" x14ac:dyDescent="0.3">
      <c r="A5" s="9"/>
      <c r="B5" s="9"/>
      <c r="C5" s="9"/>
      <c r="D5" s="9"/>
      <c r="E5" s="9"/>
      <c r="F5" s="9"/>
    </row>
    <row r="6" spans="1:6" ht="18.75" x14ac:dyDescent="0.3">
      <c r="A6" s="9" t="s">
        <v>7</v>
      </c>
      <c r="B6" s="9"/>
      <c r="C6" s="9"/>
      <c r="D6" s="9"/>
      <c r="E6" s="9"/>
      <c r="F6" s="9"/>
    </row>
    <row r="7" spans="1:6" x14ac:dyDescent="0.25">
      <c r="A7" s="10"/>
      <c r="B7" s="10"/>
      <c r="C7" s="10"/>
      <c r="D7" s="10"/>
      <c r="E7" s="10"/>
      <c r="F7" s="10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1" t="s">
        <v>5</v>
      </c>
    </row>
    <row r="9" spans="1:6" x14ac:dyDescent="0.25">
      <c r="A9" s="1">
        <f>("1001")*1</f>
        <v>1001</v>
      </c>
      <c r="B9" s="1" t="str">
        <f>"Наличность в кассе"</f>
        <v>Наличность в кассе</v>
      </c>
      <c r="C9" s="1" t="str">
        <f>"2"</f>
        <v>2</v>
      </c>
      <c r="D9" s="1" t="str">
        <f t="shared" ref="D9:D17" si="0">"3"</f>
        <v>3</v>
      </c>
      <c r="E9" s="1" t="str">
        <f>"2"</f>
        <v>2</v>
      </c>
      <c r="F9" s="2">
        <v>56995919098.529999</v>
      </c>
    </row>
    <row r="10" spans="1:6" x14ac:dyDescent="0.25">
      <c r="A10" s="1">
        <f>("1001")*1</f>
        <v>1001</v>
      </c>
      <c r="B10" s="1" t="str">
        <f>"Наличность в кассе"</f>
        <v>Наличность в кассе</v>
      </c>
      <c r="C10" s="1" t="str">
        <f>"2"</f>
        <v>2</v>
      </c>
      <c r="D10" s="1" t="str">
        <f t="shared" si="0"/>
        <v>3</v>
      </c>
      <c r="E10" s="1" t="str">
        <f>"3"</f>
        <v>3</v>
      </c>
      <c r="F10" s="2">
        <v>18950923058.639999</v>
      </c>
    </row>
    <row r="11" spans="1:6" x14ac:dyDescent="0.25">
      <c r="A11" s="1">
        <f>("1001")*1</f>
        <v>1001</v>
      </c>
      <c r="B11" s="1" t="str">
        <f>"Наличность в кассе"</f>
        <v>Наличность в кассе</v>
      </c>
      <c r="C11" s="1" t="str">
        <f>"1"</f>
        <v>1</v>
      </c>
      <c r="D11" s="1" t="str">
        <f t="shared" si="0"/>
        <v>3</v>
      </c>
      <c r="E11" s="1" t="str">
        <f>"1"</f>
        <v>1</v>
      </c>
      <c r="F11" s="2">
        <v>3661042201</v>
      </c>
    </row>
    <row r="12" spans="1:6" x14ac:dyDescent="0.25">
      <c r="A12" s="1">
        <f>("1002")*1</f>
        <v>1002</v>
      </c>
      <c r="B12" s="1" t="str">
        <f>"Банкноты и монеты в пути"</f>
        <v>Банкноты и монеты в пути</v>
      </c>
      <c r="C12" s="1" t="str">
        <f>"2"</f>
        <v>2</v>
      </c>
      <c r="D12" s="1" t="str">
        <f t="shared" si="0"/>
        <v>3</v>
      </c>
      <c r="E12" s="1" t="str">
        <f>"2"</f>
        <v>2</v>
      </c>
      <c r="F12" s="2">
        <v>2359121685.4699998</v>
      </c>
    </row>
    <row r="13" spans="1:6" x14ac:dyDescent="0.25">
      <c r="A13" s="1">
        <f>("1002")*1</f>
        <v>1002</v>
      </c>
      <c r="B13" s="1" t="str">
        <f>"Банкноты и монеты в пути"</f>
        <v>Банкноты и монеты в пути</v>
      </c>
      <c r="C13" s="1" t="str">
        <f>"2"</f>
        <v>2</v>
      </c>
      <c r="D13" s="1" t="str">
        <f t="shared" si="0"/>
        <v>3</v>
      </c>
      <c r="E13" s="1" t="str">
        <f>"3"</f>
        <v>3</v>
      </c>
      <c r="F13" s="2">
        <v>190453946.40000001</v>
      </c>
    </row>
    <row r="14" spans="1:6" x14ac:dyDescent="0.25">
      <c r="A14" s="1">
        <f>("1002")*1</f>
        <v>1002</v>
      </c>
      <c r="B14" s="1" t="str">
        <f>"Банкноты и монеты в пути"</f>
        <v>Банкноты и монеты в пути</v>
      </c>
      <c r="C14" s="1" t="str">
        <f>"1"</f>
        <v>1</v>
      </c>
      <c r="D14" s="1" t="str">
        <f t="shared" si="0"/>
        <v>3</v>
      </c>
      <c r="E14" s="1" t="str">
        <f>"1"</f>
        <v>1</v>
      </c>
      <c r="F14" s="2">
        <v>3807937145</v>
      </c>
    </row>
    <row r="15" spans="1:6" x14ac:dyDescent="0.25">
      <c r="A15" s="1">
        <f>("1003")*1</f>
        <v>1003</v>
      </c>
      <c r="B15" s="1" t="str">
        <f>"Наличность в обменных пунктах"</f>
        <v>Наличность в обменных пунктах</v>
      </c>
      <c r="C15" s="1" t="str">
        <f>"1"</f>
        <v>1</v>
      </c>
      <c r="D15" s="1" t="str">
        <f t="shared" si="0"/>
        <v>3</v>
      </c>
      <c r="E15" s="1" t="str">
        <f>"1"</f>
        <v>1</v>
      </c>
      <c r="F15" s="2">
        <v>450</v>
      </c>
    </row>
    <row r="16" spans="1:6" x14ac:dyDescent="0.25">
      <c r="A16" s="1">
        <f>("1005")*1</f>
        <v>1005</v>
      </c>
      <c r="B16" s="1" t="str">
        <f>"Наличность в банкоматах и электронных терминалах"</f>
        <v>Наличность в банкоматах и электронных терминалах</v>
      </c>
      <c r="C16" s="1" t="str">
        <f>"2"</f>
        <v>2</v>
      </c>
      <c r="D16" s="1" t="str">
        <f t="shared" si="0"/>
        <v>3</v>
      </c>
      <c r="E16" s="1" t="str">
        <f>"2"</f>
        <v>2</v>
      </c>
      <c r="F16" s="2">
        <v>28502604</v>
      </c>
    </row>
    <row r="17" spans="1:6" x14ac:dyDescent="0.25">
      <c r="A17" s="1">
        <f>("1005")*1</f>
        <v>1005</v>
      </c>
      <c r="B17" s="1" t="str">
        <f>"Наличность в банкоматах и электронных терминалах"</f>
        <v>Наличность в банкоматах и электронных терминалах</v>
      </c>
      <c r="C17" s="1" t="str">
        <f>"1"</f>
        <v>1</v>
      </c>
      <c r="D17" s="1" t="str">
        <f t="shared" si="0"/>
        <v>3</v>
      </c>
      <c r="E17" s="1" t="str">
        <f>"1"</f>
        <v>1</v>
      </c>
      <c r="F17" s="2">
        <v>7083879250.1999998</v>
      </c>
    </row>
    <row r="18" spans="1:6" x14ac:dyDescent="0.25">
      <c r="A18" s="1">
        <f>("1011")*1</f>
        <v>1011</v>
      </c>
      <c r="B18" s="1" t="str">
        <f>"Аффинированные драгоценные металлы"</f>
        <v>Аффинированные драгоценные металлы</v>
      </c>
      <c r="C18" s="1" t="str">
        <f>""</f>
        <v/>
      </c>
      <c r="D18" s="1" t="str">
        <f>""</f>
        <v/>
      </c>
      <c r="E18" s="1" t="str">
        <f>""</f>
        <v/>
      </c>
      <c r="F18" s="2">
        <v>40918411.210000001</v>
      </c>
    </row>
    <row r="19" spans="1:6" x14ac:dyDescent="0.25">
      <c r="A19" s="1">
        <f>("1051")*1</f>
        <v>1051</v>
      </c>
      <c r="B19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9" s="1" t="str">
        <f>"1"</f>
        <v>1</v>
      </c>
      <c r="D19" s="1" t="str">
        <f>"3"</f>
        <v>3</v>
      </c>
      <c r="E19" s="1" t="str">
        <f>"2"</f>
        <v>2</v>
      </c>
      <c r="F19" s="2">
        <v>227379415670.07999</v>
      </c>
    </row>
    <row r="20" spans="1:6" x14ac:dyDescent="0.25">
      <c r="A20" s="1">
        <f>("1051")*1</f>
        <v>1051</v>
      </c>
      <c r="B20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20" s="1" t="str">
        <f>"1"</f>
        <v>1</v>
      </c>
      <c r="D20" s="1" t="str">
        <f>"3"</f>
        <v>3</v>
      </c>
      <c r="E20" s="1" t="str">
        <f>"3"</f>
        <v>3</v>
      </c>
      <c r="F20" s="2">
        <v>448985107.75</v>
      </c>
    </row>
    <row r="21" spans="1:6" x14ac:dyDescent="0.25">
      <c r="A21" s="1">
        <f>("1051")*1</f>
        <v>1051</v>
      </c>
      <c r="B21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21" s="1" t="str">
        <f>"1"</f>
        <v>1</v>
      </c>
      <c r="D21" s="1" t="str">
        <f>"3"</f>
        <v>3</v>
      </c>
      <c r="E21" s="1" t="str">
        <f>"1"</f>
        <v>1</v>
      </c>
      <c r="F21" s="2">
        <v>12548010539</v>
      </c>
    </row>
    <row r="22" spans="1:6" x14ac:dyDescent="0.25">
      <c r="A22" s="1">
        <f t="shared" ref="A22:A29" si="1">("1052")*1</f>
        <v>1052</v>
      </c>
      <c r="B22" s="1" t="str">
        <f t="shared" ref="B22:B29" si="2">"Корреспондентские счета в других банках"</f>
        <v>Корреспондентские счета в других банках</v>
      </c>
      <c r="C22" s="1" t="str">
        <f>"1"</f>
        <v>1</v>
      </c>
      <c r="D22" s="1" t="str">
        <f>"5"</f>
        <v>5</v>
      </c>
      <c r="E22" s="1" t="str">
        <f>"2"</f>
        <v>2</v>
      </c>
      <c r="F22" s="2">
        <v>826213020.25999999</v>
      </c>
    </row>
    <row r="23" spans="1:6" x14ac:dyDescent="0.25">
      <c r="A23" s="1">
        <f t="shared" si="1"/>
        <v>1052</v>
      </c>
      <c r="B23" s="1" t="str">
        <f t="shared" si="2"/>
        <v>Корреспондентские счета в других банках</v>
      </c>
      <c r="C23" s="1" t="str">
        <f>"2"</f>
        <v>2</v>
      </c>
      <c r="D23" s="1" t="str">
        <f>"4"</f>
        <v>4</v>
      </c>
      <c r="E23" s="1" t="str">
        <f>"2"</f>
        <v>2</v>
      </c>
      <c r="F23" s="2">
        <v>46766798909.800003</v>
      </c>
    </row>
    <row r="24" spans="1:6" x14ac:dyDescent="0.25">
      <c r="A24" s="1">
        <f t="shared" si="1"/>
        <v>1052</v>
      </c>
      <c r="B24" s="1" t="str">
        <f t="shared" si="2"/>
        <v>Корреспондентские счета в других банках</v>
      </c>
      <c r="C24" s="1" t="str">
        <f>"1"</f>
        <v>1</v>
      </c>
      <c r="D24" s="1" t="str">
        <f>"4"</f>
        <v>4</v>
      </c>
      <c r="E24" s="1" t="str">
        <f>"1"</f>
        <v>1</v>
      </c>
      <c r="F24" s="2">
        <v>3211189795.6199999</v>
      </c>
    </row>
    <row r="25" spans="1:6" x14ac:dyDescent="0.25">
      <c r="A25" s="1">
        <f t="shared" si="1"/>
        <v>1052</v>
      </c>
      <c r="B25" s="1" t="str">
        <f t="shared" si="2"/>
        <v>Корреспондентские счета в других банках</v>
      </c>
      <c r="C25" s="1" t="str">
        <f>"1"</f>
        <v>1</v>
      </c>
      <c r="D25" s="1" t="str">
        <f>"4"</f>
        <v>4</v>
      </c>
      <c r="E25" s="1" t="str">
        <f>"3"</f>
        <v>3</v>
      </c>
      <c r="F25" s="2">
        <v>2137736.52</v>
      </c>
    </row>
    <row r="26" spans="1:6" x14ac:dyDescent="0.25">
      <c r="A26" s="1">
        <f t="shared" si="1"/>
        <v>1052</v>
      </c>
      <c r="B26" s="1" t="str">
        <f t="shared" si="2"/>
        <v>Корреспондентские счета в других банках</v>
      </c>
      <c r="C26" s="1" t="str">
        <f>"1"</f>
        <v>1</v>
      </c>
      <c r="D26" s="1" t="str">
        <f>"4"</f>
        <v>4</v>
      </c>
      <c r="E26" s="1" t="str">
        <f>"2"</f>
        <v>2</v>
      </c>
      <c r="F26" s="2">
        <v>1198267115.6199999</v>
      </c>
    </row>
    <row r="27" spans="1:6" x14ac:dyDescent="0.25">
      <c r="A27" s="1">
        <f t="shared" si="1"/>
        <v>1052</v>
      </c>
      <c r="B27" s="1" t="str">
        <f t="shared" si="2"/>
        <v>Корреспондентские счета в других банках</v>
      </c>
      <c r="C27" s="1" t="str">
        <f>"2"</f>
        <v>2</v>
      </c>
      <c r="D27" s="1" t="str">
        <f>"5"</f>
        <v>5</v>
      </c>
      <c r="E27" s="1" t="str">
        <f>"2"</f>
        <v>2</v>
      </c>
      <c r="F27" s="2">
        <v>398677672.77999997</v>
      </c>
    </row>
    <row r="28" spans="1:6" x14ac:dyDescent="0.25">
      <c r="A28" s="1">
        <f t="shared" si="1"/>
        <v>1052</v>
      </c>
      <c r="B28" s="1" t="str">
        <f t="shared" si="2"/>
        <v>Корреспондентские счета в других банках</v>
      </c>
      <c r="C28" s="1" t="str">
        <f>"2"</f>
        <v>2</v>
      </c>
      <c r="D28" s="1" t="str">
        <f>"4"</f>
        <v>4</v>
      </c>
      <c r="E28" s="1" t="str">
        <f>"3"</f>
        <v>3</v>
      </c>
      <c r="F28" s="2">
        <v>725127501.58000004</v>
      </c>
    </row>
    <row r="29" spans="1:6" x14ac:dyDescent="0.25">
      <c r="A29" s="1">
        <f t="shared" si="1"/>
        <v>1052</v>
      </c>
      <c r="B29" s="1" t="str">
        <f t="shared" si="2"/>
        <v>Корреспондентские счета в других банках</v>
      </c>
      <c r="C29" s="1" t="str">
        <f>"2"</f>
        <v>2</v>
      </c>
      <c r="D29" s="1" t="str">
        <f>"5"</f>
        <v>5</v>
      </c>
      <c r="E29" s="1" t="str">
        <f>"3"</f>
        <v>3</v>
      </c>
      <c r="F29" s="2">
        <v>108841626.81</v>
      </c>
    </row>
    <row r="30" spans="1:6" x14ac:dyDescent="0.25">
      <c r="A30" s="1">
        <f>("1054")*1</f>
        <v>1054</v>
      </c>
      <c r="B30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0" s="1" t="str">
        <f>"2"</f>
        <v>2</v>
      </c>
      <c r="D30" s="1" t="str">
        <f>"4"</f>
        <v>4</v>
      </c>
      <c r="E30" s="1" t="str">
        <f>"2"</f>
        <v>2</v>
      </c>
      <c r="F30" s="2">
        <v>-228524.41</v>
      </c>
    </row>
    <row r="31" spans="1:6" x14ac:dyDescent="0.25">
      <c r="A31" s="1">
        <f>("1054")*1</f>
        <v>1054</v>
      </c>
      <c r="B31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1" s="1" t="str">
        <f>"1"</f>
        <v>1</v>
      </c>
      <c r="D31" s="1" t="str">
        <f>"4"</f>
        <v>4</v>
      </c>
      <c r="E31" s="1" t="str">
        <f>"2"</f>
        <v>2</v>
      </c>
      <c r="F31" s="2">
        <v>-15271.94</v>
      </c>
    </row>
    <row r="32" spans="1:6" x14ac:dyDescent="0.25">
      <c r="A32" s="1">
        <f>("1054")*1</f>
        <v>1054</v>
      </c>
      <c r="B32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2" s="1" t="str">
        <f>"2"</f>
        <v>2</v>
      </c>
      <c r="D32" s="1" t="str">
        <f>"4"</f>
        <v>4</v>
      </c>
      <c r="E32" s="1" t="str">
        <f>"3"</f>
        <v>3</v>
      </c>
      <c r="F32" s="2">
        <v>-12554811.109999999</v>
      </c>
    </row>
    <row r="33" spans="1:6" x14ac:dyDescent="0.25">
      <c r="A33" s="1">
        <f>("1054")*1</f>
        <v>1054</v>
      </c>
      <c r="B33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3" s="1" t="str">
        <f>"2"</f>
        <v>2</v>
      </c>
      <c r="D33" s="1" t="str">
        <f>"5"</f>
        <v>5</v>
      </c>
      <c r="E33" s="1" t="str">
        <f>"3"</f>
        <v>3</v>
      </c>
      <c r="F33" s="2">
        <v>-62931.66</v>
      </c>
    </row>
    <row r="34" spans="1:6" x14ac:dyDescent="0.25">
      <c r="A34" s="1">
        <f>("1054")*1</f>
        <v>1054</v>
      </c>
      <c r="B34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4" s="1" t="str">
        <f>"2"</f>
        <v>2</v>
      </c>
      <c r="D34" s="1" t="str">
        <f>"5"</f>
        <v>5</v>
      </c>
      <c r="E34" s="1" t="str">
        <f>"2"</f>
        <v>2</v>
      </c>
      <c r="F34" s="2">
        <v>-242796.46</v>
      </c>
    </row>
    <row r="35" spans="1:6" x14ac:dyDescent="0.25">
      <c r="A35" s="1">
        <f>("1055")*1</f>
        <v>1055</v>
      </c>
      <c r="B35" s="1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C35" s="1" t="str">
        <f>"1"</f>
        <v>1</v>
      </c>
      <c r="D35" s="1" t="str">
        <f>"3"</f>
        <v>3</v>
      </c>
      <c r="E35" s="1" t="str">
        <f>"1"</f>
        <v>1</v>
      </c>
      <c r="F35" s="2">
        <v>3011856776.6199999</v>
      </c>
    </row>
    <row r="36" spans="1:6" x14ac:dyDescent="0.25">
      <c r="A36" s="1">
        <f>("1101")*1</f>
        <v>1101</v>
      </c>
      <c r="B36" s="1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C36" s="1" t="str">
        <f>"1"</f>
        <v>1</v>
      </c>
      <c r="D36" s="1" t="str">
        <f>"3"</f>
        <v>3</v>
      </c>
      <c r="E36" s="1" t="str">
        <f>"1"</f>
        <v>1</v>
      </c>
      <c r="F36" s="2">
        <v>49000000000</v>
      </c>
    </row>
    <row r="37" spans="1:6" x14ac:dyDescent="0.25">
      <c r="A37" s="1">
        <f>("1259")*1</f>
        <v>1259</v>
      </c>
      <c r="B37" s="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C37" s="1" t="str">
        <f>"2"</f>
        <v>2</v>
      </c>
      <c r="D37" s="1" t="str">
        <f>"5"</f>
        <v>5</v>
      </c>
      <c r="E37" s="1" t="str">
        <f>"2"</f>
        <v>2</v>
      </c>
      <c r="F37" s="2">
        <v>-1809492.04</v>
      </c>
    </row>
    <row r="38" spans="1:6" x14ac:dyDescent="0.25">
      <c r="A38" s="1">
        <f>("1267")*1</f>
        <v>1267</v>
      </c>
      <c r="B38" s="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38" s="1" t="str">
        <f>"1"</f>
        <v>1</v>
      </c>
      <c r="D38" s="1" t="str">
        <f>"7"</f>
        <v>7</v>
      </c>
      <c r="E38" s="1" t="str">
        <f>"1"</f>
        <v>1</v>
      </c>
      <c r="F38" s="2">
        <v>20000000</v>
      </c>
    </row>
    <row r="39" spans="1:6" x14ac:dyDescent="0.25">
      <c r="A39" s="1">
        <f>("1267")*1</f>
        <v>1267</v>
      </c>
      <c r="B39" s="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39" s="1" t="str">
        <f>"1"</f>
        <v>1</v>
      </c>
      <c r="D39" s="1" t="str">
        <f>"5"</f>
        <v>5</v>
      </c>
      <c r="E39" s="1" t="str">
        <f>"1"</f>
        <v>1</v>
      </c>
      <c r="F39" s="2">
        <v>58000000</v>
      </c>
    </row>
    <row r="40" spans="1:6" x14ac:dyDescent="0.25">
      <c r="A40" s="1">
        <f>("1267")*1</f>
        <v>1267</v>
      </c>
      <c r="B40" s="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0" s="1" t="str">
        <f>"2"</f>
        <v>2</v>
      </c>
      <c r="D40" s="1" t="str">
        <f>"5"</f>
        <v>5</v>
      </c>
      <c r="E40" s="1" t="str">
        <f>"2"</f>
        <v>2</v>
      </c>
      <c r="F40" s="2">
        <v>6521740432.1400003</v>
      </c>
    </row>
    <row r="41" spans="1:6" x14ac:dyDescent="0.25">
      <c r="A41" s="1">
        <f>("1403")*1</f>
        <v>1403</v>
      </c>
      <c r="B41" s="1" t="str">
        <f>"Счета по кредитным карточкам клиентов"</f>
        <v>Счета по кредитным карточкам клиентов</v>
      </c>
      <c r="C41" s="1" t="str">
        <f>"2"</f>
        <v>2</v>
      </c>
      <c r="D41" s="1" t="str">
        <f>"9"</f>
        <v>9</v>
      </c>
      <c r="E41" s="1" t="str">
        <f t="shared" ref="E41:E46" si="3">"1"</f>
        <v>1</v>
      </c>
      <c r="F41" s="2">
        <v>4426328.24</v>
      </c>
    </row>
    <row r="42" spans="1:6" x14ac:dyDescent="0.25">
      <c r="A42" s="1">
        <f>("1403")*1</f>
        <v>1403</v>
      </c>
      <c r="B42" s="1" t="str">
        <f>"Счета по кредитным карточкам клиентов"</f>
        <v>Счета по кредитным карточкам клиентов</v>
      </c>
      <c r="C42" s="1" t="str">
        <f>"1"</f>
        <v>1</v>
      </c>
      <c r="D42" s="1" t="str">
        <f>"7"</f>
        <v>7</v>
      </c>
      <c r="E42" s="1" t="str">
        <f t="shared" si="3"/>
        <v>1</v>
      </c>
      <c r="F42" s="2">
        <v>550575.92000000004</v>
      </c>
    </row>
    <row r="43" spans="1:6" x14ac:dyDescent="0.25">
      <c r="A43" s="1">
        <f>("1403")*1</f>
        <v>1403</v>
      </c>
      <c r="B43" s="1" t="str">
        <f>"Счета по кредитным карточкам клиентов"</f>
        <v>Счета по кредитным карточкам клиентов</v>
      </c>
      <c r="C43" s="1" t="str">
        <f>"1"</f>
        <v>1</v>
      </c>
      <c r="D43" s="1" t="str">
        <f>"9"</f>
        <v>9</v>
      </c>
      <c r="E43" s="1" t="str">
        <f t="shared" si="3"/>
        <v>1</v>
      </c>
      <c r="F43" s="2">
        <v>3342517620.2600002</v>
      </c>
    </row>
    <row r="44" spans="1:6" x14ac:dyDescent="0.25">
      <c r="A44" s="1">
        <f>("1411")*1</f>
        <v>1411</v>
      </c>
      <c r="B44" s="1" t="str">
        <f>"Краткосрочные займы, предоставленные клиентам"</f>
        <v>Краткосрочные займы, предоставленные клиентам</v>
      </c>
      <c r="C44" s="1" t="str">
        <f>"1"</f>
        <v>1</v>
      </c>
      <c r="D44" s="1" t="str">
        <f>"7"</f>
        <v>7</v>
      </c>
      <c r="E44" s="1" t="str">
        <f t="shared" si="3"/>
        <v>1</v>
      </c>
      <c r="F44" s="2">
        <v>1515013308.77</v>
      </c>
    </row>
    <row r="45" spans="1:6" x14ac:dyDescent="0.25">
      <c r="A45" s="1">
        <f>("1411")*1</f>
        <v>1411</v>
      </c>
      <c r="B45" s="1" t="str">
        <f>"Краткосрочные займы, предоставленные клиентам"</f>
        <v>Краткосрочные займы, предоставленные клиентам</v>
      </c>
      <c r="C45" s="1" t="str">
        <f>"2"</f>
        <v>2</v>
      </c>
      <c r="D45" s="1" t="str">
        <f>"9"</f>
        <v>9</v>
      </c>
      <c r="E45" s="1" t="str">
        <f t="shared" si="3"/>
        <v>1</v>
      </c>
      <c r="F45" s="2">
        <v>1872401</v>
      </c>
    </row>
    <row r="46" spans="1:6" x14ac:dyDescent="0.25">
      <c r="A46" s="1">
        <f>("1411")*1</f>
        <v>1411</v>
      </c>
      <c r="B46" s="1" t="str">
        <f>"Краткосрочные займы, предоставленные клиентам"</f>
        <v>Краткосрочные займы, предоставленные клиентам</v>
      </c>
      <c r="C46" s="1" t="str">
        <f>"1"</f>
        <v>1</v>
      </c>
      <c r="D46" s="1" t="str">
        <f>"9"</f>
        <v>9</v>
      </c>
      <c r="E46" s="1" t="str">
        <f t="shared" si="3"/>
        <v>1</v>
      </c>
      <c r="F46" s="2">
        <v>10982882919.559999</v>
      </c>
    </row>
    <row r="47" spans="1:6" x14ac:dyDescent="0.25">
      <c r="A47" s="1">
        <f t="shared" ref="A47:A56" si="4">("1417")*1</f>
        <v>1417</v>
      </c>
      <c r="B47" s="1" t="str">
        <f t="shared" ref="B47:B56" si="5">"Долгосрочные займы, предоставленные клиентам"</f>
        <v>Долгосрочные займы, предоставленные клиентам</v>
      </c>
      <c r="C47" s="1" t="str">
        <f>"1"</f>
        <v>1</v>
      </c>
      <c r="D47" s="1" t="str">
        <f>"5"</f>
        <v>5</v>
      </c>
      <c r="E47" s="1" t="str">
        <f>"2"</f>
        <v>2</v>
      </c>
      <c r="F47" s="2">
        <v>16107509533.75</v>
      </c>
    </row>
    <row r="48" spans="1:6" x14ac:dyDescent="0.25">
      <c r="A48" s="1">
        <f t="shared" si="4"/>
        <v>1417</v>
      </c>
      <c r="B48" s="1" t="str">
        <f t="shared" si="5"/>
        <v>Долгосрочные займы, предоставленные клиентам</v>
      </c>
      <c r="C48" s="1" t="str">
        <f>"2"</f>
        <v>2</v>
      </c>
      <c r="D48" s="1" t="str">
        <f>"7"</f>
        <v>7</v>
      </c>
      <c r="E48" s="1" t="str">
        <f>"3"</f>
        <v>3</v>
      </c>
      <c r="F48" s="2">
        <v>13540211620.68</v>
      </c>
    </row>
    <row r="49" spans="1:6" x14ac:dyDescent="0.25">
      <c r="A49" s="1">
        <f t="shared" si="4"/>
        <v>1417</v>
      </c>
      <c r="B49" s="1" t="str">
        <f t="shared" si="5"/>
        <v>Долгосрочные займы, предоставленные клиентам</v>
      </c>
      <c r="C49" s="1" t="str">
        <f>"2"</f>
        <v>2</v>
      </c>
      <c r="D49" s="1" t="str">
        <f>"7"</f>
        <v>7</v>
      </c>
      <c r="E49" s="1" t="str">
        <f>"2"</f>
        <v>2</v>
      </c>
      <c r="F49" s="2">
        <v>10781813380.68</v>
      </c>
    </row>
    <row r="50" spans="1:6" x14ac:dyDescent="0.25">
      <c r="A50" s="1">
        <f t="shared" si="4"/>
        <v>1417</v>
      </c>
      <c r="B50" s="1" t="str">
        <f t="shared" si="5"/>
        <v>Долгосрочные займы, предоставленные клиентам</v>
      </c>
      <c r="C50" s="1" t="str">
        <f>"1"</f>
        <v>1</v>
      </c>
      <c r="D50" s="1" t="str">
        <f>"9"</f>
        <v>9</v>
      </c>
      <c r="E50" s="1" t="str">
        <f>"1"</f>
        <v>1</v>
      </c>
      <c r="F50" s="2">
        <v>591184535730.29004</v>
      </c>
    </row>
    <row r="51" spans="1:6" x14ac:dyDescent="0.25">
      <c r="A51" s="1">
        <f t="shared" si="4"/>
        <v>1417</v>
      </c>
      <c r="B51" s="1" t="str">
        <f t="shared" si="5"/>
        <v>Долгосрочные займы, предоставленные клиентам</v>
      </c>
      <c r="C51" s="1" t="str">
        <f>"1"</f>
        <v>1</v>
      </c>
      <c r="D51" s="1" t="str">
        <f>"5"</f>
        <v>5</v>
      </c>
      <c r="E51" s="1" t="str">
        <f>"1"</f>
        <v>1</v>
      </c>
      <c r="F51" s="2">
        <v>9847074715.9099998</v>
      </c>
    </row>
    <row r="52" spans="1:6" x14ac:dyDescent="0.25">
      <c r="A52" s="1">
        <f t="shared" si="4"/>
        <v>1417</v>
      </c>
      <c r="B52" s="1" t="str">
        <f t="shared" si="5"/>
        <v>Долгосрочные займы, предоставленные клиентам</v>
      </c>
      <c r="C52" s="1" t="str">
        <f>"1"</f>
        <v>1</v>
      </c>
      <c r="D52" s="1" t="str">
        <f>"9"</f>
        <v>9</v>
      </c>
      <c r="E52" s="1" t="str">
        <f>"2"</f>
        <v>2</v>
      </c>
      <c r="F52" s="2">
        <v>625254267.83000004</v>
      </c>
    </row>
    <row r="53" spans="1:6" x14ac:dyDescent="0.25">
      <c r="A53" s="1">
        <f t="shared" si="4"/>
        <v>1417</v>
      </c>
      <c r="B53" s="1" t="str">
        <f t="shared" si="5"/>
        <v>Долгосрочные займы, предоставленные клиентам</v>
      </c>
      <c r="C53" s="1" t="str">
        <f>"1"</f>
        <v>1</v>
      </c>
      <c r="D53" s="1" t="str">
        <f>"7"</f>
        <v>7</v>
      </c>
      <c r="E53" s="1" t="str">
        <f>"2"</f>
        <v>2</v>
      </c>
      <c r="F53" s="2">
        <v>23205147868.299999</v>
      </c>
    </row>
    <row r="54" spans="1:6" x14ac:dyDescent="0.25">
      <c r="A54" s="1">
        <f t="shared" si="4"/>
        <v>1417</v>
      </c>
      <c r="B54" s="1" t="str">
        <f t="shared" si="5"/>
        <v>Долгосрочные займы, предоставленные клиентам</v>
      </c>
      <c r="C54" s="1" t="str">
        <f>"2"</f>
        <v>2</v>
      </c>
      <c r="D54" s="1" t="str">
        <f>"9"</f>
        <v>9</v>
      </c>
      <c r="E54" s="1" t="str">
        <f>"1"</f>
        <v>1</v>
      </c>
      <c r="F54" s="2">
        <v>44514163.490000002</v>
      </c>
    </row>
    <row r="55" spans="1:6" x14ac:dyDescent="0.25">
      <c r="A55" s="1">
        <f t="shared" si="4"/>
        <v>1417</v>
      </c>
      <c r="B55" s="1" t="str">
        <f t="shared" si="5"/>
        <v>Долгосрочные займы, предоставленные клиентам</v>
      </c>
      <c r="C55" s="1" t="str">
        <f>"1"</f>
        <v>1</v>
      </c>
      <c r="D55" s="1" t="str">
        <f>"7"</f>
        <v>7</v>
      </c>
      <c r="E55" s="1" t="str">
        <f>"1"</f>
        <v>1</v>
      </c>
      <c r="F55" s="2">
        <v>211668520569.54001</v>
      </c>
    </row>
    <row r="56" spans="1:6" x14ac:dyDescent="0.25">
      <c r="A56" s="1">
        <f t="shared" si="4"/>
        <v>1417</v>
      </c>
      <c r="B56" s="1" t="str">
        <f t="shared" si="5"/>
        <v>Долгосрочные займы, предоставленные клиентам</v>
      </c>
      <c r="C56" s="1" t="str">
        <f>"1"</f>
        <v>1</v>
      </c>
      <c r="D56" s="1" t="str">
        <f>"6"</f>
        <v>6</v>
      </c>
      <c r="E56" s="1" t="str">
        <f>"1"</f>
        <v>1</v>
      </c>
      <c r="F56" s="2">
        <v>7281247000</v>
      </c>
    </row>
    <row r="57" spans="1:6" x14ac:dyDescent="0.25">
      <c r="A57" s="1">
        <f>("1421")*1</f>
        <v>1421</v>
      </c>
      <c r="B57" s="1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C57" s="1" t="str">
        <f>"1"</f>
        <v>1</v>
      </c>
      <c r="D57" s="1" t="str">
        <f>"7"</f>
        <v>7</v>
      </c>
      <c r="E57" s="1" t="str">
        <f>"1"</f>
        <v>1</v>
      </c>
      <c r="F57" s="2">
        <v>9256258.9100000001</v>
      </c>
    </row>
    <row r="58" spans="1:6" x14ac:dyDescent="0.25">
      <c r="A58" s="1">
        <f t="shared" ref="A58:A64" si="6">("1424")*1</f>
        <v>1424</v>
      </c>
      <c r="B58" s="1" t="str">
        <f t="shared" ref="B58:B64" si="7">"Просроченная задолженность клиентов по займам"</f>
        <v>Просроченная задолженность клиентов по займам</v>
      </c>
      <c r="C58" s="1" t="str">
        <f>"1"</f>
        <v>1</v>
      </c>
      <c r="D58" s="1" t="str">
        <f>"9"</f>
        <v>9</v>
      </c>
      <c r="E58" s="1" t="str">
        <f>"1"</f>
        <v>1</v>
      </c>
      <c r="F58" s="2">
        <v>25284277118.700001</v>
      </c>
    </row>
    <row r="59" spans="1:6" x14ac:dyDescent="0.25">
      <c r="A59" s="1">
        <f t="shared" si="6"/>
        <v>1424</v>
      </c>
      <c r="B59" s="1" t="str">
        <f t="shared" si="7"/>
        <v>Просроченная задолженность клиентов по займам</v>
      </c>
      <c r="C59" s="1" t="str">
        <f>"1"</f>
        <v>1</v>
      </c>
      <c r="D59" s="1" t="str">
        <f>"7"</f>
        <v>7</v>
      </c>
      <c r="E59" s="1" t="str">
        <f>"2"</f>
        <v>2</v>
      </c>
      <c r="F59" s="2">
        <v>184806044.53999999</v>
      </c>
    </row>
    <row r="60" spans="1:6" x14ac:dyDescent="0.25">
      <c r="A60" s="1">
        <f t="shared" si="6"/>
        <v>1424</v>
      </c>
      <c r="B60" s="1" t="str">
        <f t="shared" si="7"/>
        <v>Просроченная задолженность клиентов по займам</v>
      </c>
      <c r="C60" s="1" t="str">
        <f>"2"</f>
        <v>2</v>
      </c>
      <c r="D60" s="1" t="str">
        <f>"7"</f>
        <v>7</v>
      </c>
      <c r="E60" s="1" t="str">
        <f>"3"</f>
        <v>3</v>
      </c>
      <c r="F60" s="2">
        <v>862925717.09000003</v>
      </c>
    </row>
    <row r="61" spans="1:6" x14ac:dyDescent="0.25">
      <c r="A61" s="1">
        <f t="shared" si="6"/>
        <v>1424</v>
      </c>
      <c r="B61" s="1" t="str">
        <f t="shared" si="7"/>
        <v>Просроченная задолженность клиентов по займам</v>
      </c>
      <c r="C61" s="1" t="str">
        <f>"1"</f>
        <v>1</v>
      </c>
      <c r="D61" s="1" t="str">
        <f>"7"</f>
        <v>7</v>
      </c>
      <c r="E61" s="1" t="str">
        <f>"1"</f>
        <v>1</v>
      </c>
      <c r="F61" s="2">
        <v>17902226318.189999</v>
      </c>
    </row>
    <row r="62" spans="1:6" x14ac:dyDescent="0.25">
      <c r="A62" s="1">
        <f t="shared" si="6"/>
        <v>1424</v>
      </c>
      <c r="B62" s="1" t="str">
        <f t="shared" si="7"/>
        <v>Просроченная задолженность клиентов по займам</v>
      </c>
      <c r="C62" s="1" t="str">
        <f>"2"</f>
        <v>2</v>
      </c>
      <c r="D62" s="1" t="str">
        <f>"9"</f>
        <v>9</v>
      </c>
      <c r="E62" s="1" t="str">
        <f>"1"</f>
        <v>1</v>
      </c>
      <c r="F62" s="2">
        <v>15936262.439999999</v>
      </c>
    </row>
    <row r="63" spans="1:6" x14ac:dyDescent="0.25">
      <c r="A63" s="1">
        <f t="shared" si="6"/>
        <v>1424</v>
      </c>
      <c r="B63" s="1" t="str">
        <f t="shared" si="7"/>
        <v>Просроченная задолженность клиентов по займам</v>
      </c>
      <c r="C63" s="1" t="str">
        <f>"1"</f>
        <v>1</v>
      </c>
      <c r="D63" s="1" t="str">
        <f>"9"</f>
        <v>9</v>
      </c>
      <c r="E63" s="1" t="str">
        <f>"2"</f>
        <v>2</v>
      </c>
      <c r="F63" s="2">
        <v>128513222.91</v>
      </c>
    </row>
    <row r="64" spans="1:6" x14ac:dyDescent="0.25">
      <c r="A64" s="1">
        <f t="shared" si="6"/>
        <v>1424</v>
      </c>
      <c r="B64" s="1" t="str">
        <f t="shared" si="7"/>
        <v>Просроченная задолженность клиентов по займам</v>
      </c>
      <c r="C64" s="1" t="str">
        <f>"1"</f>
        <v>1</v>
      </c>
      <c r="D64" s="1" t="str">
        <f>"5"</f>
        <v>5</v>
      </c>
      <c r="E64" s="1" t="str">
        <f>"1"</f>
        <v>1</v>
      </c>
      <c r="F64" s="2">
        <v>3937675169.6399999</v>
      </c>
    </row>
    <row r="65" spans="1:6" x14ac:dyDescent="0.25">
      <c r="A65" s="1">
        <f t="shared" ref="A65:A75" si="8">("1428")*1</f>
        <v>1428</v>
      </c>
      <c r="B65" s="1" t="str">
        <f t="shared" ref="B65:B75" si="9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65" s="1" t="str">
        <f>"1"</f>
        <v>1</v>
      </c>
      <c r="D65" s="1" t="str">
        <f>"9"</f>
        <v>9</v>
      </c>
      <c r="E65" s="1" t="str">
        <f>"2"</f>
        <v>2</v>
      </c>
      <c r="F65" s="2">
        <v>-561631721.45000005</v>
      </c>
    </row>
    <row r="66" spans="1:6" x14ac:dyDescent="0.25">
      <c r="A66" s="1">
        <f t="shared" si="8"/>
        <v>1428</v>
      </c>
      <c r="B66" s="1" t="str">
        <f t="shared" si="9"/>
        <v>Резервы (провизии) по займам и финансовому лизингу, предоставленным клиентам</v>
      </c>
      <c r="C66" s="1" t="str">
        <f>"2"</f>
        <v>2</v>
      </c>
      <c r="D66" s="1" t="str">
        <f>"9"</f>
        <v>9</v>
      </c>
      <c r="E66" s="1" t="str">
        <f>"1"</f>
        <v>1</v>
      </c>
      <c r="F66" s="2">
        <v>-55769256.909999996</v>
      </c>
    </row>
    <row r="67" spans="1:6" x14ac:dyDescent="0.25">
      <c r="A67" s="1">
        <f t="shared" si="8"/>
        <v>1428</v>
      </c>
      <c r="B67" s="1" t="str">
        <f t="shared" si="9"/>
        <v>Резервы (провизии) по займам и финансовому лизингу, предоставленным клиентам</v>
      </c>
      <c r="C67" s="1" t="str">
        <f>"2"</f>
        <v>2</v>
      </c>
      <c r="D67" s="1" t="str">
        <f>"7"</f>
        <v>7</v>
      </c>
      <c r="E67" s="1" t="str">
        <f>"2"</f>
        <v>2</v>
      </c>
      <c r="F67" s="2">
        <v>-55931422.899999999</v>
      </c>
    </row>
    <row r="68" spans="1:6" x14ac:dyDescent="0.25">
      <c r="A68" s="1">
        <f t="shared" si="8"/>
        <v>1428</v>
      </c>
      <c r="B68" s="1" t="str">
        <f t="shared" si="9"/>
        <v>Резервы (провизии) по займам и финансовому лизингу, предоставленным клиентам</v>
      </c>
      <c r="C68" s="1" t="str">
        <f>"2"</f>
        <v>2</v>
      </c>
      <c r="D68" s="1" t="str">
        <f>"7"</f>
        <v>7</v>
      </c>
      <c r="E68" s="1" t="str">
        <f>"3"</f>
        <v>3</v>
      </c>
      <c r="F68" s="2">
        <v>-234687055.77000001</v>
      </c>
    </row>
    <row r="69" spans="1:6" x14ac:dyDescent="0.25">
      <c r="A69" s="1">
        <f t="shared" si="8"/>
        <v>1428</v>
      </c>
      <c r="B69" s="1" t="str">
        <f t="shared" si="9"/>
        <v>Резервы (провизии) по займам и финансовому лизингу, предоставленным клиентам</v>
      </c>
      <c r="C69" s="1" t="str">
        <f>"1"</f>
        <v>1</v>
      </c>
      <c r="D69" s="1" t="str">
        <f>"5"</f>
        <v>5</v>
      </c>
      <c r="E69" s="1" t="str">
        <f>"1"</f>
        <v>1</v>
      </c>
      <c r="F69" s="2">
        <v>-51352719.979999997</v>
      </c>
    </row>
    <row r="70" spans="1:6" x14ac:dyDescent="0.25">
      <c r="A70" s="1">
        <f t="shared" si="8"/>
        <v>1428</v>
      </c>
      <c r="B70" s="1" t="str">
        <f t="shared" si="9"/>
        <v>Резервы (провизии) по займам и финансовому лизингу, предоставленным клиентам</v>
      </c>
      <c r="C70" s="1" t="str">
        <f>"1"</f>
        <v>1</v>
      </c>
      <c r="D70" s="1" t="str">
        <f>"9"</f>
        <v>9</v>
      </c>
      <c r="E70" s="1" t="str">
        <f>"1"</f>
        <v>1</v>
      </c>
      <c r="F70" s="2">
        <v>-83088929475.449997</v>
      </c>
    </row>
    <row r="71" spans="1:6" x14ac:dyDescent="0.25">
      <c r="A71" s="1">
        <f t="shared" si="8"/>
        <v>1428</v>
      </c>
      <c r="B71" s="1" t="str">
        <f t="shared" si="9"/>
        <v>Резервы (провизии) по займам и финансовому лизингу, предоставленным клиентам</v>
      </c>
      <c r="C71" s="1" t="str">
        <f>"1"</f>
        <v>1</v>
      </c>
      <c r="D71" s="1" t="str">
        <f>"7"</f>
        <v>7</v>
      </c>
      <c r="E71" s="1" t="str">
        <f>"2"</f>
        <v>2</v>
      </c>
      <c r="F71" s="2">
        <v>-20373670571.869999</v>
      </c>
    </row>
    <row r="72" spans="1:6" x14ac:dyDescent="0.25">
      <c r="A72" s="1">
        <f t="shared" si="8"/>
        <v>1428</v>
      </c>
      <c r="B72" s="1" t="str">
        <f t="shared" si="9"/>
        <v>Резервы (провизии) по займам и финансовому лизингу, предоставленным клиентам</v>
      </c>
      <c r="C72" s="1" t="str">
        <f>"2"</f>
        <v>2</v>
      </c>
      <c r="D72" s="1" t="str">
        <f>"9"</f>
        <v>9</v>
      </c>
      <c r="E72" s="1" t="str">
        <f>"2"</f>
        <v>2</v>
      </c>
      <c r="F72" s="2">
        <v>-69027.100000000006</v>
      </c>
    </row>
    <row r="73" spans="1:6" x14ac:dyDescent="0.25">
      <c r="A73" s="1">
        <f t="shared" si="8"/>
        <v>1428</v>
      </c>
      <c r="B73" s="1" t="str">
        <f t="shared" si="9"/>
        <v>Резервы (провизии) по займам и финансовому лизингу, предоставленным клиентам</v>
      </c>
      <c r="C73" s="1" t="str">
        <f t="shared" ref="C73:C79" si="10">"1"</f>
        <v>1</v>
      </c>
      <c r="D73" s="1" t="str">
        <f>"6"</f>
        <v>6</v>
      </c>
      <c r="E73" s="1" t="str">
        <f>"1"</f>
        <v>1</v>
      </c>
      <c r="F73" s="2">
        <v>-45170943.520000003</v>
      </c>
    </row>
    <row r="74" spans="1:6" x14ac:dyDescent="0.25">
      <c r="A74" s="1">
        <f t="shared" si="8"/>
        <v>1428</v>
      </c>
      <c r="B74" s="1" t="str">
        <f t="shared" si="9"/>
        <v>Резервы (провизии) по займам и финансовому лизингу, предоставленным клиентам</v>
      </c>
      <c r="C74" s="1" t="str">
        <f t="shared" si="10"/>
        <v>1</v>
      </c>
      <c r="D74" s="1" t="str">
        <f>"7"</f>
        <v>7</v>
      </c>
      <c r="E74" s="1" t="str">
        <f>"1"</f>
        <v>1</v>
      </c>
      <c r="F74" s="2">
        <v>-47034887018.410004</v>
      </c>
    </row>
    <row r="75" spans="1:6" x14ac:dyDescent="0.25">
      <c r="A75" s="1">
        <f t="shared" si="8"/>
        <v>1428</v>
      </c>
      <c r="B75" s="1" t="str">
        <f t="shared" si="9"/>
        <v>Резервы (провизии) по займам и финансовому лизингу, предоставленным клиентам</v>
      </c>
      <c r="C75" s="1" t="str">
        <f t="shared" si="10"/>
        <v>1</v>
      </c>
      <c r="D75" s="1" t="str">
        <f>"5"</f>
        <v>5</v>
      </c>
      <c r="E75" s="1" t="str">
        <f>"2"</f>
        <v>2</v>
      </c>
      <c r="F75" s="2">
        <v>-1661698299.76</v>
      </c>
    </row>
    <row r="76" spans="1:6" x14ac:dyDescent="0.25">
      <c r="A76" s="1">
        <f t="shared" ref="A76:A84" si="11">("1434")*1</f>
        <v>1434</v>
      </c>
      <c r="B76" s="1" t="str">
        <f t="shared" ref="B76:B84" si="12">"Дисконт по займам, предоставленным клиентам"</f>
        <v>Дисконт по займам, предоставленным клиентам</v>
      </c>
      <c r="C76" s="1" t="str">
        <f t="shared" si="10"/>
        <v>1</v>
      </c>
      <c r="D76" s="1" t="str">
        <f>"7"</f>
        <v>7</v>
      </c>
      <c r="E76" s="1" t="str">
        <f>"2"</f>
        <v>2</v>
      </c>
      <c r="F76" s="2">
        <v>-1176149020.55</v>
      </c>
    </row>
    <row r="77" spans="1:6" x14ac:dyDescent="0.25">
      <c r="A77" s="1">
        <f t="shared" si="11"/>
        <v>1434</v>
      </c>
      <c r="B77" s="1" t="str">
        <f t="shared" si="12"/>
        <v>Дисконт по займам, предоставленным клиентам</v>
      </c>
      <c r="C77" s="1" t="str">
        <f t="shared" si="10"/>
        <v>1</v>
      </c>
      <c r="D77" s="1" t="str">
        <f>"9"</f>
        <v>9</v>
      </c>
      <c r="E77" s="1" t="str">
        <f>"2"</f>
        <v>2</v>
      </c>
      <c r="F77" s="2">
        <v>-8222088.7999999998</v>
      </c>
    </row>
    <row r="78" spans="1:6" x14ac:dyDescent="0.25">
      <c r="A78" s="1">
        <f t="shared" si="11"/>
        <v>1434</v>
      </c>
      <c r="B78" s="1" t="str">
        <f t="shared" si="12"/>
        <v>Дисконт по займам, предоставленным клиентам</v>
      </c>
      <c r="C78" s="1" t="str">
        <f t="shared" si="10"/>
        <v>1</v>
      </c>
      <c r="D78" s="1" t="str">
        <f>"7"</f>
        <v>7</v>
      </c>
      <c r="E78" s="1" t="str">
        <f>"1"</f>
        <v>1</v>
      </c>
      <c r="F78" s="2">
        <v>-10035808182.09</v>
      </c>
    </row>
    <row r="79" spans="1:6" x14ac:dyDescent="0.25">
      <c r="A79" s="1">
        <f t="shared" si="11"/>
        <v>1434</v>
      </c>
      <c r="B79" s="1" t="str">
        <f t="shared" si="12"/>
        <v>Дисконт по займам, предоставленным клиентам</v>
      </c>
      <c r="C79" s="1" t="str">
        <f t="shared" si="10"/>
        <v>1</v>
      </c>
      <c r="D79" s="1" t="str">
        <f>"5"</f>
        <v>5</v>
      </c>
      <c r="E79" s="1" t="str">
        <f>"2"</f>
        <v>2</v>
      </c>
      <c r="F79" s="2">
        <v>-734284117.16999996</v>
      </c>
    </row>
    <row r="80" spans="1:6" x14ac:dyDescent="0.25">
      <c r="A80" s="1">
        <f t="shared" si="11"/>
        <v>1434</v>
      </c>
      <c r="B80" s="1" t="str">
        <f t="shared" si="12"/>
        <v>Дисконт по займам, предоставленным клиентам</v>
      </c>
      <c r="C80" s="1" t="str">
        <f>"2"</f>
        <v>2</v>
      </c>
      <c r="D80" s="1" t="str">
        <f>"9"</f>
        <v>9</v>
      </c>
      <c r="E80" s="1" t="str">
        <f>"1"</f>
        <v>1</v>
      </c>
      <c r="F80" s="2">
        <v>-22539116.73</v>
      </c>
    </row>
    <row r="81" spans="1:6" x14ac:dyDescent="0.25">
      <c r="A81" s="1">
        <f t="shared" si="11"/>
        <v>1434</v>
      </c>
      <c r="B81" s="1" t="str">
        <f t="shared" si="12"/>
        <v>Дисконт по займам, предоставленным клиентам</v>
      </c>
      <c r="C81" s="1" t="str">
        <f>"1"</f>
        <v>1</v>
      </c>
      <c r="D81" s="1" t="str">
        <f>"9"</f>
        <v>9</v>
      </c>
      <c r="E81" s="1" t="str">
        <f>"1"</f>
        <v>1</v>
      </c>
      <c r="F81" s="2">
        <v>-10706623271.549999</v>
      </c>
    </row>
    <row r="82" spans="1:6" x14ac:dyDescent="0.25">
      <c r="A82" s="1">
        <f t="shared" si="11"/>
        <v>1434</v>
      </c>
      <c r="B82" s="1" t="str">
        <f t="shared" si="12"/>
        <v>Дисконт по займам, предоставленным клиентам</v>
      </c>
      <c r="C82" s="1" t="str">
        <f>"1"</f>
        <v>1</v>
      </c>
      <c r="D82" s="1" t="str">
        <f>"5"</f>
        <v>5</v>
      </c>
      <c r="E82" s="1" t="str">
        <f>"1"</f>
        <v>1</v>
      </c>
      <c r="F82" s="2">
        <v>-3988479918.5599999</v>
      </c>
    </row>
    <row r="83" spans="1:6" x14ac:dyDescent="0.25">
      <c r="A83" s="1">
        <f t="shared" si="11"/>
        <v>1434</v>
      </c>
      <c r="B83" s="1" t="str">
        <f t="shared" si="12"/>
        <v>Дисконт по займам, предоставленным клиентам</v>
      </c>
      <c r="C83" s="1" t="str">
        <f>"2"</f>
        <v>2</v>
      </c>
      <c r="D83" s="1" t="str">
        <f>"7"</f>
        <v>7</v>
      </c>
      <c r="E83" s="1" t="str">
        <f>"2"</f>
        <v>2</v>
      </c>
      <c r="F83" s="2">
        <v>-38368149.079999998</v>
      </c>
    </row>
    <row r="84" spans="1:6" x14ac:dyDescent="0.25">
      <c r="A84" s="1">
        <f t="shared" si="11"/>
        <v>1434</v>
      </c>
      <c r="B84" s="1" t="str">
        <f t="shared" si="12"/>
        <v>Дисконт по займам, предоставленным клиентам</v>
      </c>
      <c r="C84" s="1" t="str">
        <f>"2"</f>
        <v>2</v>
      </c>
      <c r="D84" s="1" t="str">
        <f>"7"</f>
        <v>7</v>
      </c>
      <c r="E84" s="1" t="str">
        <f>"3"</f>
        <v>3</v>
      </c>
      <c r="F84" s="2">
        <v>-97599668.700000003</v>
      </c>
    </row>
    <row r="85" spans="1:6" x14ac:dyDescent="0.25">
      <c r="A85" s="1">
        <f>("1435")*1</f>
        <v>1435</v>
      </c>
      <c r="B85" s="1" t="str">
        <f>"Премия по займам, предоставленным клиентам"</f>
        <v>Премия по займам, предоставленным клиентам</v>
      </c>
      <c r="C85" s="1" t="str">
        <f>"1"</f>
        <v>1</v>
      </c>
      <c r="D85" s="1" t="str">
        <f>"7"</f>
        <v>7</v>
      </c>
      <c r="E85" s="1" t="str">
        <f>"1"</f>
        <v>1</v>
      </c>
      <c r="F85" s="2">
        <v>8527830.9199999999</v>
      </c>
    </row>
    <row r="86" spans="1:6" x14ac:dyDescent="0.25">
      <c r="A86" s="1">
        <f>("1435")*1</f>
        <v>1435</v>
      </c>
      <c r="B86" s="1" t="str">
        <f>"Премия по займам, предоставленным клиентам"</f>
        <v>Премия по займам, предоставленным клиентам</v>
      </c>
      <c r="C86" s="1" t="str">
        <f>"2"</f>
        <v>2</v>
      </c>
      <c r="D86" s="1" t="str">
        <f>"9"</f>
        <v>9</v>
      </c>
      <c r="E86" s="1" t="str">
        <f>"1"</f>
        <v>1</v>
      </c>
      <c r="F86" s="2">
        <v>411982.88</v>
      </c>
    </row>
    <row r="87" spans="1:6" x14ac:dyDescent="0.25">
      <c r="A87" s="1">
        <f>("1435")*1</f>
        <v>1435</v>
      </c>
      <c r="B87" s="1" t="str">
        <f>"Премия по займам, предоставленным клиентам"</f>
        <v>Премия по займам, предоставленным клиентам</v>
      </c>
      <c r="C87" s="1" t="str">
        <f>"1"</f>
        <v>1</v>
      </c>
      <c r="D87" s="1" t="str">
        <f>"9"</f>
        <v>9</v>
      </c>
      <c r="E87" s="1" t="str">
        <f>"1"</f>
        <v>1</v>
      </c>
      <c r="F87" s="2">
        <v>1517417007.1600001</v>
      </c>
    </row>
    <row r="88" spans="1:6" x14ac:dyDescent="0.25">
      <c r="A88" s="1">
        <f>("1435")*1</f>
        <v>1435</v>
      </c>
      <c r="B88" s="1" t="str">
        <f>"Премия по займам, предоставленным клиентам"</f>
        <v>Премия по займам, предоставленным клиентам</v>
      </c>
      <c r="C88" s="1" t="str">
        <f>"1"</f>
        <v>1</v>
      </c>
      <c r="D88" s="1" t="str">
        <f>"9"</f>
        <v>9</v>
      </c>
      <c r="E88" s="1" t="str">
        <f>"2"</f>
        <v>2</v>
      </c>
      <c r="F88" s="2">
        <v>31470.45</v>
      </c>
    </row>
    <row r="89" spans="1:6" x14ac:dyDescent="0.25">
      <c r="A89" s="1">
        <f t="shared" ref="A89:A100" si="13">("1481")*1</f>
        <v>1481</v>
      </c>
      <c r="B89" s="1" t="str">
        <f t="shared" ref="B89:B100" si="14">"Ценные бумаги, учитываемые по амортизированной стоимости"</f>
        <v>Ценные бумаги, учитываемые по амортизированной стоимости</v>
      </c>
      <c r="C89" s="1" t="str">
        <f>"1"</f>
        <v>1</v>
      </c>
      <c r="D89" s="1" t="str">
        <f>"4"</f>
        <v>4</v>
      </c>
      <c r="E89" s="1" t="str">
        <f>"2"</f>
        <v>2</v>
      </c>
      <c r="F89" s="2">
        <v>6672243240</v>
      </c>
    </row>
    <row r="90" spans="1:6" x14ac:dyDescent="0.25">
      <c r="A90" s="1">
        <f t="shared" si="13"/>
        <v>1481</v>
      </c>
      <c r="B90" s="1" t="str">
        <f t="shared" si="14"/>
        <v>Ценные бумаги, учитываемые по амортизированной стоимости</v>
      </c>
      <c r="C90" s="1" t="str">
        <f>"1"</f>
        <v>1</v>
      </c>
      <c r="D90" s="1" t="str">
        <f>"3"</f>
        <v>3</v>
      </c>
      <c r="E90" s="1" t="str">
        <f>"1"</f>
        <v>1</v>
      </c>
      <c r="F90" s="2">
        <v>40856762400</v>
      </c>
    </row>
    <row r="91" spans="1:6" x14ac:dyDescent="0.25">
      <c r="A91" s="1">
        <f t="shared" si="13"/>
        <v>1481</v>
      </c>
      <c r="B91" s="1" t="str">
        <f t="shared" si="14"/>
        <v>Ценные бумаги, учитываемые по амортизированной стоимости</v>
      </c>
      <c r="C91" s="1" t="str">
        <f>"2"</f>
        <v>2</v>
      </c>
      <c r="D91" s="1" t="str">
        <f>"7"</f>
        <v>7</v>
      </c>
      <c r="E91" s="1" t="str">
        <f t="shared" ref="E91:E96" si="15">"2"</f>
        <v>2</v>
      </c>
      <c r="F91" s="2">
        <v>3480516000</v>
      </c>
    </row>
    <row r="92" spans="1:6" x14ac:dyDescent="0.25">
      <c r="A92" s="1">
        <f t="shared" si="13"/>
        <v>1481</v>
      </c>
      <c r="B92" s="1" t="str">
        <f t="shared" si="14"/>
        <v>Ценные бумаги, учитываемые по амортизированной стоимости</v>
      </c>
      <c r="C92" s="1" t="str">
        <f>"1"</f>
        <v>1</v>
      </c>
      <c r="D92" s="1" t="str">
        <f>"6"</f>
        <v>6</v>
      </c>
      <c r="E92" s="1" t="str">
        <f t="shared" si="15"/>
        <v>2</v>
      </c>
      <c r="F92" s="2">
        <v>25348974300</v>
      </c>
    </row>
    <row r="93" spans="1:6" x14ac:dyDescent="0.25">
      <c r="A93" s="1">
        <f t="shared" si="13"/>
        <v>1481</v>
      </c>
      <c r="B93" s="1" t="str">
        <f t="shared" si="14"/>
        <v>Ценные бумаги, учитываемые по амортизированной стоимости</v>
      </c>
      <c r="C93" s="1" t="str">
        <f>"2"</f>
        <v>2</v>
      </c>
      <c r="D93" s="1" t="str">
        <f>"4"</f>
        <v>4</v>
      </c>
      <c r="E93" s="1" t="str">
        <f t="shared" si="15"/>
        <v>2</v>
      </c>
      <c r="F93" s="2">
        <v>4218949800</v>
      </c>
    </row>
    <row r="94" spans="1:6" x14ac:dyDescent="0.25">
      <c r="A94" s="1">
        <f t="shared" si="13"/>
        <v>1481</v>
      </c>
      <c r="B94" s="1" t="str">
        <f t="shared" si="14"/>
        <v>Ценные бумаги, учитываемые по амортизированной стоимости</v>
      </c>
      <c r="C94" s="1" t="str">
        <f>"2"</f>
        <v>2</v>
      </c>
      <c r="D94" s="1" t="str">
        <f>"1"</f>
        <v>1</v>
      </c>
      <c r="E94" s="1" t="str">
        <f t="shared" si="15"/>
        <v>2</v>
      </c>
      <c r="F94" s="2">
        <v>4233060000</v>
      </c>
    </row>
    <row r="95" spans="1:6" x14ac:dyDescent="0.25">
      <c r="A95" s="1">
        <f t="shared" si="13"/>
        <v>1481</v>
      </c>
      <c r="B95" s="1" t="str">
        <f t="shared" si="14"/>
        <v>Ценные бумаги, учитываемые по амортизированной стоимости</v>
      </c>
      <c r="C95" s="1" t="str">
        <f>"2"</f>
        <v>2</v>
      </c>
      <c r="D95" s="1" t="str">
        <f>"5"</f>
        <v>5</v>
      </c>
      <c r="E95" s="1" t="str">
        <f t="shared" si="15"/>
        <v>2</v>
      </c>
      <c r="F95" s="2">
        <v>45666721620</v>
      </c>
    </row>
    <row r="96" spans="1:6" x14ac:dyDescent="0.25">
      <c r="A96" s="1">
        <f t="shared" si="13"/>
        <v>1481</v>
      </c>
      <c r="B96" s="1" t="str">
        <f t="shared" si="14"/>
        <v>Ценные бумаги, учитываемые по амортизированной стоимости</v>
      </c>
      <c r="C96" s="1" t="str">
        <f>"1"</f>
        <v>1</v>
      </c>
      <c r="D96" s="1" t="str">
        <f>"1"</f>
        <v>1</v>
      </c>
      <c r="E96" s="1" t="str">
        <f t="shared" si="15"/>
        <v>2</v>
      </c>
      <c r="F96" s="2">
        <v>78990347640</v>
      </c>
    </row>
    <row r="97" spans="1:6" x14ac:dyDescent="0.25">
      <c r="A97" s="1">
        <f t="shared" si="13"/>
        <v>1481</v>
      </c>
      <c r="B97" s="1" t="str">
        <f t="shared" si="14"/>
        <v>Ценные бумаги, учитываемые по амортизированной стоимости</v>
      </c>
      <c r="C97" s="1" t="str">
        <f>"1"</f>
        <v>1</v>
      </c>
      <c r="D97" s="1" t="str">
        <f>"5"</f>
        <v>5</v>
      </c>
      <c r="E97" s="1" t="str">
        <f>"1"</f>
        <v>1</v>
      </c>
      <c r="F97" s="2">
        <v>1600000000</v>
      </c>
    </row>
    <row r="98" spans="1:6" x14ac:dyDescent="0.25">
      <c r="A98" s="1">
        <f t="shared" si="13"/>
        <v>1481</v>
      </c>
      <c r="B98" s="1" t="str">
        <f t="shared" si="14"/>
        <v>Ценные бумаги, учитываемые по амортизированной стоимости</v>
      </c>
      <c r="C98" s="1" t="str">
        <f>"2"</f>
        <v>2</v>
      </c>
      <c r="D98" s="1" t="str">
        <f>"4"</f>
        <v>4</v>
      </c>
      <c r="E98" s="1" t="str">
        <f>"1"</f>
        <v>1</v>
      </c>
      <c r="F98" s="2">
        <v>2714737418.5</v>
      </c>
    </row>
    <row r="99" spans="1:6" x14ac:dyDescent="0.25">
      <c r="A99" s="1">
        <f t="shared" si="13"/>
        <v>1481</v>
      </c>
      <c r="B99" s="1" t="str">
        <f t="shared" si="14"/>
        <v>Ценные бумаги, учитываемые по амортизированной стоимости</v>
      </c>
      <c r="C99" s="1" t="str">
        <f>"2"</f>
        <v>2</v>
      </c>
      <c r="D99" s="1" t="str">
        <f>"3"</f>
        <v>3</v>
      </c>
      <c r="E99" s="1" t="str">
        <f>"2"</f>
        <v>2</v>
      </c>
      <c r="F99" s="2">
        <v>16228327500</v>
      </c>
    </row>
    <row r="100" spans="1:6" x14ac:dyDescent="0.25">
      <c r="A100" s="1">
        <f t="shared" si="13"/>
        <v>1481</v>
      </c>
      <c r="B100" s="1" t="str">
        <f t="shared" si="14"/>
        <v>Ценные бумаги, учитываемые по амортизированной стоимости</v>
      </c>
      <c r="C100" s="1" t="str">
        <f>"1"</f>
        <v>1</v>
      </c>
      <c r="D100" s="1" t="str">
        <f>"1"</f>
        <v>1</v>
      </c>
      <c r="E100" s="1" t="str">
        <f>"1"</f>
        <v>1</v>
      </c>
      <c r="F100" s="2">
        <v>98993228700</v>
      </c>
    </row>
    <row r="101" spans="1:6" x14ac:dyDescent="0.25">
      <c r="A101" s="1">
        <f t="shared" ref="A101:A110" si="16">("1482")*1</f>
        <v>1482</v>
      </c>
      <c r="B101" s="1" t="str">
        <f t="shared" ref="B101:B110" si="17"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01" s="1" t="str">
        <f>"1"</f>
        <v>1</v>
      </c>
      <c r="D101" s="1" t="str">
        <f>"4"</f>
        <v>4</v>
      </c>
      <c r="E101" s="1" t="str">
        <f>"2"</f>
        <v>2</v>
      </c>
      <c r="F101" s="2">
        <v>-19507859.469999999</v>
      </c>
    </row>
    <row r="102" spans="1:6" x14ac:dyDescent="0.25">
      <c r="A102" s="1">
        <f t="shared" si="16"/>
        <v>1482</v>
      </c>
      <c r="B102" s="1" t="str">
        <f t="shared" si="17"/>
        <v>Дисконт по ценным бумагам, учитываемым по амортизированной стоимости</v>
      </c>
      <c r="C102" s="1" t="str">
        <f>"2"</f>
        <v>2</v>
      </c>
      <c r="D102" s="1" t="str">
        <f>"4"</f>
        <v>4</v>
      </c>
      <c r="E102" s="1" t="str">
        <f>"2"</f>
        <v>2</v>
      </c>
      <c r="F102" s="2">
        <v>-123801634.29000001</v>
      </c>
    </row>
    <row r="103" spans="1:6" x14ac:dyDescent="0.25">
      <c r="A103" s="1">
        <f t="shared" si="16"/>
        <v>1482</v>
      </c>
      <c r="B103" s="1" t="str">
        <f t="shared" si="17"/>
        <v>Дисконт по ценным бумагам, учитываемым по амортизированной стоимости</v>
      </c>
      <c r="C103" s="1" t="str">
        <f>"1"</f>
        <v>1</v>
      </c>
      <c r="D103" s="1" t="str">
        <f>"1"</f>
        <v>1</v>
      </c>
      <c r="E103" s="1" t="str">
        <f>"2"</f>
        <v>2</v>
      </c>
      <c r="F103" s="2">
        <v>-188914407.11000001</v>
      </c>
    </row>
    <row r="104" spans="1:6" x14ac:dyDescent="0.25">
      <c r="A104" s="1">
        <f t="shared" si="16"/>
        <v>1482</v>
      </c>
      <c r="B104" s="1" t="str">
        <f t="shared" si="17"/>
        <v>Дисконт по ценным бумагам, учитываемым по амортизированной стоимости</v>
      </c>
      <c r="C104" s="1" t="str">
        <f>"1"</f>
        <v>1</v>
      </c>
      <c r="D104" s="1" t="str">
        <f>"3"</f>
        <v>3</v>
      </c>
      <c r="E104" s="1" t="str">
        <f>"1"</f>
        <v>1</v>
      </c>
      <c r="F104" s="2">
        <v>-607119312.87</v>
      </c>
    </row>
    <row r="105" spans="1:6" x14ac:dyDescent="0.25">
      <c r="A105" s="1">
        <f t="shared" si="16"/>
        <v>1482</v>
      </c>
      <c r="B105" s="1" t="str">
        <f t="shared" si="17"/>
        <v>Дисконт по ценным бумагам, учитываемым по амортизированной стоимости</v>
      </c>
      <c r="C105" s="1" t="str">
        <f>"2"</f>
        <v>2</v>
      </c>
      <c r="D105" s="1" t="str">
        <f>"1"</f>
        <v>1</v>
      </c>
      <c r="E105" s="1" t="str">
        <f>"2"</f>
        <v>2</v>
      </c>
      <c r="F105" s="2">
        <v>-47695467.359999999</v>
      </c>
    </row>
    <row r="106" spans="1:6" x14ac:dyDescent="0.25">
      <c r="A106" s="1">
        <f t="shared" si="16"/>
        <v>1482</v>
      </c>
      <c r="B106" s="1" t="str">
        <f t="shared" si="17"/>
        <v>Дисконт по ценным бумагам, учитываемым по амортизированной стоимости</v>
      </c>
      <c r="C106" s="1" t="str">
        <f>"1"</f>
        <v>1</v>
      </c>
      <c r="D106" s="1" t="str">
        <f>"5"</f>
        <v>5</v>
      </c>
      <c r="E106" s="1" t="str">
        <f>"1"</f>
        <v>1</v>
      </c>
      <c r="F106" s="2">
        <v>-8554948.9000000004</v>
      </c>
    </row>
    <row r="107" spans="1:6" x14ac:dyDescent="0.25">
      <c r="A107" s="1">
        <f t="shared" si="16"/>
        <v>1482</v>
      </c>
      <c r="B107" s="1" t="str">
        <f t="shared" si="17"/>
        <v>Дисконт по ценным бумагам, учитываемым по амортизированной стоимости</v>
      </c>
      <c r="C107" s="1" t="str">
        <f>"2"</f>
        <v>2</v>
      </c>
      <c r="D107" s="1" t="str">
        <f>"5"</f>
        <v>5</v>
      </c>
      <c r="E107" s="1" t="str">
        <f>"2"</f>
        <v>2</v>
      </c>
      <c r="F107" s="2">
        <v>-69067246.620000005</v>
      </c>
    </row>
    <row r="108" spans="1:6" x14ac:dyDescent="0.25">
      <c r="A108" s="1">
        <f t="shared" si="16"/>
        <v>1482</v>
      </c>
      <c r="B108" s="1" t="str">
        <f t="shared" si="17"/>
        <v>Дисконт по ценным бумагам, учитываемым по амортизированной стоимости</v>
      </c>
      <c r="C108" s="1" t="str">
        <f>"1"</f>
        <v>1</v>
      </c>
      <c r="D108" s="1" t="str">
        <f>"6"</f>
        <v>6</v>
      </c>
      <c r="E108" s="1" t="str">
        <f>"2"</f>
        <v>2</v>
      </c>
      <c r="F108" s="2">
        <v>-463093010.69</v>
      </c>
    </row>
    <row r="109" spans="1:6" x14ac:dyDescent="0.25">
      <c r="A109" s="1">
        <f t="shared" si="16"/>
        <v>1482</v>
      </c>
      <c r="B109" s="1" t="str">
        <f t="shared" si="17"/>
        <v>Дисконт по ценным бумагам, учитываемым по амортизированной стоимости</v>
      </c>
      <c r="C109" s="1" t="str">
        <f>"2"</f>
        <v>2</v>
      </c>
      <c r="D109" s="1" t="str">
        <f>"3"</f>
        <v>3</v>
      </c>
      <c r="E109" s="1" t="str">
        <f>"2"</f>
        <v>2</v>
      </c>
      <c r="F109" s="2">
        <v>-8662813.5700000003</v>
      </c>
    </row>
    <row r="110" spans="1:6" x14ac:dyDescent="0.25">
      <c r="A110" s="1">
        <f t="shared" si="16"/>
        <v>1482</v>
      </c>
      <c r="B110" s="1" t="str">
        <f t="shared" si="17"/>
        <v>Дисконт по ценным бумагам, учитываемым по амортизированной стоимости</v>
      </c>
      <c r="C110" s="1" t="str">
        <f>"1"</f>
        <v>1</v>
      </c>
      <c r="D110" s="1" t="str">
        <f>"1"</f>
        <v>1</v>
      </c>
      <c r="E110" s="1" t="str">
        <f>"1"</f>
        <v>1</v>
      </c>
      <c r="F110" s="2">
        <v>-3612309065.0599999</v>
      </c>
    </row>
    <row r="111" spans="1:6" x14ac:dyDescent="0.25">
      <c r="A111" s="1">
        <f t="shared" ref="A111:A117" si="18">("1483")*1</f>
        <v>1483</v>
      </c>
      <c r="B111" s="1" t="str">
        <f t="shared" ref="B111:B117" si="19"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C111" s="1" t="str">
        <f>"1"</f>
        <v>1</v>
      </c>
      <c r="D111" s="1" t="str">
        <f>"6"</f>
        <v>6</v>
      </c>
      <c r="E111" s="1" t="str">
        <f>"2"</f>
        <v>2</v>
      </c>
      <c r="F111" s="2">
        <v>165353769.84999999</v>
      </c>
    </row>
    <row r="112" spans="1:6" x14ac:dyDescent="0.25">
      <c r="A112" s="1">
        <f t="shared" si="18"/>
        <v>1483</v>
      </c>
      <c r="B112" s="1" t="str">
        <f t="shared" si="19"/>
        <v>Премия по ценным бумагам, учитываемым по амортизированной стоимости</v>
      </c>
      <c r="C112" s="1" t="str">
        <f>"2"</f>
        <v>2</v>
      </c>
      <c r="D112" s="1" t="str">
        <f>"5"</f>
        <v>5</v>
      </c>
      <c r="E112" s="1" t="str">
        <f>"2"</f>
        <v>2</v>
      </c>
      <c r="F112" s="2">
        <v>1694393015.96</v>
      </c>
    </row>
    <row r="113" spans="1:6" x14ac:dyDescent="0.25">
      <c r="A113" s="1">
        <f t="shared" si="18"/>
        <v>1483</v>
      </c>
      <c r="B113" s="1" t="str">
        <f t="shared" si="19"/>
        <v>Премия по ценным бумагам, учитываемым по амортизированной стоимости</v>
      </c>
      <c r="C113" s="1" t="str">
        <f>"2"</f>
        <v>2</v>
      </c>
      <c r="D113" s="1" t="str">
        <f>"7"</f>
        <v>7</v>
      </c>
      <c r="E113" s="1" t="str">
        <f>"2"</f>
        <v>2</v>
      </c>
      <c r="F113" s="2">
        <v>80870607.650000006</v>
      </c>
    </row>
    <row r="114" spans="1:6" x14ac:dyDescent="0.25">
      <c r="A114" s="1">
        <f t="shared" si="18"/>
        <v>1483</v>
      </c>
      <c r="B114" s="1" t="str">
        <f t="shared" si="19"/>
        <v>Премия по ценным бумагам, учитываемым по амортизированной стоимости</v>
      </c>
      <c r="C114" s="1" t="str">
        <f>"1"</f>
        <v>1</v>
      </c>
      <c r="D114" s="1" t="str">
        <f>"1"</f>
        <v>1</v>
      </c>
      <c r="E114" s="1" t="str">
        <f>"1"</f>
        <v>1</v>
      </c>
      <c r="F114" s="2">
        <v>5514635.5300000003</v>
      </c>
    </row>
    <row r="115" spans="1:6" x14ac:dyDescent="0.25">
      <c r="A115" s="1">
        <f t="shared" si="18"/>
        <v>1483</v>
      </c>
      <c r="B115" s="1" t="str">
        <f t="shared" si="19"/>
        <v>Премия по ценным бумагам, учитываемым по амортизированной стоимости</v>
      </c>
      <c r="C115" s="1" t="str">
        <f>"1"</f>
        <v>1</v>
      </c>
      <c r="D115" s="1" t="str">
        <f>"1"</f>
        <v>1</v>
      </c>
      <c r="E115" s="1" t="str">
        <f t="shared" ref="E115:E124" si="20">"2"</f>
        <v>2</v>
      </c>
      <c r="F115" s="2">
        <v>3930624400.1500001</v>
      </c>
    </row>
    <row r="116" spans="1:6" x14ac:dyDescent="0.25">
      <c r="A116" s="1">
        <f t="shared" si="18"/>
        <v>1483</v>
      </c>
      <c r="B116" s="1" t="str">
        <f t="shared" si="19"/>
        <v>Премия по ценным бумагам, учитываемым по амортизированной стоимости</v>
      </c>
      <c r="C116" s="1" t="str">
        <f>"2"</f>
        <v>2</v>
      </c>
      <c r="D116" s="1" t="str">
        <f>"3"</f>
        <v>3</v>
      </c>
      <c r="E116" s="1" t="str">
        <f t="shared" si="20"/>
        <v>2</v>
      </c>
      <c r="F116" s="2">
        <v>105608125.84</v>
      </c>
    </row>
    <row r="117" spans="1:6" x14ac:dyDescent="0.25">
      <c r="A117" s="1">
        <f t="shared" si="18"/>
        <v>1483</v>
      </c>
      <c r="B117" s="1" t="str">
        <f t="shared" si="19"/>
        <v>Премия по ценным бумагам, учитываемым по амортизированной стоимости</v>
      </c>
      <c r="C117" s="1" t="str">
        <f>"1"</f>
        <v>1</v>
      </c>
      <c r="D117" s="1" t="str">
        <f>"4"</f>
        <v>4</v>
      </c>
      <c r="E117" s="1" t="str">
        <f t="shared" si="20"/>
        <v>2</v>
      </c>
      <c r="F117" s="2">
        <v>157031484.53</v>
      </c>
    </row>
    <row r="118" spans="1:6" x14ac:dyDescent="0.25">
      <c r="A118" s="1">
        <f>("1485")*1</f>
        <v>1485</v>
      </c>
      <c r="B118" s="1" t="str">
        <f>"Просроченная задолженность по ценным бумагам, учитываемым по амортизированной стоимости"</f>
        <v>Просроченная задолженность по ценным бумагам, учитываемым по амортизированной стоимости</v>
      </c>
      <c r="C118" s="1" t="str">
        <f>"2"</f>
        <v>2</v>
      </c>
      <c r="D118" s="1" t="str">
        <f>"5"</f>
        <v>5</v>
      </c>
      <c r="E118" s="1" t="str">
        <f t="shared" si="20"/>
        <v>2</v>
      </c>
      <c r="F118" s="2">
        <v>4233060000</v>
      </c>
    </row>
    <row r="119" spans="1:6" x14ac:dyDescent="0.25">
      <c r="A119" s="1">
        <f t="shared" ref="A119:A125" si="21">("1486")*1</f>
        <v>1486</v>
      </c>
      <c r="B119" s="1" t="str">
        <f t="shared" ref="B119:B125" si="22"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19" s="1" t="str">
        <f>"2"</f>
        <v>2</v>
      </c>
      <c r="D119" s="1" t="str">
        <f>"5"</f>
        <v>5</v>
      </c>
      <c r="E119" s="1" t="str">
        <f t="shared" si="20"/>
        <v>2</v>
      </c>
      <c r="F119" s="2">
        <v>-7527137123.1000004</v>
      </c>
    </row>
    <row r="120" spans="1:6" x14ac:dyDescent="0.25">
      <c r="A120" s="1">
        <f t="shared" si="21"/>
        <v>1486</v>
      </c>
      <c r="B120" s="1" t="str">
        <f t="shared" si="22"/>
        <v>Резервы (провизии) по ценным бумагам, учитываемым по амортизированной стоимости</v>
      </c>
      <c r="C120" s="1" t="str">
        <f>"1"</f>
        <v>1</v>
      </c>
      <c r="D120" s="1" t="str">
        <f>"4"</f>
        <v>4</v>
      </c>
      <c r="E120" s="1" t="str">
        <f t="shared" si="20"/>
        <v>2</v>
      </c>
      <c r="F120" s="2">
        <v>-9531976.2899999991</v>
      </c>
    </row>
    <row r="121" spans="1:6" x14ac:dyDescent="0.25">
      <c r="A121" s="1">
        <f t="shared" si="21"/>
        <v>1486</v>
      </c>
      <c r="B121" s="1" t="str">
        <f t="shared" si="22"/>
        <v>Резервы (провизии) по ценным бумагам, учитываемым по амортизированной стоимости</v>
      </c>
      <c r="C121" s="1" t="str">
        <f>"1"</f>
        <v>1</v>
      </c>
      <c r="D121" s="1" t="str">
        <f>"6"</f>
        <v>6</v>
      </c>
      <c r="E121" s="1" t="str">
        <f t="shared" si="20"/>
        <v>2</v>
      </c>
      <c r="F121" s="2">
        <v>-42313959.369999997</v>
      </c>
    </row>
    <row r="122" spans="1:6" x14ac:dyDescent="0.25">
      <c r="A122" s="1">
        <f t="shared" si="21"/>
        <v>1486</v>
      </c>
      <c r="B122" s="1" t="str">
        <f t="shared" si="22"/>
        <v>Резервы (провизии) по ценным бумагам, учитываемым по амортизированной стоимости</v>
      </c>
      <c r="C122" s="1" t="str">
        <f>"2"</f>
        <v>2</v>
      </c>
      <c r="D122" s="1" t="str">
        <f>"3"</f>
        <v>3</v>
      </c>
      <c r="E122" s="1" t="str">
        <f t="shared" si="20"/>
        <v>2</v>
      </c>
      <c r="F122" s="2">
        <v>-8517037.6300000008</v>
      </c>
    </row>
    <row r="123" spans="1:6" x14ac:dyDescent="0.25">
      <c r="A123" s="1">
        <f t="shared" si="21"/>
        <v>1486</v>
      </c>
      <c r="B123" s="1" t="str">
        <f t="shared" si="22"/>
        <v>Резервы (провизии) по ценным бумагам, учитываемым по амортизированной стоимости</v>
      </c>
      <c r="C123" s="1" t="str">
        <f>"2"</f>
        <v>2</v>
      </c>
      <c r="D123" s="1" t="str">
        <f>"7"</f>
        <v>7</v>
      </c>
      <c r="E123" s="1" t="str">
        <f t="shared" si="20"/>
        <v>2</v>
      </c>
      <c r="F123" s="2">
        <v>-579772149.96000004</v>
      </c>
    </row>
    <row r="124" spans="1:6" x14ac:dyDescent="0.25">
      <c r="A124" s="1">
        <f t="shared" si="21"/>
        <v>1486</v>
      </c>
      <c r="B124" s="1" t="str">
        <f t="shared" si="22"/>
        <v>Резервы (провизии) по ценным бумагам, учитываемым по амортизированной стоимости</v>
      </c>
      <c r="C124" s="1" t="str">
        <f>"2"</f>
        <v>2</v>
      </c>
      <c r="D124" s="1" t="str">
        <f>"4"</f>
        <v>4</v>
      </c>
      <c r="E124" s="1" t="str">
        <f t="shared" si="20"/>
        <v>2</v>
      </c>
      <c r="F124" s="2">
        <v>-1361257181.3900001</v>
      </c>
    </row>
    <row r="125" spans="1:6" x14ac:dyDescent="0.25">
      <c r="A125" s="1">
        <f t="shared" si="21"/>
        <v>1486</v>
      </c>
      <c r="B125" s="1" t="str">
        <f t="shared" si="22"/>
        <v>Резервы (провизии) по ценным бумагам, учитываемым по амортизированной стоимости</v>
      </c>
      <c r="C125" s="1" t="str">
        <f t="shared" ref="C125:C130" si="23">"1"</f>
        <v>1</v>
      </c>
      <c r="D125" s="1" t="str">
        <f>"5"</f>
        <v>5</v>
      </c>
      <c r="E125" s="1" t="str">
        <f t="shared" ref="E125:E130" si="24">"1"</f>
        <v>1</v>
      </c>
      <c r="F125" s="2">
        <v>-510980.18</v>
      </c>
    </row>
    <row r="126" spans="1:6" x14ac:dyDescent="0.25">
      <c r="A126" s="1">
        <f>("1491")*1</f>
        <v>1491</v>
      </c>
      <c r="B126" s="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C126" s="1" t="str">
        <f t="shared" si="23"/>
        <v>1</v>
      </c>
      <c r="D126" s="1" t="str">
        <f>"7"</f>
        <v>7</v>
      </c>
      <c r="E126" s="1" t="str">
        <f t="shared" si="24"/>
        <v>1</v>
      </c>
      <c r="F126" s="2">
        <v>2896437092</v>
      </c>
    </row>
    <row r="127" spans="1:6" x14ac:dyDescent="0.25">
      <c r="A127" s="1">
        <f>("1492")*1</f>
        <v>1492</v>
      </c>
      <c r="B127" s="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C127" s="1" t="str">
        <f t="shared" si="23"/>
        <v>1</v>
      </c>
      <c r="D127" s="1" t="str">
        <f>"7"</f>
        <v>7</v>
      </c>
      <c r="E127" s="1" t="str">
        <f t="shared" si="24"/>
        <v>1</v>
      </c>
      <c r="F127" s="2">
        <v>-46042671.950000003</v>
      </c>
    </row>
    <row r="128" spans="1:6" x14ac:dyDescent="0.25">
      <c r="A128" s="1">
        <f>("1495")*1</f>
        <v>1495</v>
      </c>
      <c r="B128" s="1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C128" s="1" t="str">
        <f t="shared" si="23"/>
        <v>1</v>
      </c>
      <c r="D128" s="1" t="str">
        <f>"7"</f>
        <v>7</v>
      </c>
      <c r="E128" s="1" t="str">
        <f t="shared" si="24"/>
        <v>1</v>
      </c>
      <c r="F128" s="2">
        <v>-38307919.969999999</v>
      </c>
    </row>
    <row r="129" spans="1:6" x14ac:dyDescent="0.25">
      <c r="A129" s="1">
        <f>("1551")*1</f>
        <v>1551</v>
      </c>
      <c r="B129" s="1" t="str">
        <f>"Расчеты с другими банками"</f>
        <v>Расчеты с другими банками</v>
      </c>
      <c r="C129" s="1" t="str">
        <f t="shared" si="23"/>
        <v>1</v>
      </c>
      <c r="D129" s="1" t="str">
        <f>"4"</f>
        <v>4</v>
      </c>
      <c r="E129" s="1" t="str">
        <f t="shared" si="24"/>
        <v>1</v>
      </c>
      <c r="F129" s="2">
        <v>1453092.01</v>
      </c>
    </row>
    <row r="130" spans="1:6" x14ac:dyDescent="0.25">
      <c r="A130" s="1">
        <f>("1552")*1</f>
        <v>1552</v>
      </c>
      <c r="B130" s="1" t="str">
        <f>"Расчеты с клиентами"</f>
        <v>Расчеты с клиентами</v>
      </c>
      <c r="C130" s="1" t="str">
        <f t="shared" si="23"/>
        <v>1</v>
      </c>
      <c r="D130" s="1" t="str">
        <f>"6"</f>
        <v>6</v>
      </c>
      <c r="E130" s="1" t="str">
        <f t="shared" si="24"/>
        <v>1</v>
      </c>
      <c r="F130" s="2">
        <v>24673365.5</v>
      </c>
    </row>
    <row r="131" spans="1:6" x14ac:dyDescent="0.25">
      <c r="A131" s="1">
        <f>("1602")*1</f>
        <v>1602</v>
      </c>
      <c r="B131" s="1" t="str">
        <f>"Прочие запасы"</f>
        <v>Прочие запасы</v>
      </c>
      <c r="C131" s="1" t="str">
        <f>""</f>
        <v/>
      </c>
      <c r="D131" s="1" t="str">
        <f>""</f>
        <v/>
      </c>
      <c r="E131" s="1" t="str">
        <f>""</f>
        <v/>
      </c>
      <c r="F131" s="2">
        <v>385612842.77999997</v>
      </c>
    </row>
    <row r="132" spans="1:6" x14ac:dyDescent="0.25">
      <c r="A132" s="1">
        <f>("1603")*1</f>
        <v>1603</v>
      </c>
      <c r="B132" s="1" t="str">
        <f>"Монеты, изготовленные из драгоценных металлов, на складе"</f>
        <v>Монеты, изготовленные из драгоценных металлов, на складе</v>
      </c>
      <c r="C132" s="1" t="str">
        <f>"2"</f>
        <v>2</v>
      </c>
      <c r="D132" s="1" t="str">
        <f>""</f>
        <v/>
      </c>
      <c r="E132" s="1" t="str">
        <f>""</f>
        <v/>
      </c>
      <c r="F132" s="2">
        <v>2036331.4</v>
      </c>
    </row>
    <row r="133" spans="1:6" x14ac:dyDescent="0.25">
      <c r="A133" s="1">
        <f>("1604")*1</f>
        <v>1604</v>
      </c>
      <c r="B133" s="1" t="str">
        <f>"Коллекционные монеты, изготовленные из недрагоценных металлов, на складе"</f>
        <v>Коллекционные монеты, изготовленные из недрагоценных металлов, на складе</v>
      </c>
      <c r="C133" s="1" t="str">
        <f>"2"</f>
        <v>2</v>
      </c>
      <c r="D133" s="1" t="str">
        <f>""</f>
        <v/>
      </c>
      <c r="E133" s="1" t="str">
        <f>""</f>
        <v/>
      </c>
      <c r="F133" s="2">
        <v>107174.02</v>
      </c>
    </row>
    <row r="134" spans="1:6" x14ac:dyDescent="0.25">
      <c r="A134" s="1">
        <f>("1610")*1</f>
        <v>1610</v>
      </c>
      <c r="B134" s="1" t="str">
        <f>"Долгосрочные активы, предназначенные для продажи"</f>
        <v>Долгосрочные активы, предназначенные для продажи</v>
      </c>
      <c r="C134" s="1" t="str">
        <f>""</f>
        <v/>
      </c>
      <c r="D134" s="1" t="str">
        <f>""</f>
        <v/>
      </c>
      <c r="E134" s="1" t="str">
        <f>""</f>
        <v/>
      </c>
      <c r="F134" s="2">
        <v>1716627060.6099999</v>
      </c>
    </row>
    <row r="135" spans="1:6" x14ac:dyDescent="0.25">
      <c r="A135" s="1">
        <f>("1651")*1</f>
        <v>1651</v>
      </c>
      <c r="B135" s="1" t="str">
        <f>"Строящиеся (устанавливаемые) основные средства"</f>
        <v>Строящиеся (устанавливаемые) основные средства</v>
      </c>
      <c r="C135" s="1" t="str">
        <f>""</f>
        <v/>
      </c>
      <c r="D135" s="1" t="str">
        <f>""</f>
        <v/>
      </c>
      <c r="E135" s="1" t="str">
        <f>""</f>
        <v/>
      </c>
      <c r="F135" s="2">
        <v>2098342.39</v>
      </c>
    </row>
    <row r="136" spans="1:6" x14ac:dyDescent="0.25">
      <c r="A136" s="1">
        <f>("1652")*1</f>
        <v>1652</v>
      </c>
      <c r="B136" s="1" t="str">
        <f>"Земля, здания и сооружения"</f>
        <v>Земля, здания и сооружения</v>
      </c>
      <c r="C136" s="1" t="str">
        <f>""</f>
        <v/>
      </c>
      <c r="D136" s="1" t="str">
        <f>""</f>
        <v/>
      </c>
      <c r="E136" s="1" t="str">
        <f>""</f>
        <v/>
      </c>
      <c r="F136" s="2">
        <v>11721256586.780001</v>
      </c>
    </row>
    <row r="137" spans="1:6" x14ac:dyDescent="0.25">
      <c r="A137" s="1">
        <f>("1653")*1</f>
        <v>1653</v>
      </c>
      <c r="B137" s="1" t="str">
        <f>"Компьютерное оборудование"</f>
        <v>Компьютерное оборудование</v>
      </c>
      <c r="C137" s="1" t="str">
        <f>""</f>
        <v/>
      </c>
      <c r="D137" s="1" t="str">
        <f>""</f>
        <v/>
      </c>
      <c r="E137" s="1" t="str">
        <f>""</f>
        <v/>
      </c>
      <c r="F137" s="2">
        <v>5355691979.46</v>
      </c>
    </row>
    <row r="138" spans="1:6" x14ac:dyDescent="0.25">
      <c r="A138" s="1">
        <f>("1654")*1</f>
        <v>1654</v>
      </c>
      <c r="B138" s="1" t="str">
        <f>"Прочие основные средства"</f>
        <v>Прочие основные средства</v>
      </c>
      <c r="C138" s="1" t="str">
        <f>""</f>
        <v/>
      </c>
      <c r="D138" s="1" t="str">
        <f>""</f>
        <v/>
      </c>
      <c r="E138" s="1" t="str">
        <f>""</f>
        <v/>
      </c>
      <c r="F138" s="2">
        <v>11162164553.950001</v>
      </c>
    </row>
    <row r="139" spans="1:6" x14ac:dyDescent="0.25">
      <c r="A139" s="1">
        <f>("1655")*1</f>
        <v>1655</v>
      </c>
      <c r="B139" s="1" t="str">
        <f>"Активы в форме права пользования"</f>
        <v>Активы в форме права пользования</v>
      </c>
      <c r="C139" s="1" t="str">
        <f>""</f>
        <v/>
      </c>
      <c r="D139" s="1" t="str">
        <f>""</f>
        <v/>
      </c>
      <c r="E139" s="1" t="str">
        <f>""</f>
        <v/>
      </c>
      <c r="F139" s="2">
        <v>3666589407.6999998</v>
      </c>
    </row>
    <row r="140" spans="1:6" x14ac:dyDescent="0.25">
      <c r="A140" s="1">
        <f>("1657")*1</f>
        <v>1657</v>
      </c>
      <c r="B140" s="1" t="str">
        <f>"Капитальные затраты по активам в форме права пользования"</f>
        <v>Капитальные затраты по активам в форме права пользования</v>
      </c>
      <c r="C140" s="1" t="str">
        <f>""</f>
        <v/>
      </c>
      <c r="D140" s="1" t="str">
        <f>""</f>
        <v/>
      </c>
      <c r="E140" s="1" t="str">
        <f>""</f>
        <v/>
      </c>
      <c r="F140" s="2">
        <v>785468360.02999997</v>
      </c>
    </row>
    <row r="141" spans="1:6" x14ac:dyDescent="0.25">
      <c r="A141" s="1">
        <f>("1658")*1</f>
        <v>1658</v>
      </c>
      <c r="B141" s="1" t="str">
        <f>"Транспортные средства"</f>
        <v>Транспортные средства</v>
      </c>
      <c r="C141" s="1" t="str">
        <f>""</f>
        <v/>
      </c>
      <c r="D141" s="1" t="str">
        <f>""</f>
        <v/>
      </c>
      <c r="E141" s="1" t="str">
        <f>""</f>
        <v/>
      </c>
      <c r="F141" s="2">
        <v>768281723.63</v>
      </c>
    </row>
    <row r="142" spans="1:6" x14ac:dyDescent="0.25">
      <c r="A142" s="1">
        <f>("1659")*1</f>
        <v>1659</v>
      </c>
      <c r="B142" s="1" t="str">
        <f>"Нематериальные активы"</f>
        <v>Нематериальные активы</v>
      </c>
      <c r="C142" s="1" t="str">
        <f>""</f>
        <v/>
      </c>
      <c r="D142" s="1" t="str">
        <f>""</f>
        <v/>
      </c>
      <c r="E142" s="1" t="str">
        <f>""</f>
        <v/>
      </c>
      <c r="F142" s="2">
        <v>20788230474.849998</v>
      </c>
    </row>
    <row r="143" spans="1:6" x14ac:dyDescent="0.25">
      <c r="A143" s="1">
        <f>("1692")*1</f>
        <v>1692</v>
      </c>
      <c r="B143" s="1" t="str">
        <f>"Начисленная амортизация по зданиям и сооружениям"</f>
        <v>Начисленная амортизация по зданиям и сооружениям</v>
      </c>
      <c r="C143" s="1" t="str">
        <f>""</f>
        <v/>
      </c>
      <c r="D143" s="1" t="str">
        <f>""</f>
        <v/>
      </c>
      <c r="E143" s="1" t="str">
        <f>""</f>
        <v/>
      </c>
      <c r="F143" s="2">
        <v>-2638569498</v>
      </c>
    </row>
    <row r="144" spans="1:6" x14ac:dyDescent="0.25">
      <c r="A144" s="1">
        <f>("1693")*1</f>
        <v>1693</v>
      </c>
      <c r="B144" s="1" t="str">
        <f>"Начисленная амортизация по компьютерному оборудованию"</f>
        <v>Начисленная амортизация по компьютерному оборудованию</v>
      </c>
      <c r="C144" s="1" t="str">
        <f>""</f>
        <v/>
      </c>
      <c r="D144" s="1" t="str">
        <f>""</f>
        <v/>
      </c>
      <c r="E144" s="1" t="str">
        <f>""</f>
        <v/>
      </c>
      <c r="F144" s="2">
        <v>-3206751985.1399999</v>
      </c>
    </row>
    <row r="145" spans="1:6" x14ac:dyDescent="0.25">
      <c r="A145" s="1">
        <f>("1694")*1</f>
        <v>1694</v>
      </c>
      <c r="B145" s="1" t="str">
        <f>"Начисленная амортизация по прочим основным средствам"</f>
        <v>Начисленная амортизация по прочим основным средствам</v>
      </c>
      <c r="C145" s="1" t="str">
        <f>""</f>
        <v/>
      </c>
      <c r="D145" s="1" t="str">
        <f>""</f>
        <v/>
      </c>
      <c r="E145" s="1" t="str">
        <f>""</f>
        <v/>
      </c>
      <c r="F145" s="2">
        <v>-9227486461.4699993</v>
      </c>
    </row>
    <row r="146" spans="1:6" x14ac:dyDescent="0.25">
      <c r="A146" s="1">
        <f>("1695")*1</f>
        <v>1695</v>
      </c>
      <c r="B146" s="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C146" s="1" t="str">
        <f>""</f>
        <v/>
      </c>
      <c r="D146" s="1" t="str">
        <f>""</f>
        <v/>
      </c>
      <c r="E146" s="1" t="str">
        <f>""</f>
        <v/>
      </c>
      <c r="F146" s="2">
        <v>-1979297156.6199999</v>
      </c>
    </row>
    <row r="147" spans="1:6" x14ac:dyDescent="0.25">
      <c r="A147" s="1">
        <f>("1697")*1</f>
        <v>1697</v>
      </c>
      <c r="B147" s="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C147" s="1" t="str">
        <f>""</f>
        <v/>
      </c>
      <c r="D147" s="1" t="str">
        <f>""</f>
        <v/>
      </c>
      <c r="E147" s="1" t="str">
        <f>""</f>
        <v/>
      </c>
      <c r="F147" s="2">
        <v>-784984137.02999997</v>
      </c>
    </row>
    <row r="148" spans="1:6" x14ac:dyDescent="0.25">
      <c r="A148" s="1">
        <f>("1698")*1</f>
        <v>1698</v>
      </c>
      <c r="B148" s="1" t="str">
        <f>"Начисленная амортизация по транспортным средствам"</f>
        <v>Начисленная амортизация по транспортным средствам</v>
      </c>
      <c r="C148" s="1" t="str">
        <f>""</f>
        <v/>
      </c>
      <c r="D148" s="1" t="str">
        <f>""</f>
        <v/>
      </c>
      <c r="E148" s="1" t="str">
        <f>""</f>
        <v/>
      </c>
      <c r="F148" s="2">
        <v>-512983397.42000002</v>
      </c>
    </row>
    <row r="149" spans="1:6" x14ac:dyDescent="0.25">
      <c r="A149" s="1">
        <f>("1699")*1</f>
        <v>1699</v>
      </c>
      <c r="B149" s="1" t="str">
        <f>"Начисленная амортизация по нематериальным активам"</f>
        <v>Начисленная амортизация по нематериальным активам</v>
      </c>
      <c r="C149" s="1" t="str">
        <f>""</f>
        <v/>
      </c>
      <c r="D149" s="1" t="str">
        <f>""</f>
        <v/>
      </c>
      <c r="E149" s="1" t="str">
        <f>""</f>
        <v/>
      </c>
      <c r="F149" s="2">
        <v>-14117845792.219999</v>
      </c>
    </row>
    <row r="150" spans="1:6" x14ac:dyDescent="0.25">
      <c r="A150" s="1">
        <f>("1705")*1</f>
        <v>1705</v>
      </c>
      <c r="B150" s="1" t="str">
        <f>"Начисленные доходы по корреспондентским счетам"</f>
        <v>Начисленные доходы по корреспондентским счетам</v>
      </c>
      <c r="C150" s="1" t="str">
        <f>"2"</f>
        <v>2</v>
      </c>
      <c r="D150" s="1" t="str">
        <f>"4"</f>
        <v>4</v>
      </c>
      <c r="E150" s="1" t="str">
        <f>"3"</f>
        <v>3</v>
      </c>
      <c r="F150" s="2">
        <v>85981.62</v>
      </c>
    </row>
    <row r="151" spans="1:6" x14ac:dyDescent="0.25">
      <c r="A151" s="1">
        <f>("1705")*1</f>
        <v>1705</v>
      </c>
      <c r="B151" s="1" t="str">
        <f>"Начисленные доходы по корреспондентским счетам"</f>
        <v>Начисленные доходы по корреспондентским счетам</v>
      </c>
      <c r="C151" s="1" t="str">
        <f>"2"</f>
        <v>2</v>
      </c>
      <c r="D151" s="1" t="str">
        <f>"4"</f>
        <v>4</v>
      </c>
      <c r="E151" s="1" t="str">
        <f>"2"</f>
        <v>2</v>
      </c>
      <c r="F151" s="2">
        <v>196352.84</v>
      </c>
    </row>
    <row r="152" spans="1:6" x14ac:dyDescent="0.25">
      <c r="A152" s="1">
        <f t="shared" ref="A152:A162" si="25">("1740")*1</f>
        <v>1740</v>
      </c>
      <c r="B152" s="1" t="str">
        <f t="shared" ref="B152:B162" si="26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152" s="1" t="str">
        <f>"1"</f>
        <v>1</v>
      </c>
      <c r="D152" s="1" t="str">
        <f>"5"</f>
        <v>5</v>
      </c>
      <c r="E152" s="1" t="str">
        <f>"1"</f>
        <v>1</v>
      </c>
      <c r="F152" s="2">
        <v>43664682.420000002</v>
      </c>
    </row>
    <row r="153" spans="1:6" x14ac:dyDescent="0.25">
      <c r="A153" s="1">
        <f t="shared" si="25"/>
        <v>1740</v>
      </c>
      <c r="B153" s="1" t="str">
        <f t="shared" si="26"/>
        <v>Начисленные доходы по займам и финансовому лизингу, предоставленным клиентам</v>
      </c>
      <c r="C153" s="1" t="str">
        <f>"2"</f>
        <v>2</v>
      </c>
      <c r="D153" s="1" t="str">
        <f>"9"</f>
        <v>9</v>
      </c>
      <c r="E153" s="1" t="str">
        <f>"2"</f>
        <v>2</v>
      </c>
      <c r="F153" s="2">
        <v>1500.38</v>
      </c>
    </row>
    <row r="154" spans="1:6" x14ac:dyDescent="0.25">
      <c r="A154" s="1">
        <f t="shared" si="25"/>
        <v>1740</v>
      </c>
      <c r="B154" s="1" t="str">
        <f t="shared" si="26"/>
        <v>Начисленные доходы по займам и финансовому лизингу, предоставленным клиентам</v>
      </c>
      <c r="C154" s="1" t="str">
        <f>"2"</f>
        <v>2</v>
      </c>
      <c r="D154" s="1" t="str">
        <f>"9"</f>
        <v>9</v>
      </c>
      <c r="E154" s="1" t="str">
        <f>"1"</f>
        <v>1</v>
      </c>
      <c r="F154" s="2">
        <v>3375352.86</v>
      </c>
    </row>
    <row r="155" spans="1:6" x14ac:dyDescent="0.25">
      <c r="A155" s="1">
        <f t="shared" si="25"/>
        <v>1740</v>
      </c>
      <c r="B155" s="1" t="str">
        <f t="shared" si="26"/>
        <v>Начисленные доходы по займам и финансовому лизингу, предоставленным клиентам</v>
      </c>
      <c r="C155" s="1" t="str">
        <f>"1"</f>
        <v>1</v>
      </c>
      <c r="D155" s="1" t="str">
        <f>"9"</f>
        <v>9</v>
      </c>
      <c r="E155" s="1" t="str">
        <f>"2"</f>
        <v>2</v>
      </c>
      <c r="F155" s="2">
        <v>2235617.62</v>
      </c>
    </row>
    <row r="156" spans="1:6" x14ac:dyDescent="0.25">
      <c r="A156" s="1">
        <f t="shared" si="25"/>
        <v>1740</v>
      </c>
      <c r="B156" s="1" t="str">
        <f t="shared" si="26"/>
        <v>Начисленные доходы по займам и финансовому лизингу, предоставленным клиентам</v>
      </c>
      <c r="C156" s="1" t="str">
        <f>"1"</f>
        <v>1</v>
      </c>
      <c r="D156" s="1" t="str">
        <f>"5"</f>
        <v>5</v>
      </c>
      <c r="E156" s="1" t="str">
        <f>"2"</f>
        <v>2</v>
      </c>
      <c r="F156" s="2">
        <v>25652348.309999999</v>
      </c>
    </row>
    <row r="157" spans="1:6" x14ac:dyDescent="0.25">
      <c r="A157" s="1">
        <f t="shared" si="25"/>
        <v>1740</v>
      </c>
      <c r="B157" s="1" t="str">
        <f t="shared" si="26"/>
        <v>Начисленные доходы по займам и финансовому лизингу, предоставленным клиентам</v>
      </c>
      <c r="C157" s="1" t="str">
        <f>"1"</f>
        <v>1</v>
      </c>
      <c r="D157" s="1" t="str">
        <f>"7"</f>
        <v>7</v>
      </c>
      <c r="E157" s="1" t="str">
        <f>"2"</f>
        <v>2</v>
      </c>
      <c r="F157" s="2">
        <v>21787071050.310001</v>
      </c>
    </row>
    <row r="158" spans="1:6" x14ac:dyDescent="0.25">
      <c r="A158" s="1">
        <f t="shared" si="25"/>
        <v>1740</v>
      </c>
      <c r="B158" s="1" t="str">
        <f t="shared" si="26"/>
        <v>Начисленные доходы по займам и финансовому лизингу, предоставленным клиентам</v>
      </c>
      <c r="C158" s="1" t="str">
        <f>"1"</f>
        <v>1</v>
      </c>
      <c r="D158" s="1" t="str">
        <f>"7"</f>
        <v>7</v>
      </c>
      <c r="E158" s="1" t="str">
        <f>"1"</f>
        <v>1</v>
      </c>
      <c r="F158" s="2">
        <v>8690992496.9799995</v>
      </c>
    </row>
    <row r="159" spans="1:6" x14ac:dyDescent="0.25">
      <c r="A159" s="1">
        <f t="shared" si="25"/>
        <v>1740</v>
      </c>
      <c r="B159" s="1" t="str">
        <f t="shared" si="26"/>
        <v>Начисленные доходы по займам и финансовому лизингу, предоставленным клиентам</v>
      </c>
      <c r="C159" s="1" t="str">
        <f>"2"</f>
        <v>2</v>
      </c>
      <c r="D159" s="1" t="str">
        <f>"7"</f>
        <v>7</v>
      </c>
      <c r="E159" s="1" t="str">
        <f>"3"</f>
        <v>3</v>
      </c>
      <c r="F159" s="2">
        <v>61795416.060000002</v>
      </c>
    </row>
    <row r="160" spans="1:6" x14ac:dyDescent="0.25">
      <c r="A160" s="1">
        <f t="shared" si="25"/>
        <v>1740</v>
      </c>
      <c r="B160" s="1" t="str">
        <f t="shared" si="26"/>
        <v>Начисленные доходы по займам и финансовому лизингу, предоставленным клиентам</v>
      </c>
      <c r="C160" s="1" t="str">
        <f>"1"</f>
        <v>1</v>
      </c>
      <c r="D160" s="1" t="str">
        <f>"9"</f>
        <v>9</v>
      </c>
      <c r="E160" s="1" t="str">
        <f>"1"</f>
        <v>1</v>
      </c>
      <c r="F160" s="2">
        <v>11605196055.639999</v>
      </c>
    </row>
    <row r="161" spans="1:6" x14ac:dyDescent="0.25">
      <c r="A161" s="1">
        <f t="shared" si="25"/>
        <v>1740</v>
      </c>
      <c r="B161" s="1" t="str">
        <f t="shared" si="26"/>
        <v>Начисленные доходы по займам и финансовому лизингу, предоставленным клиентам</v>
      </c>
      <c r="C161" s="1" t="str">
        <f>"1"</f>
        <v>1</v>
      </c>
      <c r="D161" s="1" t="str">
        <f>"6"</f>
        <v>6</v>
      </c>
      <c r="E161" s="1" t="str">
        <f>"1"</f>
        <v>1</v>
      </c>
      <c r="F161" s="2">
        <v>123825707.62</v>
      </c>
    </row>
    <row r="162" spans="1:6" x14ac:dyDescent="0.25">
      <c r="A162" s="1">
        <f t="shared" si="25"/>
        <v>1740</v>
      </c>
      <c r="B162" s="1" t="str">
        <f t="shared" si="26"/>
        <v>Начисленные доходы по займам и финансовому лизингу, предоставленным клиентам</v>
      </c>
      <c r="C162" s="1" t="str">
        <f>"2"</f>
        <v>2</v>
      </c>
      <c r="D162" s="1" t="str">
        <f>"7"</f>
        <v>7</v>
      </c>
      <c r="E162" s="1" t="str">
        <f>"2"</f>
        <v>2</v>
      </c>
      <c r="F162" s="2">
        <v>18535437.719999999</v>
      </c>
    </row>
    <row r="163" spans="1:6" x14ac:dyDescent="0.25">
      <c r="A163" s="1">
        <f t="shared" ref="A163:A170" si="27">("1741")*1</f>
        <v>1741</v>
      </c>
      <c r="B163" s="1" t="str">
        <f t="shared" ref="B163:B170" si="28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63" s="1" t="str">
        <f>"1"</f>
        <v>1</v>
      </c>
      <c r="D163" s="1" t="str">
        <f>"7"</f>
        <v>7</v>
      </c>
      <c r="E163" s="1" t="str">
        <f>"2"</f>
        <v>2</v>
      </c>
      <c r="F163" s="2">
        <v>2402619892.6399999</v>
      </c>
    </row>
    <row r="164" spans="1:6" x14ac:dyDescent="0.25">
      <c r="A164" s="1">
        <f t="shared" si="27"/>
        <v>1741</v>
      </c>
      <c r="B164" s="1" t="str">
        <f t="shared" si="28"/>
        <v>Просроченное вознаграждение по займам и финансовому лизингу, предоставленным клиентам</v>
      </c>
      <c r="C164" s="1" t="str">
        <f>"1"</f>
        <v>1</v>
      </c>
      <c r="D164" s="1" t="str">
        <f>"5"</f>
        <v>5</v>
      </c>
      <c r="E164" s="1" t="str">
        <f>"1"</f>
        <v>1</v>
      </c>
      <c r="F164" s="2">
        <v>36913745.32</v>
      </c>
    </row>
    <row r="165" spans="1:6" x14ac:dyDescent="0.25">
      <c r="A165" s="1">
        <f t="shared" si="27"/>
        <v>1741</v>
      </c>
      <c r="B165" s="1" t="str">
        <f t="shared" si="28"/>
        <v>Просроченное вознаграждение по займам и финансовому лизингу, предоставленным клиентам</v>
      </c>
      <c r="C165" s="1" t="str">
        <f>"1"</f>
        <v>1</v>
      </c>
      <c r="D165" s="1" t="str">
        <f>"9"</f>
        <v>9</v>
      </c>
      <c r="E165" s="1" t="str">
        <f>"2"</f>
        <v>2</v>
      </c>
      <c r="F165" s="2">
        <v>463386017.63999999</v>
      </c>
    </row>
    <row r="166" spans="1:6" x14ac:dyDescent="0.25">
      <c r="A166" s="1">
        <f t="shared" si="27"/>
        <v>1741</v>
      </c>
      <c r="B166" s="1" t="str">
        <f t="shared" si="28"/>
        <v>Просроченное вознаграждение по займам и финансовому лизингу, предоставленным клиентам</v>
      </c>
      <c r="C166" s="1" t="str">
        <f>"2"</f>
        <v>2</v>
      </c>
      <c r="D166" s="1" t="str">
        <f>"7"</f>
        <v>7</v>
      </c>
      <c r="E166" s="1" t="str">
        <f>"3"</f>
        <v>3</v>
      </c>
      <c r="F166" s="2">
        <v>170192277.30000001</v>
      </c>
    </row>
    <row r="167" spans="1:6" x14ac:dyDescent="0.25">
      <c r="A167" s="1">
        <f t="shared" si="27"/>
        <v>1741</v>
      </c>
      <c r="B167" s="1" t="str">
        <f t="shared" si="28"/>
        <v>Просроченное вознаграждение по займам и финансовому лизингу, предоставленным клиентам</v>
      </c>
      <c r="C167" s="1" t="str">
        <f>"1"</f>
        <v>1</v>
      </c>
      <c r="D167" s="1" t="str">
        <f>"7"</f>
        <v>7</v>
      </c>
      <c r="E167" s="1" t="str">
        <f>"1"</f>
        <v>1</v>
      </c>
      <c r="F167" s="2">
        <v>28658334269.02</v>
      </c>
    </row>
    <row r="168" spans="1:6" x14ac:dyDescent="0.25">
      <c r="A168" s="1">
        <f t="shared" si="27"/>
        <v>1741</v>
      </c>
      <c r="B168" s="1" t="str">
        <f t="shared" si="28"/>
        <v>Просроченное вознаграждение по займам и финансовому лизингу, предоставленным клиентам</v>
      </c>
      <c r="C168" s="1" t="str">
        <f>"2"</f>
        <v>2</v>
      </c>
      <c r="D168" s="1" t="str">
        <f>"9"</f>
        <v>9</v>
      </c>
      <c r="E168" s="1" t="str">
        <f>"1"</f>
        <v>1</v>
      </c>
      <c r="F168" s="2">
        <v>34479480.729999997</v>
      </c>
    </row>
    <row r="169" spans="1:6" x14ac:dyDescent="0.25">
      <c r="A169" s="1">
        <f t="shared" si="27"/>
        <v>1741</v>
      </c>
      <c r="B169" s="1" t="str">
        <f t="shared" si="28"/>
        <v>Просроченное вознаграждение по займам и финансовому лизингу, предоставленным клиентам</v>
      </c>
      <c r="C169" s="1" t="str">
        <f>"2"</f>
        <v>2</v>
      </c>
      <c r="D169" s="1" t="str">
        <f>"9"</f>
        <v>9</v>
      </c>
      <c r="E169" s="1" t="str">
        <f>"2"</f>
        <v>2</v>
      </c>
      <c r="F169" s="2">
        <v>74671.179999999993</v>
      </c>
    </row>
    <row r="170" spans="1:6" x14ac:dyDescent="0.25">
      <c r="A170" s="1">
        <f t="shared" si="27"/>
        <v>1741</v>
      </c>
      <c r="B170" s="1" t="str">
        <f t="shared" si="28"/>
        <v>Просроченное вознаграждение по займам и финансовому лизингу, предоставленным клиентам</v>
      </c>
      <c r="C170" s="1" t="str">
        <f>"1"</f>
        <v>1</v>
      </c>
      <c r="D170" s="1" t="str">
        <f>"9"</f>
        <v>9</v>
      </c>
      <c r="E170" s="1" t="str">
        <f>"1"</f>
        <v>1</v>
      </c>
      <c r="F170" s="2">
        <v>11062191149.639999</v>
      </c>
    </row>
    <row r="171" spans="1:6" x14ac:dyDescent="0.25">
      <c r="A171" s="1">
        <f t="shared" ref="A171:A181" si="29">("1745")*1</f>
        <v>1745</v>
      </c>
      <c r="B171" s="1" t="str">
        <f t="shared" ref="B171:B181" si="30"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C171" s="1" t="str">
        <f>"2"</f>
        <v>2</v>
      </c>
      <c r="D171" s="1" t="str">
        <f>"5"</f>
        <v>5</v>
      </c>
      <c r="E171" s="1" t="str">
        <f>"2"</f>
        <v>2</v>
      </c>
      <c r="F171" s="2">
        <v>423134241.23000002</v>
      </c>
    </row>
    <row r="172" spans="1:6" x14ac:dyDescent="0.25">
      <c r="A172" s="1">
        <f t="shared" si="29"/>
        <v>1745</v>
      </c>
      <c r="B172" s="1" t="str">
        <f t="shared" si="30"/>
        <v>Начисленные доходы по ценным бумагам, учитываемым по амортизированной стоимости</v>
      </c>
      <c r="C172" s="1" t="str">
        <f>"2"</f>
        <v>2</v>
      </c>
      <c r="D172" s="1" t="str">
        <f>"3"</f>
        <v>3</v>
      </c>
      <c r="E172" s="1" t="str">
        <f>"2"</f>
        <v>2</v>
      </c>
      <c r="F172" s="2">
        <v>199639020.66</v>
      </c>
    </row>
    <row r="173" spans="1:6" x14ac:dyDescent="0.25">
      <c r="A173" s="1">
        <f t="shared" si="29"/>
        <v>1745</v>
      </c>
      <c r="B173" s="1" t="str">
        <f t="shared" si="30"/>
        <v>Начисленные доходы по ценным бумагам, учитываемым по амортизированной стоимости</v>
      </c>
      <c r="C173" s="1" t="str">
        <f>"1"</f>
        <v>1</v>
      </c>
      <c r="D173" s="1" t="str">
        <f>"5"</f>
        <v>5</v>
      </c>
      <c r="E173" s="1" t="str">
        <f>"1"</f>
        <v>1</v>
      </c>
      <c r="F173" s="2">
        <v>111822222.22</v>
      </c>
    </row>
    <row r="174" spans="1:6" x14ac:dyDescent="0.25">
      <c r="A174" s="1">
        <f t="shared" si="29"/>
        <v>1745</v>
      </c>
      <c r="B174" s="1" t="str">
        <f t="shared" si="30"/>
        <v>Начисленные доходы по ценным бумагам, учитываемым по амортизированной стоимости</v>
      </c>
      <c r="C174" s="1" t="str">
        <f>"1"</f>
        <v>1</v>
      </c>
      <c r="D174" s="1" t="str">
        <f>"4"</f>
        <v>4</v>
      </c>
      <c r="E174" s="1" t="str">
        <f>"2"</f>
        <v>2</v>
      </c>
      <c r="F174" s="2">
        <v>48567157.890000001</v>
      </c>
    </row>
    <row r="175" spans="1:6" x14ac:dyDescent="0.25">
      <c r="A175" s="1">
        <f t="shared" si="29"/>
        <v>1745</v>
      </c>
      <c r="B175" s="1" t="str">
        <f t="shared" si="30"/>
        <v>Начисленные доходы по ценным бумагам, учитываемым по амортизированной стоимости</v>
      </c>
      <c r="C175" s="1" t="str">
        <f>"1"</f>
        <v>1</v>
      </c>
      <c r="D175" s="1" t="str">
        <f>"1"</f>
        <v>1</v>
      </c>
      <c r="E175" s="1" t="str">
        <f>"2"</f>
        <v>2</v>
      </c>
      <c r="F175" s="2">
        <v>1277464138.8099999</v>
      </c>
    </row>
    <row r="176" spans="1:6" x14ac:dyDescent="0.25">
      <c r="A176" s="1">
        <f t="shared" si="29"/>
        <v>1745</v>
      </c>
      <c r="B176" s="1" t="str">
        <f t="shared" si="30"/>
        <v>Начисленные доходы по ценным бумагам, учитываемым по амортизированной стоимости</v>
      </c>
      <c r="C176" s="1" t="str">
        <f>"2"</f>
        <v>2</v>
      </c>
      <c r="D176" s="1" t="str">
        <f>"4"</f>
        <v>4</v>
      </c>
      <c r="E176" s="1" t="str">
        <f>"2"</f>
        <v>2</v>
      </c>
      <c r="F176" s="2">
        <v>61362287.259999998</v>
      </c>
    </row>
    <row r="177" spans="1:6" x14ac:dyDescent="0.25">
      <c r="A177" s="1">
        <f t="shared" si="29"/>
        <v>1745</v>
      </c>
      <c r="B177" s="1" t="str">
        <f t="shared" si="30"/>
        <v>Начисленные доходы по ценным бумагам, учитываемым по амортизированной стоимости</v>
      </c>
      <c r="C177" s="1" t="str">
        <f>"2"</f>
        <v>2</v>
      </c>
      <c r="D177" s="1" t="str">
        <f>"7"</f>
        <v>7</v>
      </c>
      <c r="E177" s="1" t="str">
        <f>"2"</f>
        <v>2</v>
      </c>
      <c r="F177" s="2">
        <v>20438587.07</v>
      </c>
    </row>
    <row r="178" spans="1:6" x14ac:dyDescent="0.25">
      <c r="A178" s="1">
        <f t="shared" si="29"/>
        <v>1745</v>
      </c>
      <c r="B178" s="1" t="str">
        <f t="shared" si="30"/>
        <v>Начисленные доходы по ценным бумагам, учитываемым по амортизированной стоимости</v>
      </c>
      <c r="C178" s="1" t="str">
        <f>"2"</f>
        <v>2</v>
      </c>
      <c r="D178" s="1" t="str">
        <f>"4"</f>
        <v>4</v>
      </c>
      <c r="E178" s="1" t="str">
        <f>"1"</f>
        <v>1</v>
      </c>
      <c r="F178" s="2">
        <v>52656856.780000001</v>
      </c>
    </row>
    <row r="179" spans="1:6" x14ac:dyDescent="0.25">
      <c r="A179" s="1">
        <f t="shared" si="29"/>
        <v>1745</v>
      </c>
      <c r="B179" s="1" t="str">
        <f t="shared" si="30"/>
        <v>Начисленные доходы по ценным бумагам, учитываемым по амортизированной стоимости</v>
      </c>
      <c r="C179" s="1" t="str">
        <f>"1"</f>
        <v>1</v>
      </c>
      <c r="D179" s="1" t="str">
        <f>"6"</f>
        <v>6</v>
      </c>
      <c r="E179" s="1" t="str">
        <f>"2"</f>
        <v>2</v>
      </c>
      <c r="F179" s="2">
        <v>117478877.19</v>
      </c>
    </row>
    <row r="180" spans="1:6" x14ac:dyDescent="0.25">
      <c r="A180" s="1">
        <f t="shared" si="29"/>
        <v>1745</v>
      </c>
      <c r="B180" s="1" t="str">
        <f t="shared" si="30"/>
        <v>Начисленные доходы по ценным бумагам, учитываемым по амортизированной стоимости</v>
      </c>
      <c r="C180" s="1" t="str">
        <f>"1"</f>
        <v>1</v>
      </c>
      <c r="D180" s="1" t="str">
        <f>"1"</f>
        <v>1</v>
      </c>
      <c r="E180" s="1" t="str">
        <f>"1"</f>
        <v>1</v>
      </c>
      <c r="F180" s="2">
        <v>2701708061.3099999</v>
      </c>
    </row>
    <row r="181" spans="1:6" x14ac:dyDescent="0.25">
      <c r="A181" s="1">
        <f t="shared" si="29"/>
        <v>1745</v>
      </c>
      <c r="B181" s="1" t="str">
        <f t="shared" si="30"/>
        <v>Начисленные доходы по ценным бумагам, учитываемым по амортизированной стоимости</v>
      </c>
      <c r="C181" s="1" t="str">
        <f>"2"</f>
        <v>2</v>
      </c>
      <c r="D181" s="1" t="str">
        <f>"1"</f>
        <v>1</v>
      </c>
      <c r="E181" s="1" t="str">
        <f>"2"</f>
        <v>2</v>
      </c>
      <c r="F181" s="2">
        <v>2729105.52</v>
      </c>
    </row>
    <row r="182" spans="1:6" x14ac:dyDescent="0.25">
      <c r="A182" s="1">
        <f>("1750")*1</f>
        <v>1750</v>
      </c>
      <c r="B182" s="1" t="str">
        <f>"Просроченное вознаграждение по ценным бумагам"</f>
        <v>Просроченное вознаграждение по ценным бумагам</v>
      </c>
      <c r="C182" s="1" t="str">
        <f>"2"</f>
        <v>2</v>
      </c>
      <c r="D182" s="1" t="str">
        <f>"5"</f>
        <v>5</v>
      </c>
      <c r="E182" s="1" t="str">
        <f>"2"</f>
        <v>2</v>
      </c>
      <c r="F182" s="2">
        <v>1170735640.4300001</v>
      </c>
    </row>
    <row r="183" spans="1:6" x14ac:dyDescent="0.25">
      <c r="A183" s="1">
        <f>("1750")*1</f>
        <v>1750</v>
      </c>
      <c r="B183" s="1" t="str">
        <f>"Просроченное вознаграждение по ценным бумагам"</f>
        <v>Просроченное вознаграждение по ценным бумагам</v>
      </c>
      <c r="C183" s="1" t="str">
        <f>"2"</f>
        <v>2</v>
      </c>
      <c r="D183" s="1" t="str">
        <f>"7"</f>
        <v>7</v>
      </c>
      <c r="E183" s="1" t="str">
        <f>"2"</f>
        <v>2</v>
      </c>
      <c r="F183" s="2">
        <v>30866062.5</v>
      </c>
    </row>
    <row r="184" spans="1:6" x14ac:dyDescent="0.25">
      <c r="A184" s="1">
        <f t="shared" ref="A184:A189" si="31">("1793")*1</f>
        <v>1793</v>
      </c>
      <c r="B184" s="1" t="str">
        <f t="shared" ref="B184:B189" si="32">"Расходы будущих периодов"</f>
        <v>Расходы будущих периодов</v>
      </c>
      <c r="C184" s="1" t="str">
        <f>"1"</f>
        <v>1</v>
      </c>
      <c r="D184" s="1" t="str">
        <f>"6"</f>
        <v>6</v>
      </c>
      <c r="E184" s="1" t="str">
        <f t="shared" ref="E184:E193" si="33">"1"</f>
        <v>1</v>
      </c>
      <c r="F184" s="2">
        <v>195609.82</v>
      </c>
    </row>
    <row r="185" spans="1:6" x14ac:dyDescent="0.25">
      <c r="A185" s="1">
        <f t="shared" si="31"/>
        <v>1793</v>
      </c>
      <c r="B185" s="1" t="str">
        <f t="shared" si="32"/>
        <v>Расходы будущих периодов</v>
      </c>
      <c r="C185" s="1" t="str">
        <f>"2"</f>
        <v>2</v>
      </c>
      <c r="D185" s="1" t="str">
        <f>"7"</f>
        <v>7</v>
      </c>
      <c r="E185" s="1" t="str">
        <f t="shared" si="33"/>
        <v>1</v>
      </c>
      <c r="F185" s="2">
        <v>97692458.609999999</v>
      </c>
    </row>
    <row r="186" spans="1:6" x14ac:dyDescent="0.25">
      <c r="A186" s="1">
        <f t="shared" si="31"/>
        <v>1793</v>
      </c>
      <c r="B186" s="1" t="str">
        <f t="shared" si="32"/>
        <v>Расходы будущих периодов</v>
      </c>
      <c r="C186" s="1" t="str">
        <f>"1"</f>
        <v>1</v>
      </c>
      <c r="D186" s="1" t="str">
        <f>"5"</f>
        <v>5</v>
      </c>
      <c r="E186" s="1" t="str">
        <f t="shared" si="33"/>
        <v>1</v>
      </c>
      <c r="F186" s="2">
        <v>2010465045.4000001</v>
      </c>
    </row>
    <row r="187" spans="1:6" x14ac:dyDescent="0.25">
      <c r="A187" s="1">
        <f t="shared" si="31"/>
        <v>1793</v>
      </c>
      <c r="B187" s="1" t="str">
        <f t="shared" si="32"/>
        <v>Расходы будущих периодов</v>
      </c>
      <c r="C187" s="1" t="str">
        <f>"1"</f>
        <v>1</v>
      </c>
      <c r="D187" s="1" t="str">
        <f>"9"</f>
        <v>9</v>
      </c>
      <c r="E187" s="1" t="str">
        <f t="shared" si="33"/>
        <v>1</v>
      </c>
      <c r="F187" s="2">
        <v>2307066.21</v>
      </c>
    </row>
    <row r="188" spans="1:6" x14ac:dyDescent="0.25">
      <c r="A188" s="1">
        <f t="shared" si="31"/>
        <v>1793</v>
      </c>
      <c r="B188" s="1" t="str">
        <f t="shared" si="32"/>
        <v>Расходы будущих периодов</v>
      </c>
      <c r="C188" s="1" t="str">
        <f>"1"</f>
        <v>1</v>
      </c>
      <c r="D188" s="1" t="str">
        <f>"7"</f>
        <v>7</v>
      </c>
      <c r="E188" s="1" t="str">
        <f t="shared" si="33"/>
        <v>1</v>
      </c>
      <c r="F188" s="2">
        <v>913525529.01999998</v>
      </c>
    </row>
    <row r="189" spans="1:6" x14ac:dyDescent="0.25">
      <c r="A189" s="1">
        <f t="shared" si="31"/>
        <v>1793</v>
      </c>
      <c r="B189" s="1" t="str">
        <f t="shared" si="32"/>
        <v>Расходы будущих периодов</v>
      </c>
      <c r="C189" s="1" t="str">
        <f>"1"</f>
        <v>1</v>
      </c>
      <c r="D189" s="1" t="str">
        <f>"8"</f>
        <v>8</v>
      </c>
      <c r="E189" s="1" t="str">
        <f t="shared" si="33"/>
        <v>1</v>
      </c>
      <c r="F189" s="2">
        <v>2325022.5</v>
      </c>
    </row>
    <row r="190" spans="1:6" x14ac:dyDescent="0.25">
      <c r="A190" s="1">
        <f>("1811")*1</f>
        <v>1811</v>
      </c>
      <c r="B190" s="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190" s="1" t="str">
        <f>"2"</f>
        <v>2</v>
      </c>
      <c r="D190" s="1" t="str">
        <f>""</f>
        <v/>
      </c>
      <c r="E190" s="1" t="str">
        <f t="shared" si="33"/>
        <v>1</v>
      </c>
      <c r="F190" s="2">
        <v>7800.63</v>
      </c>
    </row>
    <row r="191" spans="1:6" x14ac:dyDescent="0.25">
      <c r="A191" s="1">
        <f>("1811")*1</f>
        <v>1811</v>
      </c>
      <c r="B191" s="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191" s="1" t="str">
        <f t="shared" ref="C191:C196" si="34">"1"</f>
        <v>1</v>
      </c>
      <c r="D191" s="1" t="str">
        <f>""</f>
        <v/>
      </c>
      <c r="E191" s="1" t="str">
        <f t="shared" si="33"/>
        <v>1</v>
      </c>
      <c r="F191" s="2">
        <v>105694788.48999999</v>
      </c>
    </row>
    <row r="192" spans="1:6" x14ac:dyDescent="0.25">
      <c r="A192" s="1">
        <f>("1812")*1</f>
        <v>1812</v>
      </c>
      <c r="B192" s="1" t="str">
        <f>"Начисленные комиссионные доходы за агентские услуги"</f>
        <v>Начисленные комиссионные доходы за агентские услуги</v>
      </c>
      <c r="C192" s="1" t="str">
        <f t="shared" si="34"/>
        <v>1</v>
      </c>
      <c r="D192" s="1" t="str">
        <f>""</f>
        <v/>
      </c>
      <c r="E192" s="1" t="str">
        <f t="shared" si="33"/>
        <v>1</v>
      </c>
      <c r="F192" s="2">
        <v>950703481.27999997</v>
      </c>
    </row>
    <row r="193" spans="1:6" x14ac:dyDescent="0.25">
      <c r="A193" s="1">
        <f>("1815")*1</f>
        <v>1815</v>
      </c>
      <c r="B193" s="1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C193" s="1" t="str">
        <f t="shared" si="34"/>
        <v>1</v>
      </c>
      <c r="D193" s="1" t="str">
        <f>""</f>
        <v/>
      </c>
      <c r="E193" s="1" t="str">
        <f t="shared" si="33"/>
        <v>1</v>
      </c>
      <c r="F193" s="2">
        <v>147755.48000000001</v>
      </c>
    </row>
    <row r="194" spans="1:6" x14ac:dyDescent="0.25">
      <c r="A194" s="1">
        <f>("1816")*1</f>
        <v>1816</v>
      </c>
      <c r="B194" s="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194" s="1" t="str">
        <f t="shared" si="34"/>
        <v>1</v>
      </c>
      <c r="D194" s="1" t="str">
        <f>""</f>
        <v/>
      </c>
      <c r="E194" s="1" t="str">
        <f>"3"</f>
        <v>3</v>
      </c>
      <c r="F194" s="2">
        <v>2623263.5499999998</v>
      </c>
    </row>
    <row r="195" spans="1:6" x14ac:dyDescent="0.25">
      <c r="A195" s="1">
        <f>("1816")*1</f>
        <v>1816</v>
      </c>
      <c r="B195" s="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195" s="1" t="str">
        <f t="shared" si="34"/>
        <v>1</v>
      </c>
      <c r="D195" s="1" t="str">
        <f>""</f>
        <v/>
      </c>
      <c r="E195" s="1" t="str">
        <f>"1"</f>
        <v>1</v>
      </c>
      <c r="F195" s="2">
        <v>59967320.299999997</v>
      </c>
    </row>
    <row r="196" spans="1:6" x14ac:dyDescent="0.25">
      <c r="A196" s="1">
        <f>("1816")*1</f>
        <v>1816</v>
      </c>
      <c r="B196" s="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196" s="1" t="str">
        <f t="shared" si="34"/>
        <v>1</v>
      </c>
      <c r="D196" s="1" t="str">
        <f>""</f>
        <v/>
      </c>
      <c r="E196" s="1" t="str">
        <f>"2"</f>
        <v>2</v>
      </c>
      <c r="F196" s="2">
        <v>32869494.539999999</v>
      </c>
    </row>
    <row r="197" spans="1:6" x14ac:dyDescent="0.25">
      <c r="A197" s="1">
        <f>("1817")*1</f>
        <v>1817</v>
      </c>
      <c r="B197" s="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C197" s="1" t="str">
        <f>"2"</f>
        <v>2</v>
      </c>
      <c r="D197" s="1" t="str">
        <f>""</f>
        <v/>
      </c>
      <c r="E197" s="1" t="str">
        <f>"1"</f>
        <v>1</v>
      </c>
      <c r="F197" s="2">
        <v>150705.62</v>
      </c>
    </row>
    <row r="198" spans="1:6" x14ac:dyDescent="0.25">
      <c r="A198" s="1">
        <f>("1817")*1</f>
        <v>1817</v>
      </c>
      <c r="B198" s="1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C198" s="1" t="str">
        <f>"1"</f>
        <v>1</v>
      </c>
      <c r="D198" s="1" t="str">
        <f>""</f>
        <v/>
      </c>
      <c r="E198" s="1" t="str">
        <f>"1"</f>
        <v>1</v>
      </c>
      <c r="F198" s="2">
        <v>7014321.4900000002</v>
      </c>
    </row>
    <row r="199" spans="1:6" x14ac:dyDescent="0.25">
      <c r="A199" s="1">
        <f>("1818")*1</f>
        <v>1818</v>
      </c>
      <c r="B199" s="1" t="str">
        <f>"Начисленные прочие комиссионные доходы"</f>
        <v>Начисленные прочие комиссионные доходы</v>
      </c>
      <c r="C199" s="1" t="str">
        <f>"2"</f>
        <v>2</v>
      </c>
      <c r="D199" s="1" t="str">
        <f>""</f>
        <v/>
      </c>
      <c r="E199" s="1" t="str">
        <f>"2"</f>
        <v>2</v>
      </c>
      <c r="F199" s="2">
        <v>1498533.68</v>
      </c>
    </row>
    <row r="200" spans="1:6" x14ac:dyDescent="0.25">
      <c r="A200" s="1">
        <f>("1818")*1</f>
        <v>1818</v>
      </c>
      <c r="B200" s="1" t="str">
        <f>"Начисленные прочие комиссионные доходы"</f>
        <v>Начисленные прочие комиссионные доходы</v>
      </c>
      <c r="C200" s="1" t="str">
        <f>"1"</f>
        <v>1</v>
      </c>
      <c r="D200" s="1" t="str">
        <f>""</f>
        <v/>
      </c>
      <c r="E200" s="1" t="str">
        <f>"1"</f>
        <v>1</v>
      </c>
      <c r="F200" s="2">
        <v>482246043.83999997</v>
      </c>
    </row>
    <row r="201" spans="1:6" x14ac:dyDescent="0.25">
      <c r="A201" s="1">
        <f>("1818")*1</f>
        <v>1818</v>
      </c>
      <c r="B201" s="1" t="str">
        <f>"Начисленные прочие комиссионные доходы"</f>
        <v>Начисленные прочие комиссионные доходы</v>
      </c>
      <c r="C201" s="1" t="str">
        <f>"2"</f>
        <v>2</v>
      </c>
      <c r="D201" s="1" t="str">
        <f>""</f>
        <v/>
      </c>
      <c r="E201" s="1" t="str">
        <f>"1"</f>
        <v>1</v>
      </c>
      <c r="F201" s="2">
        <v>369458.02</v>
      </c>
    </row>
    <row r="202" spans="1:6" x14ac:dyDescent="0.25">
      <c r="A202" s="1">
        <f>("1818")*1</f>
        <v>1818</v>
      </c>
      <c r="B202" s="1" t="str">
        <f>"Начисленные прочие комиссионные доходы"</f>
        <v>Начисленные прочие комиссионные доходы</v>
      </c>
      <c r="C202" s="1" t="str">
        <f>"1"</f>
        <v>1</v>
      </c>
      <c r="D202" s="1" t="str">
        <f>""</f>
        <v/>
      </c>
      <c r="E202" s="1" t="str">
        <f>"2"</f>
        <v>2</v>
      </c>
      <c r="F202" s="2">
        <v>18343.259999999998</v>
      </c>
    </row>
    <row r="203" spans="1:6" x14ac:dyDescent="0.25">
      <c r="A203" s="1">
        <f>("1818")*1</f>
        <v>1818</v>
      </c>
      <c r="B203" s="1" t="str">
        <f>"Начисленные прочие комиссионные доходы"</f>
        <v>Начисленные прочие комиссионные доходы</v>
      </c>
      <c r="C203" s="1" t="str">
        <f>"2"</f>
        <v>2</v>
      </c>
      <c r="D203" s="1" t="str">
        <f>""</f>
        <v/>
      </c>
      <c r="E203" s="1" t="str">
        <f>"3"</f>
        <v>3</v>
      </c>
      <c r="F203" s="2">
        <v>1903325.1</v>
      </c>
    </row>
    <row r="204" spans="1:6" x14ac:dyDescent="0.25">
      <c r="A204" s="1">
        <f>("1819")*1</f>
        <v>1819</v>
      </c>
      <c r="B204" s="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C204" s="1" t="str">
        <f>"1"</f>
        <v>1</v>
      </c>
      <c r="D204" s="1" t="str">
        <f>""</f>
        <v/>
      </c>
      <c r="E204" s="1" t="str">
        <f>"1"</f>
        <v>1</v>
      </c>
      <c r="F204" s="2">
        <v>28666474.440000001</v>
      </c>
    </row>
    <row r="205" spans="1:6" x14ac:dyDescent="0.25">
      <c r="A205" s="1">
        <f>("1821")*1</f>
        <v>1821</v>
      </c>
      <c r="B205" s="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C205" s="1" t="str">
        <f>"1"</f>
        <v>1</v>
      </c>
      <c r="D205" s="1" t="str">
        <f>""</f>
        <v/>
      </c>
      <c r="E205" s="1" t="str">
        <f>"1"</f>
        <v>1</v>
      </c>
      <c r="F205" s="2">
        <v>1096173.28</v>
      </c>
    </row>
    <row r="206" spans="1:6" x14ac:dyDescent="0.25">
      <c r="A206" s="1">
        <f>("1822")*1</f>
        <v>1822</v>
      </c>
      <c r="B206" s="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C206" s="1" t="str">
        <f>"1"</f>
        <v>1</v>
      </c>
      <c r="D206" s="1" t="str">
        <f>""</f>
        <v/>
      </c>
      <c r="E206" s="1" t="str">
        <f>"1"</f>
        <v>1</v>
      </c>
      <c r="F206" s="2">
        <v>35000</v>
      </c>
    </row>
    <row r="207" spans="1:6" x14ac:dyDescent="0.25">
      <c r="A207" s="1">
        <f>("1822")*1</f>
        <v>1822</v>
      </c>
      <c r="B207" s="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C207" s="1" t="str">
        <f>"2"</f>
        <v>2</v>
      </c>
      <c r="D207" s="1" t="str">
        <f>""</f>
        <v/>
      </c>
      <c r="E207" s="1" t="str">
        <f>"2"</f>
        <v>2</v>
      </c>
      <c r="F207" s="2">
        <v>165177.69</v>
      </c>
    </row>
    <row r="208" spans="1:6" x14ac:dyDescent="0.25">
      <c r="A208" s="1">
        <f>("1822")*1</f>
        <v>1822</v>
      </c>
      <c r="B208" s="1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C208" s="1" t="str">
        <f>"1"</f>
        <v>1</v>
      </c>
      <c r="D208" s="1" t="str">
        <f>""</f>
        <v/>
      </c>
      <c r="E208" s="1" t="str">
        <f>"2"</f>
        <v>2</v>
      </c>
      <c r="F208" s="2">
        <v>9244245.7899999991</v>
      </c>
    </row>
    <row r="209" spans="1:6" x14ac:dyDescent="0.25">
      <c r="A209" s="1">
        <f>("1825")*1</f>
        <v>1825</v>
      </c>
      <c r="B209" s="1" t="str">
        <f>"Начисленные комиссионные доходы за услуги по инкассации"</f>
        <v>Начисленные комиссионные доходы за услуги по инкассации</v>
      </c>
      <c r="C209" s="1" t="str">
        <f>"1"</f>
        <v>1</v>
      </c>
      <c r="D209" s="1" t="str">
        <f>""</f>
        <v/>
      </c>
      <c r="E209" s="1" t="str">
        <f t="shared" ref="E209:E215" si="35">"1"</f>
        <v>1</v>
      </c>
      <c r="F209" s="2">
        <v>599000</v>
      </c>
    </row>
    <row r="210" spans="1:6" x14ac:dyDescent="0.25">
      <c r="A210" s="1">
        <f>("1831")*1</f>
        <v>1831</v>
      </c>
      <c r="B210" s="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C210" s="1" t="str">
        <f>"2"</f>
        <v>2</v>
      </c>
      <c r="D210" s="1" t="str">
        <f>""</f>
        <v/>
      </c>
      <c r="E210" s="1" t="str">
        <f t="shared" si="35"/>
        <v>1</v>
      </c>
      <c r="F210" s="2">
        <v>31278.1</v>
      </c>
    </row>
    <row r="211" spans="1:6" x14ac:dyDescent="0.25">
      <c r="A211" s="1">
        <f>("1831")*1</f>
        <v>1831</v>
      </c>
      <c r="B211" s="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C211" s="1" t="str">
        <f>"1"</f>
        <v>1</v>
      </c>
      <c r="D211" s="1" t="str">
        <f>""</f>
        <v/>
      </c>
      <c r="E211" s="1" t="str">
        <f t="shared" si="35"/>
        <v>1</v>
      </c>
      <c r="F211" s="2">
        <v>6233678.2000000002</v>
      </c>
    </row>
    <row r="212" spans="1:6" x14ac:dyDescent="0.25">
      <c r="A212" s="1">
        <f>("1836")*1</f>
        <v>1836</v>
      </c>
      <c r="B212" s="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C212" s="1" t="str">
        <f>"1"</f>
        <v>1</v>
      </c>
      <c r="D212" s="1" t="str">
        <f>""</f>
        <v/>
      </c>
      <c r="E212" s="1" t="str">
        <f t="shared" si="35"/>
        <v>1</v>
      </c>
      <c r="F212" s="2">
        <v>17129140.52</v>
      </c>
    </row>
    <row r="213" spans="1:6" x14ac:dyDescent="0.25">
      <c r="A213" s="1">
        <f>("1837")*1</f>
        <v>1837</v>
      </c>
      <c r="B213" s="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C213" s="1" t="str">
        <f>"2"</f>
        <v>2</v>
      </c>
      <c r="D213" s="1" t="str">
        <f>""</f>
        <v/>
      </c>
      <c r="E213" s="1" t="str">
        <f t="shared" si="35"/>
        <v>1</v>
      </c>
      <c r="F213" s="2">
        <v>127802.74</v>
      </c>
    </row>
    <row r="214" spans="1:6" x14ac:dyDescent="0.25">
      <c r="A214" s="1">
        <f>("1837")*1</f>
        <v>1837</v>
      </c>
      <c r="B214" s="1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C214" s="1" t="str">
        <f>"1"</f>
        <v>1</v>
      </c>
      <c r="D214" s="1" t="str">
        <f>""</f>
        <v/>
      </c>
      <c r="E214" s="1" t="str">
        <f t="shared" si="35"/>
        <v>1</v>
      </c>
      <c r="F214" s="2">
        <v>12418251.050000001</v>
      </c>
    </row>
    <row r="215" spans="1:6" x14ac:dyDescent="0.25">
      <c r="A215" s="1">
        <f>("1838")*1</f>
        <v>1838</v>
      </c>
      <c r="B215" s="1" t="str">
        <f>"Просроченные прочие комиссионные доходы"</f>
        <v>Просроченные прочие комиссионные доходы</v>
      </c>
      <c r="C215" s="1" t="str">
        <f>"2"</f>
        <v>2</v>
      </c>
      <c r="D215" s="1" t="str">
        <f>""</f>
        <v/>
      </c>
      <c r="E215" s="1" t="str">
        <f t="shared" si="35"/>
        <v>1</v>
      </c>
      <c r="F215" s="2">
        <v>31116</v>
      </c>
    </row>
    <row r="216" spans="1:6" x14ac:dyDescent="0.25">
      <c r="A216" s="1">
        <f>("1838")*1</f>
        <v>1838</v>
      </c>
      <c r="B216" s="1" t="str">
        <f>"Просроченные прочие комиссионные доходы"</f>
        <v>Просроченные прочие комиссионные доходы</v>
      </c>
      <c r="C216" s="1" t="str">
        <f>"1"</f>
        <v>1</v>
      </c>
      <c r="D216" s="1" t="str">
        <f>""</f>
        <v/>
      </c>
      <c r="E216" s="1" t="str">
        <f>"2"</f>
        <v>2</v>
      </c>
      <c r="F216" s="2">
        <v>1898216.99</v>
      </c>
    </row>
    <row r="217" spans="1:6" x14ac:dyDescent="0.25">
      <c r="A217" s="1">
        <f>("1838")*1</f>
        <v>1838</v>
      </c>
      <c r="B217" s="1" t="str">
        <f>"Просроченные прочие комиссионные доходы"</f>
        <v>Просроченные прочие комиссионные доходы</v>
      </c>
      <c r="C217" s="1" t="str">
        <f>"1"</f>
        <v>1</v>
      </c>
      <c r="D217" s="1" t="str">
        <f>""</f>
        <v/>
      </c>
      <c r="E217" s="1" t="str">
        <f>"1"</f>
        <v>1</v>
      </c>
      <c r="F217" s="2">
        <v>219516650.81</v>
      </c>
    </row>
    <row r="218" spans="1:6" x14ac:dyDescent="0.25">
      <c r="A218" s="1">
        <f>("1838")*1</f>
        <v>1838</v>
      </c>
      <c r="B218" s="1" t="str">
        <f>"Просроченные прочие комиссионные доходы"</f>
        <v>Просроченные прочие комиссионные доходы</v>
      </c>
      <c r="C218" s="1" t="str">
        <f>"2"</f>
        <v>2</v>
      </c>
      <c r="D218" s="1" t="str">
        <f>""</f>
        <v/>
      </c>
      <c r="E218" s="1" t="str">
        <f>"3"</f>
        <v>3</v>
      </c>
      <c r="F218" s="2">
        <v>22071913.890000001</v>
      </c>
    </row>
    <row r="219" spans="1:6" x14ac:dyDescent="0.25">
      <c r="A219" s="1">
        <f>("1839")*1</f>
        <v>1839</v>
      </c>
      <c r="B219" s="1" t="str">
        <f>"Просроченные комиссионные доходы по профессиональной деятельности на рынке ценных бумаг"</f>
        <v>Просроченные комиссионные доходы по профессиональной деятельности на рынке ценных бумаг</v>
      </c>
      <c r="C219" s="1" t="str">
        <f>"1"</f>
        <v>1</v>
      </c>
      <c r="D219" s="1" t="str">
        <f>""</f>
        <v/>
      </c>
      <c r="E219" s="1" t="str">
        <f>"1"</f>
        <v>1</v>
      </c>
      <c r="F219" s="2">
        <v>5865607.8600000003</v>
      </c>
    </row>
    <row r="220" spans="1:6" x14ac:dyDescent="0.25">
      <c r="A220" s="1">
        <f>("1841")*1</f>
        <v>1841</v>
      </c>
      <c r="B220" s="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C220" s="1" t="str">
        <f>"1"</f>
        <v>1</v>
      </c>
      <c r="D220" s="1" t="str">
        <f>""</f>
        <v/>
      </c>
      <c r="E220" s="1" t="str">
        <f>"1"</f>
        <v>1</v>
      </c>
      <c r="F220" s="2">
        <v>933349.58</v>
      </c>
    </row>
    <row r="221" spans="1:6" x14ac:dyDescent="0.25">
      <c r="A221" s="1">
        <f t="shared" ref="A221:A226" si="36">("1845")*1</f>
        <v>1845</v>
      </c>
      <c r="B221" s="1" t="str">
        <f t="shared" ref="B221:B226" si="37"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21" s="1" t="str">
        <f>"2"</f>
        <v>2</v>
      </c>
      <c r="D221" s="1" t="str">
        <f>""</f>
        <v/>
      </c>
      <c r="E221" s="1" t="str">
        <f>"3"</f>
        <v>3</v>
      </c>
      <c r="F221" s="2">
        <v>-22083392.399999999</v>
      </c>
    </row>
    <row r="222" spans="1:6" x14ac:dyDescent="0.25">
      <c r="A222" s="1">
        <f t="shared" si="36"/>
        <v>1845</v>
      </c>
      <c r="B222" s="1" t="str">
        <f t="shared" si="37"/>
        <v>Резервы (провизии) по начисленным и просроченным комиссионным доходам</v>
      </c>
      <c r="C222" s="1" t="str">
        <f>"2"</f>
        <v>2</v>
      </c>
      <c r="D222" s="1" t="str">
        <f>""</f>
        <v/>
      </c>
      <c r="E222" s="1" t="str">
        <f>"2"</f>
        <v>2</v>
      </c>
      <c r="F222" s="2">
        <v>-7465.07</v>
      </c>
    </row>
    <row r="223" spans="1:6" x14ac:dyDescent="0.25">
      <c r="A223" s="1">
        <f t="shared" si="36"/>
        <v>1845</v>
      </c>
      <c r="B223" s="1" t="str">
        <f t="shared" si="37"/>
        <v>Резервы (провизии) по начисленным и просроченным комиссионным доходам</v>
      </c>
      <c r="C223" s="1" t="str">
        <f>"1"</f>
        <v>1</v>
      </c>
      <c r="D223" s="1" t="str">
        <f>""</f>
        <v/>
      </c>
      <c r="E223" s="1" t="str">
        <f>"3"</f>
        <v>3</v>
      </c>
      <c r="F223" s="2">
        <v>-32677.95</v>
      </c>
    </row>
    <row r="224" spans="1:6" x14ac:dyDescent="0.25">
      <c r="A224" s="1">
        <f t="shared" si="36"/>
        <v>1845</v>
      </c>
      <c r="B224" s="1" t="str">
        <f t="shared" si="37"/>
        <v>Резервы (провизии) по начисленным и просроченным комиссионным доходам</v>
      </c>
      <c r="C224" s="1" t="str">
        <f>"2"</f>
        <v>2</v>
      </c>
      <c r="D224" s="1" t="str">
        <f>""</f>
        <v/>
      </c>
      <c r="E224" s="1" t="str">
        <f>"1"</f>
        <v>1</v>
      </c>
      <c r="F224" s="2">
        <v>-100123.32</v>
      </c>
    </row>
    <row r="225" spans="1:6" x14ac:dyDescent="0.25">
      <c r="A225" s="1">
        <f t="shared" si="36"/>
        <v>1845</v>
      </c>
      <c r="B225" s="1" t="str">
        <f t="shared" si="37"/>
        <v>Резервы (провизии) по начисленным и просроченным комиссионным доходам</v>
      </c>
      <c r="C225" s="1" t="str">
        <f>"1"</f>
        <v>1</v>
      </c>
      <c r="D225" s="1" t="str">
        <f>""</f>
        <v/>
      </c>
      <c r="E225" s="1" t="str">
        <f>"2"</f>
        <v>2</v>
      </c>
      <c r="F225" s="2">
        <v>-1691460.23</v>
      </c>
    </row>
    <row r="226" spans="1:6" x14ac:dyDescent="0.25">
      <c r="A226" s="1">
        <f t="shared" si="36"/>
        <v>1845</v>
      </c>
      <c r="B226" s="1" t="str">
        <f t="shared" si="37"/>
        <v>Резервы (провизии) по начисленным и просроченным комиссионным доходам</v>
      </c>
      <c r="C226" s="1" t="str">
        <f>"1"</f>
        <v>1</v>
      </c>
      <c r="D226" s="1" t="str">
        <f>""</f>
        <v/>
      </c>
      <c r="E226" s="1" t="str">
        <f>"1"</f>
        <v>1</v>
      </c>
      <c r="F226" s="2">
        <v>-303212801.08999997</v>
      </c>
    </row>
    <row r="227" spans="1:6" x14ac:dyDescent="0.25">
      <c r="A227" s="1">
        <f>("1851")*1</f>
        <v>1851</v>
      </c>
      <c r="B227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227" s="1" t="str">
        <f>"1"</f>
        <v>1</v>
      </c>
      <c r="D227" s="1" t="str">
        <f>"1"</f>
        <v>1</v>
      </c>
      <c r="E227" s="1" t="str">
        <f>"1"</f>
        <v>1</v>
      </c>
      <c r="F227" s="2">
        <v>1280051209.3499999</v>
      </c>
    </row>
    <row r="228" spans="1:6" x14ac:dyDescent="0.25">
      <c r="A228" s="1">
        <f>("1852")*1</f>
        <v>1852</v>
      </c>
      <c r="B228" s="1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C228" s="1" t="str">
        <f>"1"</f>
        <v>1</v>
      </c>
      <c r="D228" s="1" t="str">
        <f>"5"</f>
        <v>5</v>
      </c>
      <c r="E228" s="1" t="str">
        <f>"2"</f>
        <v>2</v>
      </c>
      <c r="F228" s="2">
        <v>9453834000</v>
      </c>
    </row>
    <row r="229" spans="1:6" x14ac:dyDescent="0.25">
      <c r="A229" s="1">
        <f>("1854")*1</f>
        <v>1854</v>
      </c>
      <c r="B229" s="1" t="str">
        <f>"Расчеты с работниками"</f>
        <v>Расчеты с работниками</v>
      </c>
      <c r="C229" s="1" t="str">
        <f>""</f>
        <v/>
      </c>
      <c r="D229" s="1" t="str">
        <f>""</f>
        <v/>
      </c>
      <c r="E229" s="1" t="str">
        <f>""</f>
        <v/>
      </c>
      <c r="F229" s="2">
        <v>13679580.57</v>
      </c>
    </row>
    <row r="230" spans="1:6" x14ac:dyDescent="0.25">
      <c r="A230" s="1">
        <f>("1856")*1</f>
        <v>1856</v>
      </c>
      <c r="B230" s="1" t="str">
        <f>"Дебиторы по капитальным вложениям"</f>
        <v>Дебиторы по капитальным вложениям</v>
      </c>
      <c r="C230" s="1" t="str">
        <f>"2"</f>
        <v>2</v>
      </c>
      <c r="D230" s="1" t="str">
        <f>"7"</f>
        <v>7</v>
      </c>
      <c r="E230" s="1" t="str">
        <f>"1"</f>
        <v>1</v>
      </c>
      <c r="F230" s="2">
        <v>157522387.93000001</v>
      </c>
    </row>
    <row r="231" spans="1:6" x14ac:dyDescent="0.25">
      <c r="A231" s="1">
        <f>("1856")*1</f>
        <v>1856</v>
      </c>
      <c r="B231" s="1" t="str">
        <f>"Дебиторы по капитальным вложениям"</f>
        <v>Дебиторы по капитальным вложениям</v>
      </c>
      <c r="C231" s="1" t="str">
        <f>"1"</f>
        <v>1</v>
      </c>
      <c r="D231" s="1" t="str">
        <f>"9"</f>
        <v>9</v>
      </c>
      <c r="E231" s="1" t="str">
        <f>"1"</f>
        <v>1</v>
      </c>
      <c r="F231" s="2">
        <v>34410867.020000003</v>
      </c>
    </row>
    <row r="232" spans="1:6" x14ac:dyDescent="0.25">
      <c r="A232" s="1">
        <f>("1856")*1</f>
        <v>1856</v>
      </c>
      <c r="B232" s="1" t="str">
        <f>"Дебиторы по капитальным вложениям"</f>
        <v>Дебиторы по капитальным вложениям</v>
      </c>
      <c r="C232" s="1" t="str">
        <f>"1"</f>
        <v>1</v>
      </c>
      <c r="D232" s="1" t="str">
        <f>"7"</f>
        <v>7</v>
      </c>
      <c r="E232" s="1" t="str">
        <f>"1"</f>
        <v>1</v>
      </c>
      <c r="F232" s="2">
        <v>288575007.17000002</v>
      </c>
    </row>
    <row r="233" spans="1:6" x14ac:dyDescent="0.25">
      <c r="A233" s="1">
        <f t="shared" ref="A233:A247" si="38">("1860")*1</f>
        <v>1860</v>
      </c>
      <c r="B233" s="1" t="str">
        <f t="shared" ref="B233:B247" si="39">"Прочие дебиторы по банковской деятельности"</f>
        <v>Прочие дебиторы по банковской деятельности</v>
      </c>
      <c r="C233" s="1" t="str">
        <f>"2"</f>
        <v>2</v>
      </c>
      <c r="D233" s="1" t="str">
        <f>"4"</f>
        <v>4</v>
      </c>
      <c r="E233" s="1" t="str">
        <f>"2"</f>
        <v>2</v>
      </c>
      <c r="F233" s="2">
        <v>57666360.229999997</v>
      </c>
    </row>
    <row r="234" spans="1:6" x14ac:dyDescent="0.25">
      <c r="A234" s="1">
        <f t="shared" si="38"/>
        <v>1860</v>
      </c>
      <c r="B234" s="1" t="str">
        <f t="shared" si="39"/>
        <v>Прочие дебиторы по банковской деятельности</v>
      </c>
      <c r="C234" s="1" t="str">
        <f>"2"</f>
        <v>2</v>
      </c>
      <c r="D234" s="1" t="str">
        <f>"9"</f>
        <v>9</v>
      </c>
      <c r="E234" s="1" t="str">
        <f>"2"</f>
        <v>2</v>
      </c>
      <c r="F234" s="2">
        <v>70837.460000000006</v>
      </c>
    </row>
    <row r="235" spans="1:6" x14ac:dyDescent="0.25">
      <c r="A235" s="1">
        <f t="shared" si="38"/>
        <v>1860</v>
      </c>
      <c r="B235" s="1" t="str">
        <f t="shared" si="39"/>
        <v>Прочие дебиторы по банковской деятельности</v>
      </c>
      <c r="C235" s="1" t="str">
        <f>"2"</f>
        <v>2</v>
      </c>
      <c r="D235" s="1" t="str">
        <f>"5"</f>
        <v>5</v>
      </c>
      <c r="E235" s="1" t="str">
        <f t="shared" ref="E235:E242" si="40">"1"</f>
        <v>1</v>
      </c>
      <c r="F235" s="2">
        <v>777576.58</v>
      </c>
    </row>
    <row r="236" spans="1:6" x14ac:dyDescent="0.25">
      <c r="A236" s="1">
        <f t="shared" si="38"/>
        <v>1860</v>
      </c>
      <c r="B236" s="1" t="str">
        <f t="shared" si="39"/>
        <v>Прочие дебиторы по банковской деятельности</v>
      </c>
      <c r="C236" s="1" t="str">
        <f>"1"</f>
        <v>1</v>
      </c>
      <c r="D236" s="1" t="str">
        <f>"9"</f>
        <v>9</v>
      </c>
      <c r="E236" s="1" t="str">
        <f t="shared" si="40"/>
        <v>1</v>
      </c>
      <c r="F236" s="2">
        <v>1877502370.3</v>
      </c>
    </row>
    <row r="237" spans="1:6" x14ac:dyDescent="0.25">
      <c r="A237" s="1">
        <f t="shared" si="38"/>
        <v>1860</v>
      </c>
      <c r="B237" s="1" t="str">
        <f t="shared" si="39"/>
        <v>Прочие дебиторы по банковской деятельности</v>
      </c>
      <c r="C237" s="1" t="str">
        <f>"2"</f>
        <v>2</v>
      </c>
      <c r="D237" s="1" t="str">
        <f>"1"</f>
        <v>1</v>
      </c>
      <c r="E237" s="1" t="str">
        <f t="shared" si="40"/>
        <v>1</v>
      </c>
      <c r="F237" s="2">
        <v>867100</v>
      </c>
    </row>
    <row r="238" spans="1:6" x14ac:dyDescent="0.25">
      <c r="A238" s="1">
        <f t="shared" si="38"/>
        <v>1860</v>
      </c>
      <c r="B238" s="1" t="str">
        <f t="shared" si="39"/>
        <v>Прочие дебиторы по банковской деятельности</v>
      </c>
      <c r="C238" s="1" t="str">
        <f>"1"</f>
        <v>1</v>
      </c>
      <c r="D238" s="1" t="str">
        <f>"6"</f>
        <v>6</v>
      </c>
      <c r="E238" s="1" t="str">
        <f t="shared" si="40"/>
        <v>1</v>
      </c>
      <c r="F238" s="2">
        <v>441507.02</v>
      </c>
    </row>
    <row r="239" spans="1:6" x14ac:dyDescent="0.25">
      <c r="A239" s="1">
        <f t="shared" si="38"/>
        <v>1860</v>
      </c>
      <c r="B239" s="1" t="str">
        <f t="shared" si="39"/>
        <v>Прочие дебиторы по банковской деятельности</v>
      </c>
      <c r="C239" s="1" t="str">
        <f>"1"</f>
        <v>1</v>
      </c>
      <c r="D239" s="1" t="str">
        <f>"8"</f>
        <v>8</v>
      </c>
      <c r="E239" s="1" t="str">
        <f t="shared" si="40"/>
        <v>1</v>
      </c>
      <c r="F239" s="2">
        <v>74667.41</v>
      </c>
    </row>
    <row r="240" spans="1:6" x14ac:dyDescent="0.25">
      <c r="A240" s="1">
        <f t="shared" si="38"/>
        <v>1860</v>
      </c>
      <c r="B240" s="1" t="str">
        <f t="shared" si="39"/>
        <v>Прочие дебиторы по банковской деятельности</v>
      </c>
      <c r="C240" s="1" t="str">
        <f>"1"</f>
        <v>1</v>
      </c>
      <c r="D240" s="1" t="str">
        <f>"5"</f>
        <v>5</v>
      </c>
      <c r="E240" s="1" t="str">
        <f t="shared" si="40"/>
        <v>1</v>
      </c>
      <c r="F240" s="2">
        <v>85789114.069999993</v>
      </c>
    </row>
    <row r="241" spans="1:6" x14ac:dyDescent="0.25">
      <c r="A241" s="1">
        <f t="shared" si="38"/>
        <v>1860</v>
      </c>
      <c r="B241" s="1" t="str">
        <f t="shared" si="39"/>
        <v>Прочие дебиторы по банковской деятельности</v>
      </c>
      <c r="C241" s="1" t="str">
        <f>"2"</f>
        <v>2</v>
      </c>
      <c r="D241" s="1" t="str">
        <f>"7"</f>
        <v>7</v>
      </c>
      <c r="E241" s="1" t="str">
        <f t="shared" si="40"/>
        <v>1</v>
      </c>
      <c r="F241" s="2">
        <v>509319000</v>
      </c>
    </row>
    <row r="242" spans="1:6" x14ac:dyDescent="0.25">
      <c r="A242" s="1">
        <f t="shared" si="38"/>
        <v>1860</v>
      </c>
      <c r="B242" s="1" t="str">
        <f t="shared" si="39"/>
        <v>Прочие дебиторы по банковской деятельности</v>
      </c>
      <c r="C242" s="1" t="str">
        <f>"1"</f>
        <v>1</v>
      </c>
      <c r="D242" s="1" t="str">
        <f>"4"</f>
        <v>4</v>
      </c>
      <c r="E242" s="1" t="str">
        <f t="shared" si="40"/>
        <v>1</v>
      </c>
      <c r="F242" s="2">
        <v>543421</v>
      </c>
    </row>
    <row r="243" spans="1:6" x14ac:dyDescent="0.25">
      <c r="A243" s="1">
        <f t="shared" si="38"/>
        <v>1860</v>
      </c>
      <c r="B243" s="1" t="str">
        <f t="shared" si="39"/>
        <v>Прочие дебиторы по банковской деятельности</v>
      </c>
      <c r="C243" s="1" t="str">
        <f>"2"</f>
        <v>2</v>
      </c>
      <c r="D243" s="1" t="str">
        <f>"7"</f>
        <v>7</v>
      </c>
      <c r="E243" s="1" t="str">
        <f>"3"</f>
        <v>3</v>
      </c>
      <c r="F243" s="2">
        <v>68620295.090000004</v>
      </c>
    </row>
    <row r="244" spans="1:6" x14ac:dyDescent="0.25">
      <c r="A244" s="1">
        <f t="shared" si="38"/>
        <v>1860</v>
      </c>
      <c r="B244" s="1" t="str">
        <f t="shared" si="39"/>
        <v>Прочие дебиторы по банковской деятельности</v>
      </c>
      <c r="C244" s="1" t="str">
        <f>"1"</f>
        <v>1</v>
      </c>
      <c r="D244" s="1" t="str">
        <f>"1"</f>
        <v>1</v>
      </c>
      <c r="E244" s="1" t="str">
        <f>"1"</f>
        <v>1</v>
      </c>
      <c r="F244" s="2">
        <v>663937.46</v>
      </c>
    </row>
    <row r="245" spans="1:6" x14ac:dyDescent="0.25">
      <c r="A245" s="1">
        <f t="shared" si="38"/>
        <v>1860</v>
      </c>
      <c r="B245" s="1" t="str">
        <f t="shared" si="39"/>
        <v>Прочие дебиторы по банковской деятельности</v>
      </c>
      <c r="C245" s="1" t="str">
        <f>"2"</f>
        <v>2</v>
      </c>
      <c r="D245" s="1" t="str">
        <f>"9"</f>
        <v>9</v>
      </c>
      <c r="E245" s="1" t="str">
        <f>"1"</f>
        <v>1</v>
      </c>
      <c r="F245" s="2">
        <v>4548499.18</v>
      </c>
    </row>
    <row r="246" spans="1:6" x14ac:dyDescent="0.25">
      <c r="A246" s="1">
        <f t="shared" si="38"/>
        <v>1860</v>
      </c>
      <c r="B246" s="1" t="str">
        <f t="shared" si="39"/>
        <v>Прочие дебиторы по банковской деятельности</v>
      </c>
      <c r="C246" s="1" t="str">
        <f>"1"</f>
        <v>1</v>
      </c>
      <c r="D246" s="1" t="str">
        <f>"7"</f>
        <v>7</v>
      </c>
      <c r="E246" s="1" t="str">
        <f>"1"</f>
        <v>1</v>
      </c>
      <c r="F246" s="2">
        <v>3412416969.5700002</v>
      </c>
    </row>
    <row r="247" spans="1:6" x14ac:dyDescent="0.25">
      <c r="A247" s="1">
        <f t="shared" si="38"/>
        <v>1860</v>
      </c>
      <c r="B247" s="1" t="str">
        <f t="shared" si="39"/>
        <v>Прочие дебиторы по банковской деятельности</v>
      </c>
      <c r="C247" s="1" t="str">
        <f>"1"</f>
        <v>1</v>
      </c>
      <c r="D247" s="1" t="str">
        <f>"9"</f>
        <v>9</v>
      </c>
      <c r="E247" s="1" t="str">
        <f>"2"</f>
        <v>2</v>
      </c>
      <c r="F247" s="2">
        <v>23269850.5</v>
      </c>
    </row>
    <row r="248" spans="1:6" x14ac:dyDescent="0.25">
      <c r="A248" s="1">
        <f>("1861")*1</f>
        <v>1861</v>
      </c>
      <c r="B248" s="1" t="str">
        <f>"Дебиторы по гарантиям"</f>
        <v>Дебиторы по гарантиям</v>
      </c>
      <c r="C248" s="1" t="str">
        <f>"1"</f>
        <v>1</v>
      </c>
      <c r="D248" s="1" t="str">
        <f>"7"</f>
        <v>7</v>
      </c>
      <c r="E248" s="1" t="str">
        <f t="shared" ref="E248:E257" si="41">"1"</f>
        <v>1</v>
      </c>
      <c r="F248" s="2">
        <v>1199172566</v>
      </c>
    </row>
    <row r="249" spans="1:6" x14ac:dyDescent="0.25">
      <c r="A249" s="1">
        <f t="shared" ref="A249:A256" si="42">("1867")*1</f>
        <v>1867</v>
      </c>
      <c r="B249" s="1" t="str">
        <f t="shared" ref="B249:B256" si="43">"Прочие дебиторы по неосновной деятельности"</f>
        <v>Прочие дебиторы по неосновной деятельности</v>
      </c>
      <c r="C249" s="1" t="str">
        <f>"1"</f>
        <v>1</v>
      </c>
      <c r="D249" s="1" t="str">
        <f>"1"</f>
        <v>1</v>
      </c>
      <c r="E249" s="1" t="str">
        <f t="shared" si="41"/>
        <v>1</v>
      </c>
      <c r="F249" s="2">
        <v>149291</v>
      </c>
    </row>
    <row r="250" spans="1:6" x14ac:dyDescent="0.25">
      <c r="A250" s="1">
        <f t="shared" si="42"/>
        <v>1867</v>
      </c>
      <c r="B250" s="1" t="str">
        <f t="shared" si="43"/>
        <v>Прочие дебиторы по неосновной деятельности</v>
      </c>
      <c r="C250" s="1" t="str">
        <f>"2"</f>
        <v>2</v>
      </c>
      <c r="D250" s="1" t="str">
        <f>"7"</f>
        <v>7</v>
      </c>
      <c r="E250" s="1" t="str">
        <f t="shared" si="41"/>
        <v>1</v>
      </c>
      <c r="F250" s="2">
        <v>52544403.759999998</v>
      </c>
    </row>
    <row r="251" spans="1:6" x14ac:dyDescent="0.25">
      <c r="A251" s="1">
        <f t="shared" si="42"/>
        <v>1867</v>
      </c>
      <c r="B251" s="1" t="str">
        <f t="shared" si="43"/>
        <v>Прочие дебиторы по неосновной деятельности</v>
      </c>
      <c r="C251" s="1" t="str">
        <f t="shared" ref="C251:C260" si="44">"1"</f>
        <v>1</v>
      </c>
      <c r="D251" s="1" t="str">
        <f>"8"</f>
        <v>8</v>
      </c>
      <c r="E251" s="1" t="str">
        <f t="shared" si="41"/>
        <v>1</v>
      </c>
      <c r="F251" s="2">
        <v>473620</v>
      </c>
    </row>
    <row r="252" spans="1:6" x14ac:dyDescent="0.25">
      <c r="A252" s="1">
        <f t="shared" si="42"/>
        <v>1867</v>
      </c>
      <c r="B252" s="1" t="str">
        <f t="shared" si="43"/>
        <v>Прочие дебиторы по неосновной деятельности</v>
      </c>
      <c r="C252" s="1" t="str">
        <f t="shared" si="44"/>
        <v>1</v>
      </c>
      <c r="D252" s="1" t="str">
        <f>"5"</f>
        <v>5</v>
      </c>
      <c r="E252" s="1" t="str">
        <f t="shared" si="41"/>
        <v>1</v>
      </c>
      <c r="F252" s="2">
        <v>2754247.4</v>
      </c>
    </row>
    <row r="253" spans="1:6" x14ac:dyDescent="0.25">
      <c r="A253" s="1">
        <f t="shared" si="42"/>
        <v>1867</v>
      </c>
      <c r="B253" s="1" t="str">
        <f t="shared" si="43"/>
        <v>Прочие дебиторы по неосновной деятельности</v>
      </c>
      <c r="C253" s="1" t="str">
        <f t="shared" si="44"/>
        <v>1</v>
      </c>
      <c r="D253" s="1" t="str">
        <f>"4"</f>
        <v>4</v>
      </c>
      <c r="E253" s="1" t="str">
        <f t="shared" si="41"/>
        <v>1</v>
      </c>
      <c r="F253" s="2">
        <v>764900</v>
      </c>
    </row>
    <row r="254" spans="1:6" x14ac:dyDescent="0.25">
      <c r="A254" s="1">
        <f t="shared" si="42"/>
        <v>1867</v>
      </c>
      <c r="B254" s="1" t="str">
        <f t="shared" si="43"/>
        <v>Прочие дебиторы по неосновной деятельности</v>
      </c>
      <c r="C254" s="1" t="str">
        <f t="shared" si="44"/>
        <v>1</v>
      </c>
      <c r="D254" s="1" t="str">
        <f>"7"</f>
        <v>7</v>
      </c>
      <c r="E254" s="1" t="str">
        <f t="shared" si="41"/>
        <v>1</v>
      </c>
      <c r="F254" s="2">
        <v>827578102.79999995</v>
      </c>
    </row>
    <row r="255" spans="1:6" x14ac:dyDescent="0.25">
      <c r="A255" s="1">
        <f t="shared" si="42"/>
        <v>1867</v>
      </c>
      <c r="B255" s="1" t="str">
        <f t="shared" si="43"/>
        <v>Прочие дебиторы по неосновной деятельности</v>
      </c>
      <c r="C255" s="1" t="str">
        <f t="shared" si="44"/>
        <v>1</v>
      </c>
      <c r="D255" s="1" t="str">
        <f>"9"</f>
        <v>9</v>
      </c>
      <c r="E255" s="1" t="str">
        <f t="shared" si="41"/>
        <v>1</v>
      </c>
      <c r="F255" s="2">
        <v>145928299.28999999</v>
      </c>
    </row>
    <row r="256" spans="1:6" x14ac:dyDescent="0.25">
      <c r="A256" s="1">
        <f t="shared" si="42"/>
        <v>1867</v>
      </c>
      <c r="B256" s="1" t="str">
        <f t="shared" si="43"/>
        <v>Прочие дебиторы по неосновной деятельности</v>
      </c>
      <c r="C256" s="1" t="str">
        <f t="shared" si="44"/>
        <v>1</v>
      </c>
      <c r="D256" s="1" t="str">
        <f>"6"</f>
        <v>6</v>
      </c>
      <c r="E256" s="1" t="str">
        <f t="shared" si="41"/>
        <v>1</v>
      </c>
      <c r="F256" s="2">
        <v>517240.91</v>
      </c>
    </row>
    <row r="257" spans="1:6" x14ac:dyDescent="0.25">
      <c r="A257" s="1">
        <f>("1870")*1</f>
        <v>1870</v>
      </c>
      <c r="B257" s="1" t="str">
        <f>"Прочие транзитные счета"</f>
        <v>Прочие транзитные счета</v>
      </c>
      <c r="C257" s="1" t="str">
        <f t="shared" si="44"/>
        <v>1</v>
      </c>
      <c r="D257" s="1" t="str">
        <f>"3"</f>
        <v>3</v>
      </c>
      <c r="E257" s="1" t="str">
        <f t="shared" si="41"/>
        <v>1</v>
      </c>
      <c r="F257" s="2">
        <v>103000000</v>
      </c>
    </row>
    <row r="258" spans="1:6" x14ac:dyDescent="0.25">
      <c r="A258" s="1">
        <f>("1870")*1</f>
        <v>1870</v>
      </c>
      <c r="B258" s="1" t="str">
        <f>"Прочие транзитные счета"</f>
        <v>Прочие транзитные счета</v>
      </c>
      <c r="C258" s="1" t="str">
        <f t="shared" si="44"/>
        <v>1</v>
      </c>
      <c r="D258" s="1" t="str">
        <f>"9"</f>
        <v>9</v>
      </c>
      <c r="E258" s="1" t="str">
        <f>"3"</f>
        <v>3</v>
      </c>
      <c r="F258" s="2">
        <v>1185534.22</v>
      </c>
    </row>
    <row r="259" spans="1:6" x14ac:dyDescent="0.25">
      <c r="A259" s="1">
        <f>("1870")*1</f>
        <v>1870</v>
      </c>
      <c r="B259" s="1" t="str">
        <f>"Прочие транзитные счета"</f>
        <v>Прочие транзитные счета</v>
      </c>
      <c r="C259" s="1" t="str">
        <f t="shared" si="44"/>
        <v>1</v>
      </c>
      <c r="D259" s="1" t="str">
        <f>"9"</f>
        <v>9</v>
      </c>
      <c r="E259" s="1" t="str">
        <f>"2"</f>
        <v>2</v>
      </c>
      <c r="F259" s="2">
        <v>260604753.72999999</v>
      </c>
    </row>
    <row r="260" spans="1:6" x14ac:dyDescent="0.25">
      <c r="A260" s="1">
        <f>("1870")*1</f>
        <v>1870</v>
      </c>
      <c r="B260" s="1" t="str">
        <f>"Прочие транзитные счета"</f>
        <v>Прочие транзитные счета</v>
      </c>
      <c r="C260" s="1" t="str">
        <f t="shared" si="44"/>
        <v>1</v>
      </c>
      <c r="D260" s="1" t="str">
        <f>"9"</f>
        <v>9</v>
      </c>
      <c r="E260" s="1" t="str">
        <f>"1"</f>
        <v>1</v>
      </c>
      <c r="F260" s="2">
        <v>21223253750.380001</v>
      </c>
    </row>
    <row r="261" spans="1:6" x14ac:dyDescent="0.25">
      <c r="A261" s="1">
        <f>("1870")*1</f>
        <v>1870</v>
      </c>
      <c r="B261" s="1" t="str">
        <f>"Прочие транзитные счета"</f>
        <v>Прочие транзитные счета</v>
      </c>
      <c r="C261" s="1" t="str">
        <f>"2"</f>
        <v>2</v>
      </c>
      <c r="D261" s="1" t="str">
        <f>"4"</f>
        <v>4</v>
      </c>
      <c r="E261" s="1" t="str">
        <f>"3"</f>
        <v>3</v>
      </c>
      <c r="F261" s="2">
        <v>59960929.490000002</v>
      </c>
    </row>
    <row r="262" spans="1:6" x14ac:dyDescent="0.25">
      <c r="A262" s="1">
        <f t="shared" ref="A262:A269" si="45">("1877")*1</f>
        <v>1877</v>
      </c>
      <c r="B262" s="1" t="str">
        <f t="shared" ref="B262:B269" si="46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C262" s="1" t="str">
        <f>"2"</f>
        <v>2</v>
      </c>
      <c r="D262" s="1" t="str">
        <f>"7"</f>
        <v>7</v>
      </c>
      <c r="E262" s="1" t="str">
        <f>"3"</f>
        <v>3</v>
      </c>
      <c r="F262" s="2">
        <v>-67722295.090000004</v>
      </c>
    </row>
    <row r="263" spans="1:6" x14ac:dyDescent="0.25">
      <c r="A263" s="1">
        <f t="shared" si="45"/>
        <v>1877</v>
      </c>
      <c r="B263" s="1" t="str">
        <f t="shared" si="46"/>
        <v>Резервы (провизии) по дебиторской задолженности, связанной с банковской деятельностью</v>
      </c>
      <c r="C263" s="1" t="str">
        <f>"2"</f>
        <v>2</v>
      </c>
      <c r="D263" s="1" t="str">
        <f>"7"</f>
        <v>7</v>
      </c>
      <c r="E263" s="1" t="str">
        <f>"1"</f>
        <v>1</v>
      </c>
      <c r="F263" s="2">
        <v>-150957000.02000001</v>
      </c>
    </row>
    <row r="264" spans="1:6" x14ac:dyDescent="0.25">
      <c r="A264" s="1">
        <f t="shared" si="45"/>
        <v>1877</v>
      </c>
      <c r="B264" s="1" t="str">
        <f t="shared" si="46"/>
        <v>Резервы (провизии) по дебиторской задолженности, связанной с банковской деятельностью</v>
      </c>
      <c r="C264" s="1" t="str">
        <f>"1"</f>
        <v>1</v>
      </c>
      <c r="D264" s="1" t="str">
        <f>"7"</f>
        <v>7</v>
      </c>
      <c r="E264" s="1" t="str">
        <f>"1"</f>
        <v>1</v>
      </c>
      <c r="F264" s="2">
        <v>-2753176418.0500002</v>
      </c>
    </row>
    <row r="265" spans="1:6" x14ac:dyDescent="0.25">
      <c r="A265" s="1">
        <f t="shared" si="45"/>
        <v>1877</v>
      </c>
      <c r="B265" s="1" t="str">
        <f t="shared" si="46"/>
        <v>Резервы (провизии) по дебиторской задолженности, связанной с банковской деятельностью</v>
      </c>
      <c r="C265" s="1" t="str">
        <f>"1"</f>
        <v>1</v>
      </c>
      <c r="D265" s="1" t="str">
        <f>"9"</f>
        <v>9</v>
      </c>
      <c r="E265" s="1" t="str">
        <f>"2"</f>
        <v>2</v>
      </c>
      <c r="F265" s="2">
        <v>-11409271.43</v>
      </c>
    </row>
    <row r="266" spans="1:6" x14ac:dyDescent="0.25">
      <c r="A266" s="1">
        <f t="shared" si="45"/>
        <v>1877</v>
      </c>
      <c r="B266" s="1" t="str">
        <f t="shared" si="46"/>
        <v>Резервы (провизии) по дебиторской задолженности, связанной с банковской деятельностью</v>
      </c>
      <c r="C266" s="1" t="str">
        <f>"1"</f>
        <v>1</v>
      </c>
      <c r="D266" s="1" t="str">
        <f>"5"</f>
        <v>5</v>
      </c>
      <c r="E266" s="1" t="str">
        <f>"1"</f>
        <v>1</v>
      </c>
      <c r="F266" s="2">
        <v>-223065.89</v>
      </c>
    </row>
    <row r="267" spans="1:6" x14ac:dyDescent="0.25">
      <c r="A267" s="1">
        <f t="shared" si="45"/>
        <v>1877</v>
      </c>
      <c r="B267" s="1" t="str">
        <f t="shared" si="46"/>
        <v>Резервы (провизии) по дебиторской задолженности, связанной с банковской деятельностью</v>
      </c>
      <c r="C267" s="1" t="str">
        <f>"2"</f>
        <v>2</v>
      </c>
      <c r="D267" s="1" t="str">
        <f>"9"</f>
        <v>9</v>
      </c>
      <c r="E267" s="1" t="str">
        <f>"2"</f>
        <v>2</v>
      </c>
      <c r="F267" s="2">
        <v>-56622.92</v>
      </c>
    </row>
    <row r="268" spans="1:6" x14ac:dyDescent="0.25">
      <c r="A268" s="1">
        <f t="shared" si="45"/>
        <v>1877</v>
      </c>
      <c r="B268" s="1" t="str">
        <f t="shared" si="46"/>
        <v>Резервы (провизии) по дебиторской задолженности, связанной с банковской деятельностью</v>
      </c>
      <c r="C268" s="1" t="str">
        <f>"2"</f>
        <v>2</v>
      </c>
      <c r="D268" s="1" t="str">
        <f>"9"</f>
        <v>9</v>
      </c>
      <c r="E268" s="1" t="str">
        <f t="shared" ref="E268:E277" si="47">"1"</f>
        <v>1</v>
      </c>
      <c r="F268" s="2">
        <v>-3987097.71</v>
      </c>
    </row>
    <row r="269" spans="1:6" x14ac:dyDescent="0.25">
      <c r="A269" s="1">
        <f t="shared" si="45"/>
        <v>1877</v>
      </c>
      <c r="B269" s="1" t="str">
        <f t="shared" si="46"/>
        <v>Резервы (провизии) по дебиторской задолженности, связанной с банковской деятельностью</v>
      </c>
      <c r="C269" s="1" t="str">
        <f>"1"</f>
        <v>1</v>
      </c>
      <c r="D269" s="1" t="str">
        <f>"9"</f>
        <v>9</v>
      </c>
      <c r="E269" s="1" t="str">
        <f t="shared" si="47"/>
        <v>1</v>
      </c>
      <c r="F269" s="2">
        <v>-1823542839.01</v>
      </c>
    </row>
    <row r="270" spans="1:6" x14ac:dyDescent="0.25">
      <c r="A270" s="1">
        <f>("1878")*1</f>
        <v>1878</v>
      </c>
      <c r="B270" s="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70" s="1" t="str">
        <f>"2"</f>
        <v>2</v>
      </c>
      <c r="D270" s="1" t="str">
        <f>"7"</f>
        <v>7</v>
      </c>
      <c r="E270" s="1" t="str">
        <f t="shared" si="47"/>
        <v>1</v>
      </c>
      <c r="F270" s="2">
        <v>-4662500</v>
      </c>
    </row>
    <row r="271" spans="1:6" x14ac:dyDescent="0.25">
      <c r="A271" s="1">
        <f>("1878")*1</f>
        <v>1878</v>
      </c>
      <c r="B271" s="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71" s="1" t="str">
        <f>"1"</f>
        <v>1</v>
      </c>
      <c r="D271" s="1" t="str">
        <f>"7"</f>
        <v>7</v>
      </c>
      <c r="E271" s="1" t="str">
        <f t="shared" si="47"/>
        <v>1</v>
      </c>
      <c r="F271" s="2">
        <v>-1313321.6000000001</v>
      </c>
    </row>
    <row r="272" spans="1:6" x14ac:dyDescent="0.25">
      <c r="A272" s="1">
        <f>("1878")*1</f>
        <v>1878</v>
      </c>
      <c r="B272" s="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72" s="1" t="str">
        <f>"1"</f>
        <v>1</v>
      </c>
      <c r="D272" s="1" t="str">
        <f>"9"</f>
        <v>9</v>
      </c>
      <c r="E272" s="1" t="str">
        <f t="shared" si="47"/>
        <v>1</v>
      </c>
      <c r="F272" s="2">
        <v>-24257434.460000001</v>
      </c>
    </row>
    <row r="273" spans="1:6" x14ac:dyDescent="0.25">
      <c r="A273" s="1">
        <f>("1879")*1</f>
        <v>1879</v>
      </c>
      <c r="B273" s="1" t="str">
        <f>"Начисленная неустойка (штраф, пеня)"</f>
        <v>Начисленная неустойка (штраф, пеня)</v>
      </c>
      <c r="C273" s="1" t="str">
        <f>"2"</f>
        <v>2</v>
      </c>
      <c r="D273" s="1" t="str">
        <f>"7"</f>
        <v>7</v>
      </c>
      <c r="E273" s="1" t="str">
        <f t="shared" si="47"/>
        <v>1</v>
      </c>
      <c r="F273" s="2">
        <v>150957000.02000001</v>
      </c>
    </row>
    <row r="274" spans="1:6" x14ac:dyDescent="0.25">
      <c r="A274" s="1">
        <f>("1879")*1</f>
        <v>1879</v>
      </c>
      <c r="B274" s="1" t="str">
        <f>"Начисленная неустойка (штраф, пеня)"</f>
        <v>Начисленная неустойка (штраф, пеня)</v>
      </c>
      <c r="C274" s="1" t="str">
        <f>"1"</f>
        <v>1</v>
      </c>
      <c r="D274" s="1" t="str">
        <f>"9"</f>
        <v>9</v>
      </c>
      <c r="E274" s="1" t="str">
        <f t="shared" si="47"/>
        <v>1</v>
      </c>
      <c r="F274" s="2">
        <v>540641836.07000005</v>
      </c>
    </row>
    <row r="275" spans="1:6" x14ac:dyDescent="0.25">
      <c r="A275" s="1">
        <f>("1879")*1</f>
        <v>1879</v>
      </c>
      <c r="B275" s="1" t="str">
        <f>"Начисленная неустойка (штраф, пеня)"</f>
        <v>Начисленная неустойка (штраф, пеня)</v>
      </c>
      <c r="C275" s="1" t="str">
        <f>"1"</f>
        <v>1</v>
      </c>
      <c r="D275" s="1" t="str">
        <f>"7"</f>
        <v>7</v>
      </c>
      <c r="E275" s="1" t="str">
        <f t="shared" si="47"/>
        <v>1</v>
      </c>
      <c r="F275" s="2">
        <v>841508307.09000003</v>
      </c>
    </row>
    <row r="276" spans="1:6" x14ac:dyDescent="0.25">
      <c r="A276" s="1">
        <f>("1879")*1</f>
        <v>1879</v>
      </c>
      <c r="B276" s="1" t="str">
        <f>"Начисленная неустойка (штраф, пеня)"</f>
        <v>Начисленная неустойка (штраф, пеня)</v>
      </c>
      <c r="C276" s="1" t="str">
        <f>"2"</f>
        <v>2</v>
      </c>
      <c r="D276" s="1" t="str">
        <f>"9"</f>
        <v>9</v>
      </c>
      <c r="E276" s="1" t="str">
        <f t="shared" si="47"/>
        <v>1</v>
      </c>
      <c r="F276" s="2">
        <v>1398296.42</v>
      </c>
    </row>
    <row r="277" spans="1:6" x14ac:dyDescent="0.25">
      <c r="A277" s="1">
        <f>("1892")*1</f>
        <v>1892</v>
      </c>
      <c r="B277" s="1" t="str">
        <f>"Требования по операциям форвард"</f>
        <v>Требования по операциям форвард</v>
      </c>
      <c r="C277" s="1" t="str">
        <f>"2"</f>
        <v>2</v>
      </c>
      <c r="D277" s="1" t="str">
        <f>"4"</f>
        <v>4</v>
      </c>
      <c r="E277" s="1" t="str">
        <f t="shared" si="47"/>
        <v>1</v>
      </c>
      <c r="F277" s="2">
        <v>38079363.299999997</v>
      </c>
    </row>
    <row r="278" spans="1:6" x14ac:dyDescent="0.25">
      <c r="A278" s="1">
        <f t="shared" ref="A278:A283" si="48">("1894")*1</f>
        <v>1894</v>
      </c>
      <c r="B278" s="1" t="str">
        <f t="shared" ref="B278:B283" si="49">"Требования по операциям спот"</f>
        <v>Требования по операциям спот</v>
      </c>
      <c r="C278" s="1" t="str">
        <f>"2"</f>
        <v>2</v>
      </c>
      <c r="D278" s="1" t="str">
        <f>"4"</f>
        <v>4</v>
      </c>
      <c r="E278" s="1" t="str">
        <f>"3"</f>
        <v>3</v>
      </c>
      <c r="F278" s="2">
        <v>466977960</v>
      </c>
    </row>
    <row r="279" spans="1:6" x14ac:dyDescent="0.25">
      <c r="A279" s="1">
        <f t="shared" si="48"/>
        <v>1894</v>
      </c>
      <c r="B279" s="1" t="str">
        <f t="shared" si="49"/>
        <v>Требования по операциям спот</v>
      </c>
      <c r="C279" s="1" t="str">
        <f>"1"</f>
        <v>1</v>
      </c>
      <c r="D279" s="1" t="str">
        <f>"4"</f>
        <v>4</v>
      </c>
      <c r="E279" s="1" t="str">
        <f>"3"</f>
        <v>3</v>
      </c>
      <c r="F279" s="2">
        <v>11140139000</v>
      </c>
    </row>
    <row r="280" spans="1:6" x14ac:dyDescent="0.25">
      <c r="A280" s="1">
        <f t="shared" si="48"/>
        <v>1894</v>
      </c>
      <c r="B280" s="1" t="str">
        <f t="shared" si="49"/>
        <v>Требования по операциям спот</v>
      </c>
      <c r="C280" s="1" t="str">
        <f>"1"</f>
        <v>1</v>
      </c>
      <c r="D280" s="1" t="str">
        <f>"4"</f>
        <v>4</v>
      </c>
      <c r="E280" s="1" t="str">
        <f>"2"</f>
        <v>2</v>
      </c>
      <c r="F280" s="2">
        <v>11288160000</v>
      </c>
    </row>
    <row r="281" spans="1:6" x14ac:dyDescent="0.25">
      <c r="A281" s="1">
        <f t="shared" si="48"/>
        <v>1894</v>
      </c>
      <c r="B281" s="1" t="str">
        <f t="shared" si="49"/>
        <v>Требования по операциям спот</v>
      </c>
      <c r="C281" s="1" t="str">
        <f>"1"</f>
        <v>1</v>
      </c>
      <c r="D281" s="1" t="str">
        <f>"4"</f>
        <v>4</v>
      </c>
      <c r="E281" s="1" t="str">
        <f>"1"</f>
        <v>1</v>
      </c>
      <c r="F281" s="2">
        <v>6105100000</v>
      </c>
    </row>
    <row r="282" spans="1:6" x14ac:dyDescent="0.25">
      <c r="A282" s="1">
        <f t="shared" si="48"/>
        <v>1894</v>
      </c>
      <c r="B282" s="1" t="str">
        <f t="shared" si="49"/>
        <v>Требования по операциям спот</v>
      </c>
      <c r="C282" s="1" t="str">
        <f>"1"</f>
        <v>1</v>
      </c>
      <c r="D282" s="1" t="str">
        <f>"5"</f>
        <v>5</v>
      </c>
      <c r="E282" s="1" t="str">
        <f>"2"</f>
        <v>2</v>
      </c>
      <c r="F282" s="2">
        <v>1740792660</v>
      </c>
    </row>
    <row r="283" spans="1:6" x14ac:dyDescent="0.25">
      <c r="A283" s="1">
        <f t="shared" si="48"/>
        <v>1894</v>
      </c>
      <c r="B283" s="1" t="str">
        <f t="shared" si="49"/>
        <v>Требования по операциям спот</v>
      </c>
      <c r="C283" s="1" t="str">
        <f>"2"</f>
        <v>2</v>
      </c>
      <c r="D283" s="1" t="str">
        <f t="shared" ref="D283:D288" si="50">"4"</f>
        <v>4</v>
      </c>
      <c r="E283" s="1" t="str">
        <f>"2"</f>
        <v>2</v>
      </c>
      <c r="F283" s="2">
        <v>19735555500</v>
      </c>
    </row>
    <row r="284" spans="1:6" x14ac:dyDescent="0.25">
      <c r="A284" s="1">
        <f>("1895")*1</f>
        <v>1895</v>
      </c>
      <c r="B284" s="1" t="str">
        <f>"Требования по операциям своп"</f>
        <v>Требования по операциям своп</v>
      </c>
      <c r="C284" s="1" t="str">
        <f>"2"</f>
        <v>2</v>
      </c>
      <c r="D284" s="1" t="str">
        <f t="shared" si="50"/>
        <v>4</v>
      </c>
      <c r="E284" s="1" t="str">
        <f>"1"</f>
        <v>1</v>
      </c>
      <c r="F284" s="2">
        <v>56372710</v>
      </c>
    </row>
    <row r="285" spans="1:6" x14ac:dyDescent="0.25">
      <c r="A285" s="1">
        <f>("2013")*1</f>
        <v>2013</v>
      </c>
      <c r="B285" s="1" t="str">
        <f>"Корреспондентские счета других банков"</f>
        <v>Корреспондентские счета других банков</v>
      </c>
      <c r="C285" s="1" t="str">
        <f>"2"</f>
        <v>2</v>
      </c>
      <c r="D285" s="1" t="str">
        <f t="shared" si="50"/>
        <v>4</v>
      </c>
      <c r="E285" s="1" t="str">
        <f>"1"</f>
        <v>1</v>
      </c>
      <c r="F285" s="2">
        <v>455311980.75</v>
      </c>
    </row>
    <row r="286" spans="1:6" x14ac:dyDescent="0.25">
      <c r="A286" s="1">
        <f>("2013")*1</f>
        <v>2013</v>
      </c>
      <c r="B286" s="1" t="str">
        <f>"Корреспондентские счета других банков"</f>
        <v>Корреспондентские счета других банков</v>
      </c>
      <c r="C286" s="1" t="str">
        <f>"1"</f>
        <v>1</v>
      </c>
      <c r="D286" s="1" t="str">
        <f t="shared" si="50"/>
        <v>4</v>
      </c>
      <c r="E286" s="1" t="str">
        <f>"3"</f>
        <v>3</v>
      </c>
      <c r="F286" s="2">
        <v>1622997683.1400001</v>
      </c>
    </row>
    <row r="287" spans="1:6" x14ac:dyDescent="0.25">
      <c r="A287" s="1">
        <f>("2013")*1</f>
        <v>2013</v>
      </c>
      <c r="B287" s="1" t="str">
        <f>"Корреспондентские счета других банков"</f>
        <v>Корреспондентские счета других банков</v>
      </c>
      <c r="C287" s="1" t="str">
        <f>"1"</f>
        <v>1</v>
      </c>
      <c r="D287" s="1" t="str">
        <f t="shared" si="50"/>
        <v>4</v>
      </c>
      <c r="E287" s="1" t="str">
        <f>"2"</f>
        <v>2</v>
      </c>
      <c r="F287" s="2">
        <v>3479484077.02</v>
      </c>
    </row>
    <row r="288" spans="1:6" x14ac:dyDescent="0.25">
      <c r="A288" s="1">
        <f>("2013")*1</f>
        <v>2013</v>
      </c>
      <c r="B288" s="1" t="str">
        <f>"Корреспондентские счета других банков"</f>
        <v>Корреспондентские счета других банков</v>
      </c>
      <c r="C288" s="1" t="str">
        <f>"2"</f>
        <v>2</v>
      </c>
      <c r="D288" s="1" t="str">
        <f t="shared" si="50"/>
        <v>4</v>
      </c>
      <c r="E288" s="1" t="str">
        <f>"2"</f>
        <v>2</v>
      </c>
      <c r="F288" s="2">
        <v>362339091.57999998</v>
      </c>
    </row>
    <row r="289" spans="1:6" x14ac:dyDescent="0.25">
      <c r="A289" s="1">
        <f>("2036")*1</f>
        <v>2036</v>
      </c>
      <c r="B289" s="1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C289" s="1" t="str">
        <f>"1"</f>
        <v>1</v>
      </c>
      <c r="D289" s="1" t="str">
        <f>"1"</f>
        <v>1</v>
      </c>
      <c r="E289" s="1" t="str">
        <f>"1"</f>
        <v>1</v>
      </c>
      <c r="F289" s="2">
        <v>150296247</v>
      </c>
    </row>
    <row r="290" spans="1:6" x14ac:dyDescent="0.25">
      <c r="A290" s="1">
        <f>("2036")*1</f>
        <v>2036</v>
      </c>
      <c r="B290" s="1" t="str">
        <f>"Долгосрочные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холдинга"</f>
        <v>Долгосрочные займы, полученные от Правительства Республики Казахстан, местных исполнительных органов Республики Казахстан и национального управляющего холдинга</v>
      </c>
      <c r="C290" s="1" t="str">
        <f>"1"</f>
        <v>1</v>
      </c>
      <c r="D290" s="1" t="str">
        <f>"1"</f>
        <v>1</v>
      </c>
      <c r="E290" s="1" t="str">
        <f>"2"</f>
        <v>2</v>
      </c>
      <c r="F290" s="2">
        <v>153040169.88</v>
      </c>
    </row>
    <row r="291" spans="1:6" x14ac:dyDescent="0.25">
      <c r="A291" s="1">
        <f>("2056")*1</f>
        <v>2056</v>
      </c>
      <c r="B291" s="1" t="str">
        <f>"Долгосрочные займы, полученные от других банков"</f>
        <v>Долгосрочные займы, полученные от других банков</v>
      </c>
      <c r="C291" s="1" t="str">
        <f t="shared" ref="C291:C298" si="51">"1"</f>
        <v>1</v>
      </c>
      <c r="D291" s="1" t="str">
        <f>"4"</f>
        <v>4</v>
      </c>
      <c r="E291" s="1" t="str">
        <f>"1"</f>
        <v>1</v>
      </c>
      <c r="F291" s="2">
        <v>24080676125.490002</v>
      </c>
    </row>
    <row r="292" spans="1:6" x14ac:dyDescent="0.25">
      <c r="A292" s="1">
        <f>("2066")*1</f>
        <v>2066</v>
      </c>
      <c r="B292" s="1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C292" s="1" t="str">
        <f t="shared" si="51"/>
        <v>1</v>
      </c>
      <c r="D292" s="1" t="str">
        <f>"5"</f>
        <v>5</v>
      </c>
      <c r="E292" s="1" t="str">
        <f>"1"</f>
        <v>1</v>
      </c>
      <c r="F292" s="2">
        <v>36322538604.879997</v>
      </c>
    </row>
    <row r="293" spans="1:6" x14ac:dyDescent="0.25">
      <c r="A293" s="1">
        <f>("2130")*1</f>
        <v>2130</v>
      </c>
      <c r="B293" s="1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C293" s="1" t="str">
        <f t="shared" si="51"/>
        <v>1</v>
      </c>
      <c r="D293" s="1" t="str">
        <f>"4"</f>
        <v>4</v>
      </c>
      <c r="E293" s="1" t="str">
        <f>"2"</f>
        <v>2</v>
      </c>
      <c r="F293" s="2">
        <v>705510000</v>
      </c>
    </row>
    <row r="294" spans="1:6" x14ac:dyDescent="0.25">
      <c r="A294" s="1">
        <f>("2202")*1</f>
        <v>2202</v>
      </c>
      <c r="B294" s="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C294" s="1" t="str">
        <f t="shared" si="51"/>
        <v>1</v>
      </c>
      <c r="D294" s="1" t="str">
        <f>"5"</f>
        <v>5</v>
      </c>
      <c r="E294" s="1" t="str">
        <f>"2"</f>
        <v>2</v>
      </c>
      <c r="F294" s="2">
        <v>2455219825.6500001</v>
      </c>
    </row>
    <row r="295" spans="1:6" x14ac:dyDescent="0.25">
      <c r="A295" s="1">
        <f>("2202")*1</f>
        <v>2202</v>
      </c>
      <c r="B295" s="1" t="str">
        <f>"Неинвестированные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портфелем"</f>
        <v>Неинвестированные остатки на текущих счетах, открытых банками-кастодианами добровольным накопительным пенсионным фондам и организациям, осуществляющим управление инвестиционным портфелем</v>
      </c>
      <c r="C295" s="1" t="str">
        <f t="shared" si="51"/>
        <v>1</v>
      </c>
      <c r="D295" s="1" t="str">
        <f>"5"</f>
        <v>5</v>
      </c>
      <c r="E295" s="1" t="str">
        <f>"1"</f>
        <v>1</v>
      </c>
      <c r="F295" s="2">
        <v>86443517.299999997</v>
      </c>
    </row>
    <row r="296" spans="1:6" x14ac:dyDescent="0.25">
      <c r="A296" s="1">
        <f t="shared" ref="A296:A318" si="52">("2203")*1</f>
        <v>2203</v>
      </c>
      <c r="B296" s="1" t="str">
        <f t="shared" ref="B296:B318" si="53">"Текущие счета юридических лиц"</f>
        <v>Текущие счета юридических лиц</v>
      </c>
      <c r="C296" s="1" t="str">
        <f t="shared" si="51"/>
        <v>1</v>
      </c>
      <c r="D296" s="1" t="str">
        <f>"2"</f>
        <v>2</v>
      </c>
      <c r="E296" s="1" t="str">
        <f>"1"</f>
        <v>1</v>
      </c>
      <c r="F296" s="2">
        <v>37530821.369999997</v>
      </c>
    </row>
    <row r="297" spans="1:6" x14ac:dyDescent="0.25">
      <c r="A297" s="1">
        <f t="shared" si="52"/>
        <v>2203</v>
      </c>
      <c r="B297" s="1" t="str">
        <f t="shared" si="53"/>
        <v>Текущие счета юридических лиц</v>
      </c>
      <c r="C297" s="1" t="str">
        <f t="shared" si="51"/>
        <v>1</v>
      </c>
      <c r="D297" s="1" t="str">
        <f>"7"</f>
        <v>7</v>
      </c>
      <c r="E297" s="1" t="str">
        <f>"3"</f>
        <v>3</v>
      </c>
      <c r="F297" s="2">
        <v>2774550724.3899999</v>
      </c>
    </row>
    <row r="298" spans="1:6" x14ac:dyDescent="0.25">
      <c r="A298" s="1">
        <f t="shared" si="52"/>
        <v>2203</v>
      </c>
      <c r="B298" s="1" t="str">
        <f t="shared" si="53"/>
        <v>Текущие счета юридических лиц</v>
      </c>
      <c r="C298" s="1" t="str">
        <f t="shared" si="51"/>
        <v>1</v>
      </c>
      <c r="D298" s="1" t="str">
        <f>"6"</f>
        <v>6</v>
      </c>
      <c r="E298" s="1" t="str">
        <f>"2"</f>
        <v>2</v>
      </c>
      <c r="F298" s="2">
        <v>970598083.52999997</v>
      </c>
    </row>
    <row r="299" spans="1:6" x14ac:dyDescent="0.25">
      <c r="A299" s="1">
        <f t="shared" si="52"/>
        <v>2203</v>
      </c>
      <c r="B299" s="1" t="str">
        <f t="shared" si="53"/>
        <v>Текущие счета юридических лиц</v>
      </c>
      <c r="C299" s="1" t="str">
        <f>"2"</f>
        <v>2</v>
      </c>
      <c r="D299" s="1" t="str">
        <f>"8"</f>
        <v>8</v>
      </c>
      <c r="E299" s="1" t="str">
        <f>"2"</f>
        <v>2</v>
      </c>
      <c r="F299" s="2">
        <v>14930943.300000001</v>
      </c>
    </row>
    <row r="300" spans="1:6" x14ac:dyDescent="0.25">
      <c r="A300" s="1">
        <f t="shared" si="52"/>
        <v>2203</v>
      </c>
      <c r="B300" s="1" t="str">
        <f t="shared" si="53"/>
        <v>Текущие счета юридических лиц</v>
      </c>
      <c r="C300" s="1" t="str">
        <f>"1"</f>
        <v>1</v>
      </c>
      <c r="D300" s="1" t="str">
        <f>"5"</f>
        <v>5</v>
      </c>
      <c r="E300" s="1" t="str">
        <f>"3"</f>
        <v>3</v>
      </c>
      <c r="F300" s="2">
        <v>462591927.12</v>
      </c>
    </row>
    <row r="301" spans="1:6" x14ac:dyDescent="0.25">
      <c r="A301" s="1">
        <f t="shared" si="52"/>
        <v>2203</v>
      </c>
      <c r="B301" s="1" t="str">
        <f t="shared" si="53"/>
        <v>Текущие счета юридических лиц</v>
      </c>
      <c r="C301" s="1" t="str">
        <f>"1"</f>
        <v>1</v>
      </c>
      <c r="D301" s="1" t="str">
        <f>"6"</f>
        <v>6</v>
      </c>
      <c r="E301" s="1" t="str">
        <f>"3"</f>
        <v>3</v>
      </c>
      <c r="F301" s="2">
        <v>326654.78000000003</v>
      </c>
    </row>
    <row r="302" spans="1:6" x14ac:dyDescent="0.25">
      <c r="A302" s="1">
        <f t="shared" si="52"/>
        <v>2203</v>
      </c>
      <c r="B302" s="1" t="str">
        <f t="shared" si="53"/>
        <v>Текущие счета юридических лиц</v>
      </c>
      <c r="C302" s="1" t="str">
        <f>"2"</f>
        <v>2</v>
      </c>
      <c r="D302" s="1" t="str">
        <f>"1"</f>
        <v>1</v>
      </c>
      <c r="E302" s="1" t="str">
        <f>"2"</f>
        <v>2</v>
      </c>
      <c r="F302" s="2">
        <v>23757611.66</v>
      </c>
    </row>
    <row r="303" spans="1:6" x14ac:dyDescent="0.25">
      <c r="A303" s="1">
        <f t="shared" si="52"/>
        <v>2203</v>
      </c>
      <c r="B303" s="1" t="str">
        <f t="shared" si="53"/>
        <v>Текущие счета юридических лиц</v>
      </c>
      <c r="C303" s="1" t="str">
        <f>"2"</f>
        <v>2</v>
      </c>
      <c r="D303" s="1" t="str">
        <f>"7"</f>
        <v>7</v>
      </c>
      <c r="E303" s="1" t="str">
        <f>"3"</f>
        <v>3</v>
      </c>
      <c r="F303" s="2">
        <v>7459037160.6999998</v>
      </c>
    </row>
    <row r="304" spans="1:6" x14ac:dyDescent="0.25">
      <c r="A304" s="1">
        <f t="shared" si="52"/>
        <v>2203</v>
      </c>
      <c r="B304" s="1" t="str">
        <f t="shared" si="53"/>
        <v>Текущие счета юридических лиц</v>
      </c>
      <c r="C304" s="1" t="str">
        <f>"2"</f>
        <v>2</v>
      </c>
      <c r="D304" s="1" t="str">
        <f>"5"</f>
        <v>5</v>
      </c>
      <c r="E304" s="1" t="str">
        <f>"2"</f>
        <v>2</v>
      </c>
      <c r="F304" s="2">
        <v>3462563665.54</v>
      </c>
    </row>
    <row r="305" spans="1:6" x14ac:dyDescent="0.25">
      <c r="A305" s="1">
        <f t="shared" si="52"/>
        <v>2203</v>
      </c>
      <c r="B305" s="1" t="str">
        <f t="shared" si="53"/>
        <v>Текущие счета юридических лиц</v>
      </c>
      <c r="C305" s="1" t="str">
        <f>"2"</f>
        <v>2</v>
      </c>
      <c r="D305" s="1" t="str">
        <f>"7"</f>
        <v>7</v>
      </c>
      <c r="E305" s="1" t="str">
        <f>"2"</f>
        <v>2</v>
      </c>
      <c r="F305" s="2">
        <v>83522838578.190002</v>
      </c>
    </row>
    <row r="306" spans="1:6" x14ac:dyDescent="0.25">
      <c r="A306" s="1">
        <f t="shared" si="52"/>
        <v>2203</v>
      </c>
      <c r="B306" s="1" t="str">
        <f t="shared" si="53"/>
        <v>Текущие счета юридических лиц</v>
      </c>
      <c r="C306" s="1" t="str">
        <f>"1"</f>
        <v>1</v>
      </c>
      <c r="D306" s="1" t="str">
        <f>"8"</f>
        <v>8</v>
      </c>
      <c r="E306" s="1" t="str">
        <f>"3"</f>
        <v>3</v>
      </c>
      <c r="F306" s="2">
        <v>1452031.88</v>
      </c>
    </row>
    <row r="307" spans="1:6" x14ac:dyDescent="0.25">
      <c r="A307" s="1">
        <f t="shared" si="52"/>
        <v>2203</v>
      </c>
      <c r="B307" s="1" t="str">
        <f t="shared" si="53"/>
        <v>Текущие счета юридических лиц</v>
      </c>
      <c r="C307" s="1" t="str">
        <f>"2"</f>
        <v>2</v>
      </c>
      <c r="D307" s="1" t="str">
        <f>"1"</f>
        <v>1</v>
      </c>
      <c r="E307" s="1" t="str">
        <f>"1"</f>
        <v>1</v>
      </c>
      <c r="F307" s="2">
        <v>36778048.390000001</v>
      </c>
    </row>
    <row r="308" spans="1:6" x14ac:dyDescent="0.25">
      <c r="A308" s="1">
        <f t="shared" si="52"/>
        <v>2203</v>
      </c>
      <c r="B308" s="1" t="str">
        <f t="shared" si="53"/>
        <v>Текущие счета юридических лиц</v>
      </c>
      <c r="C308" s="1" t="str">
        <f>"1"</f>
        <v>1</v>
      </c>
      <c r="D308" s="1" t="str">
        <f>"8"</f>
        <v>8</v>
      </c>
      <c r="E308" s="1" t="str">
        <f>"1"</f>
        <v>1</v>
      </c>
      <c r="F308" s="2">
        <v>3121534844.0999999</v>
      </c>
    </row>
    <row r="309" spans="1:6" x14ac:dyDescent="0.25">
      <c r="A309" s="1">
        <f t="shared" si="52"/>
        <v>2203</v>
      </c>
      <c r="B309" s="1" t="str">
        <f t="shared" si="53"/>
        <v>Текущие счета юридических лиц</v>
      </c>
      <c r="C309" s="1" t="str">
        <f>"1"</f>
        <v>1</v>
      </c>
      <c r="D309" s="1" t="str">
        <f>"8"</f>
        <v>8</v>
      </c>
      <c r="E309" s="1" t="str">
        <f>"2"</f>
        <v>2</v>
      </c>
      <c r="F309" s="2">
        <v>327120482.55000001</v>
      </c>
    </row>
    <row r="310" spans="1:6" x14ac:dyDescent="0.25">
      <c r="A310" s="1">
        <f t="shared" si="52"/>
        <v>2203</v>
      </c>
      <c r="B310" s="1" t="str">
        <f t="shared" si="53"/>
        <v>Текущие счета юридических лиц</v>
      </c>
      <c r="C310" s="1" t="str">
        <f>"1"</f>
        <v>1</v>
      </c>
      <c r="D310" s="1" t="str">
        <f>"5"</f>
        <v>5</v>
      </c>
      <c r="E310" s="1" t="str">
        <f>"2"</f>
        <v>2</v>
      </c>
      <c r="F310" s="2">
        <v>13450038041.379999</v>
      </c>
    </row>
    <row r="311" spans="1:6" x14ac:dyDescent="0.25">
      <c r="A311" s="1">
        <f t="shared" si="52"/>
        <v>2203</v>
      </c>
      <c r="B311" s="1" t="str">
        <f t="shared" si="53"/>
        <v>Текущие счета юридических лиц</v>
      </c>
      <c r="C311" s="1" t="str">
        <f>"1"</f>
        <v>1</v>
      </c>
      <c r="D311" s="1" t="str">
        <f>"6"</f>
        <v>6</v>
      </c>
      <c r="E311" s="1" t="str">
        <f>"1"</f>
        <v>1</v>
      </c>
      <c r="F311" s="2">
        <v>21935344171.599998</v>
      </c>
    </row>
    <row r="312" spans="1:6" x14ac:dyDescent="0.25">
      <c r="A312" s="1">
        <f t="shared" si="52"/>
        <v>2203</v>
      </c>
      <c r="B312" s="1" t="str">
        <f t="shared" si="53"/>
        <v>Текущие счета юридических лиц</v>
      </c>
      <c r="C312" s="1" t="str">
        <f>"2"</f>
        <v>2</v>
      </c>
      <c r="D312" s="1" t="str">
        <f>"5"</f>
        <v>5</v>
      </c>
      <c r="E312" s="1" t="str">
        <f>"1"</f>
        <v>1</v>
      </c>
      <c r="F312" s="2">
        <v>88337749.349999994</v>
      </c>
    </row>
    <row r="313" spans="1:6" x14ac:dyDescent="0.25">
      <c r="A313" s="1">
        <f t="shared" si="52"/>
        <v>2203</v>
      </c>
      <c r="B313" s="1" t="str">
        <f t="shared" si="53"/>
        <v>Текущие счета юридических лиц</v>
      </c>
      <c r="C313" s="1" t="str">
        <f>"2"</f>
        <v>2</v>
      </c>
      <c r="D313" s="1" t="str">
        <f>"8"</f>
        <v>8</v>
      </c>
      <c r="E313" s="1" t="str">
        <f>"1"</f>
        <v>1</v>
      </c>
      <c r="F313" s="2">
        <v>1781300.52</v>
      </c>
    </row>
    <row r="314" spans="1:6" x14ac:dyDescent="0.25">
      <c r="A314" s="1">
        <f t="shared" si="52"/>
        <v>2203</v>
      </c>
      <c r="B314" s="1" t="str">
        <f t="shared" si="53"/>
        <v>Текущие счета юридических лиц</v>
      </c>
      <c r="C314" s="1" t="str">
        <f>"2"</f>
        <v>2</v>
      </c>
      <c r="D314" s="1" t="str">
        <f>"5"</f>
        <v>5</v>
      </c>
      <c r="E314" s="1" t="str">
        <f>"3"</f>
        <v>3</v>
      </c>
      <c r="F314" s="2">
        <v>4032821.46</v>
      </c>
    </row>
    <row r="315" spans="1:6" x14ac:dyDescent="0.25">
      <c r="A315" s="1">
        <f t="shared" si="52"/>
        <v>2203</v>
      </c>
      <c r="B315" s="1" t="str">
        <f t="shared" si="53"/>
        <v>Текущие счета юридических лиц</v>
      </c>
      <c r="C315" s="1" t="str">
        <f>"1"</f>
        <v>1</v>
      </c>
      <c r="D315" s="1" t="str">
        <f>"5"</f>
        <v>5</v>
      </c>
      <c r="E315" s="1" t="str">
        <f>"1"</f>
        <v>1</v>
      </c>
      <c r="F315" s="2">
        <v>2028150238.1199999</v>
      </c>
    </row>
    <row r="316" spans="1:6" x14ac:dyDescent="0.25">
      <c r="A316" s="1">
        <f t="shared" si="52"/>
        <v>2203</v>
      </c>
      <c r="B316" s="1" t="str">
        <f t="shared" si="53"/>
        <v>Текущие счета юридических лиц</v>
      </c>
      <c r="C316" s="1" t="str">
        <f>"2"</f>
        <v>2</v>
      </c>
      <c r="D316" s="1" t="str">
        <f>"7"</f>
        <v>7</v>
      </c>
      <c r="E316" s="1" t="str">
        <f>"1"</f>
        <v>1</v>
      </c>
      <c r="F316" s="2">
        <v>412223223.81999999</v>
      </c>
    </row>
    <row r="317" spans="1:6" x14ac:dyDescent="0.25">
      <c r="A317" s="1">
        <f t="shared" si="52"/>
        <v>2203</v>
      </c>
      <c r="B317" s="1" t="str">
        <f t="shared" si="53"/>
        <v>Текущие счета юридических лиц</v>
      </c>
      <c r="C317" s="1" t="str">
        <f>"1"</f>
        <v>1</v>
      </c>
      <c r="D317" s="1" t="str">
        <f>"7"</f>
        <v>7</v>
      </c>
      <c r="E317" s="1" t="str">
        <f>"1"</f>
        <v>1</v>
      </c>
      <c r="F317" s="2">
        <v>64722923984.089996</v>
      </c>
    </row>
    <row r="318" spans="1:6" x14ac:dyDescent="0.25">
      <c r="A318" s="1">
        <f t="shared" si="52"/>
        <v>2203</v>
      </c>
      <c r="B318" s="1" t="str">
        <f t="shared" si="53"/>
        <v>Текущие счета юридических лиц</v>
      </c>
      <c r="C318" s="1" t="str">
        <f>"1"</f>
        <v>1</v>
      </c>
      <c r="D318" s="1" t="str">
        <f>"7"</f>
        <v>7</v>
      </c>
      <c r="E318" s="1" t="str">
        <f>"2"</f>
        <v>2</v>
      </c>
      <c r="F318" s="2">
        <v>32816760725.16</v>
      </c>
    </row>
    <row r="319" spans="1:6" x14ac:dyDescent="0.25">
      <c r="A319" s="1">
        <f t="shared" ref="A319:A324" si="54">("2204")*1</f>
        <v>2204</v>
      </c>
      <c r="B319" s="1" t="str">
        <f t="shared" ref="B319:B324" si="55">"Текущие счета физических лиц"</f>
        <v>Текущие счета физических лиц</v>
      </c>
      <c r="C319" s="1" t="str">
        <f>"1"</f>
        <v>1</v>
      </c>
      <c r="D319" s="1" t="str">
        <f t="shared" ref="D319:D344" si="56">"9"</f>
        <v>9</v>
      </c>
      <c r="E319" s="1" t="str">
        <f>"3"</f>
        <v>3</v>
      </c>
      <c r="F319" s="2">
        <v>1199021531.8199999</v>
      </c>
    </row>
    <row r="320" spans="1:6" x14ac:dyDescent="0.25">
      <c r="A320" s="1">
        <f t="shared" si="54"/>
        <v>2204</v>
      </c>
      <c r="B320" s="1" t="str">
        <f t="shared" si="55"/>
        <v>Текущие счета физических лиц</v>
      </c>
      <c r="C320" s="1" t="str">
        <f>"1"</f>
        <v>1</v>
      </c>
      <c r="D320" s="1" t="str">
        <f t="shared" si="56"/>
        <v>9</v>
      </c>
      <c r="E320" s="1" t="str">
        <f>"1"</f>
        <v>1</v>
      </c>
      <c r="F320" s="2">
        <v>47884771155.209999</v>
      </c>
    </row>
    <row r="321" spans="1:6" x14ac:dyDescent="0.25">
      <c r="A321" s="1">
        <f t="shared" si="54"/>
        <v>2204</v>
      </c>
      <c r="B321" s="1" t="str">
        <f t="shared" si="55"/>
        <v>Текущие счета физических лиц</v>
      </c>
      <c r="C321" s="1" t="str">
        <f>"2"</f>
        <v>2</v>
      </c>
      <c r="D321" s="1" t="str">
        <f t="shared" si="56"/>
        <v>9</v>
      </c>
      <c r="E321" s="1" t="str">
        <f>"2"</f>
        <v>2</v>
      </c>
      <c r="F321" s="2">
        <v>74451657631.279999</v>
      </c>
    </row>
    <row r="322" spans="1:6" x14ac:dyDescent="0.25">
      <c r="A322" s="1">
        <f t="shared" si="54"/>
        <v>2204</v>
      </c>
      <c r="B322" s="1" t="str">
        <f t="shared" si="55"/>
        <v>Текущие счета физических лиц</v>
      </c>
      <c r="C322" s="1" t="str">
        <f>"2"</f>
        <v>2</v>
      </c>
      <c r="D322" s="1" t="str">
        <f t="shared" si="56"/>
        <v>9</v>
      </c>
      <c r="E322" s="1" t="str">
        <f>"3"</f>
        <v>3</v>
      </c>
      <c r="F322" s="2">
        <v>2124330983.1500001</v>
      </c>
    </row>
    <row r="323" spans="1:6" x14ac:dyDescent="0.25">
      <c r="A323" s="1">
        <f t="shared" si="54"/>
        <v>2204</v>
      </c>
      <c r="B323" s="1" t="str">
        <f t="shared" si="55"/>
        <v>Текущие счета физических лиц</v>
      </c>
      <c r="C323" s="1" t="str">
        <f>"2"</f>
        <v>2</v>
      </c>
      <c r="D323" s="1" t="str">
        <f t="shared" si="56"/>
        <v>9</v>
      </c>
      <c r="E323" s="1" t="str">
        <f>"1"</f>
        <v>1</v>
      </c>
      <c r="F323" s="2">
        <v>2220043309.0500002</v>
      </c>
    </row>
    <row r="324" spans="1:6" x14ac:dyDescent="0.25">
      <c r="A324" s="1">
        <f t="shared" si="54"/>
        <v>2204</v>
      </c>
      <c r="B324" s="1" t="str">
        <f t="shared" si="55"/>
        <v>Текущие счета физических лиц</v>
      </c>
      <c r="C324" s="1" t="str">
        <f>"1"</f>
        <v>1</v>
      </c>
      <c r="D324" s="1" t="str">
        <f t="shared" si="56"/>
        <v>9</v>
      </c>
      <c r="E324" s="1" t="str">
        <f>"2"</f>
        <v>2</v>
      </c>
      <c r="F324" s="2">
        <v>13646219242.41</v>
      </c>
    </row>
    <row r="325" spans="1:6" x14ac:dyDescent="0.25">
      <c r="A325" s="1">
        <f t="shared" ref="A325:A330" si="57">("2205")*1</f>
        <v>2205</v>
      </c>
      <c r="B325" s="1" t="str">
        <f t="shared" ref="B325:B330" si="58">"Вклады до востребования физических лиц"</f>
        <v>Вклады до востребования физических лиц</v>
      </c>
      <c r="C325" s="1" t="str">
        <f>"1"</f>
        <v>1</v>
      </c>
      <c r="D325" s="1" t="str">
        <f t="shared" si="56"/>
        <v>9</v>
      </c>
      <c r="E325" s="1" t="str">
        <f>"2"</f>
        <v>2</v>
      </c>
      <c r="F325" s="2">
        <v>3231327463.5100002</v>
      </c>
    </row>
    <row r="326" spans="1:6" x14ac:dyDescent="0.25">
      <c r="A326" s="1">
        <f t="shared" si="57"/>
        <v>2205</v>
      </c>
      <c r="B326" s="1" t="str">
        <f t="shared" si="58"/>
        <v>Вклады до востребования физических лиц</v>
      </c>
      <c r="C326" s="1" t="str">
        <f>"1"</f>
        <v>1</v>
      </c>
      <c r="D326" s="1" t="str">
        <f t="shared" si="56"/>
        <v>9</v>
      </c>
      <c r="E326" s="1" t="str">
        <f>"1"</f>
        <v>1</v>
      </c>
      <c r="F326" s="2">
        <v>15251309.6</v>
      </c>
    </row>
    <row r="327" spans="1:6" x14ac:dyDescent="0.25">
      <c r="A327" s="1">
        <f t="shared" si="57"/>
        <v>2205</v>
      </c>
      <c r="B327" s="1" t="str">
        <f t="shared" si="58"/>
        <v>Вклады до востребования физических лиц</v>
      </c>
      <c r="C327" s="1" t="str">
        <f>"2"</f>
        <v>2</v>
      </c>
      <c r="D327" s="1" t="str">
        <f t="shared" si="56"/>
        <v>9</v>
      </c>
      <c r="E327" s="1" t="str">
        <f>"2"</f>
        <v>2</v>
      </c>
      <c r="F327" s="2">
        <v>22994875158.540001</v>
      </c>
    </row>
    <row r="328" spans="1:6" x14ac:dyDescent="0.25">
      <c r="A328" s="1">
        <f t="shared" si="57"/>
        <v>2205</v>
      </c>
      <c r="B328" s="1" t="str">
        <f t="shared" si="58"/>
        <v>Вклады до востребования физических лиц</v>
      </c>
      <c r="C328" s="1" t="str">
        <f>"1"</f>
        <v>1</v>
      </c>
      <c r="D328" s="1" t="str">
        <f t="shared" si="56"/>
        <v>9</v>
      </c>
      <c r="E328" s="1" t="str">
        <f>"3"</f>
        <v>3</v>
      </c>
      <c r="F328" s="2">
        <v>9052.74</v>
      </c>
    </row>
    <row r="329" spans="1:6" x14ac:dyDescent="0.25">
      <c r="A329" s="1">
        <f t="shared" si="57"/>
        <v>2205</v>
      </c>
      <c r="B329" s="1" t="str">
        <f t="shared" si="58"/>
        <v>Вклады до востребования физических лиц</v>
      </c>
      <c r="C329" s="1" t="str">
        <f>"2"</f>
        <v>2</v>
      </c>
      <c r="D329" s="1" t="str">
        <f t="shared" si="56"/>
        <v>9</v>
      </c>
      <c r="E329" s="1" t="str">
        <f>"1"</f>
        <v>1</v>
      </c>
      <c r="F329" s="2">
        <v>7785651.4900000002</v>
      </c>
    </row>
    <row r="330" spans="1:6" x14ac:dyDescent="0.25">
      <c r="A330" s="1">
        <f t="shared" si="57"/>
        <v>2205</v>
      </c>
      <c r="B330" s="1" t="str">
        <f t="shared" si="58"/>
        <v>Вклады до востребования физических лиц</v>
      </c>
      <c r="C330" s="1" t="str">
        <f>"2"</f>
        <v>2</v>
      </c>
      <c r="D330" s="1" t="str">
        <f t="shared" si="56"/>
        <v>9</v>
      </c>
      <c r="E330" s="1" t="str">
        <f>"3"</f>
        <v>3</v>
      </c>
      <c r="F330" s="2">
        <v>22585680.07</v>
      </c>
    </row>
    <row r="331" spans="1:6" x14ac:dyDescent="0.25">
      <c r="A331" s="1">
        <f t="shared" ref="A331:A336" si="59">("2206")*1</f>
        <v>2206</v>
      </c>
      <c r="B331" s="1" t="str">
        <f t="shared" ref="B331:B336" si="60">"Краткосрочные вклады физических лиц"</f>
        <v>Краткосрочные вклады физических лиц</v>
      </c>
      <c r="C331" s="1" t="str">
        <f>"1"</f>
        <v>1</v>
      </c>
      <c r="D331" s="1" t="str">
        <f t="shared" si="56"/>
        <v>9</v>
      </c>
      <c r="E331" s="1" t="str">
        <f>"1"</f>
        <v>1</v>
      </c>
      <c r="F331" s="2">
        <v>67215405204.440002</v>
      </c>
    </row>
    <row r="332" spans="1:6" x14ac:dyDescent="0.25">
      <c r="A332" s="1">
        <f t="shared" si="59"/>
        <v>2206</v>
      </c>
      <c r="B332" s="1" t="str">
        <f t="shared" si="60"/>
        <v>Краткосрочные вклады физических лиц</v>
      </c>
      <c r="C332" s="1" t="str">
        <f>"2"</f>
        <v>2</v>
      </c>
      <c r="D332" s="1" t="str">
        <f t="shared" si="56"/>
        <v>9</v>
      </c>
      <c r="E332" s="1" t="str">
        <f>"3"</f>
        <v>3</v>
      </c>
      <c r="F332" s="2">
        <v>38262870.859999999</v>
      </c>
    </row>
    <row r="333" spans="1:6" x14ac:dyDescent="0.25">
      <c r="A333" s="1">
        <f t="shared" si="59"/>
        <v>2206</v>
      </c>
      <c r="B333" s="1" t="str">
        <f t="shared" si="60"/>
        <v>Краткосрочные вклады физических лиц</v>
      </c>
      <c r="C333" s="1" t="str">
        <f>"1"</f>
        <v>1</v>
      </c>
      <c r="D333" s="1" t="str">
        <f t="shared" si="56"/>
        <v>9</v>
      </c>
      <c r="E333" s="1" t="str">
        <f>"3"</f>
        <v>3</v>
      </c>
      <c r="F333" s="2">
        <v>1819118518.78</v>
      </c>
    </row>
    <row r="334" spans="1:6" x14ac:dyDescent="0.25">
      <c r="A334" s="1">
        <f t="shared" si="59"/>
        <v>2206</v>
      </c>
      <c r="B334" s="1" t="str">
        <f t="shared" si="60"/>
        <v>Краткосрочные вклады физических лиц</v>
      </c>
      <c r="C334" s="1" t="str">
        <f>"2"</f>
        <v>2</v>
      </c>
      <c r="D334" s="1" t="str">
        <f t="shared" si="56"/>
        <v>9</v>
      </c>
      <c r="E334" s="1" t="str">
        <f>"1"</f>
        <v>1</v>
      </c>
      <c r="F334" s="2">
        <v>552617848.75999999</v>
      </c>
    </row>
    <row r="335" spans="1:6" x14ac:dyDescent="0.25">
      <c r="A335" s="1">
        <f t="shared" si="59"/>
        <v>2206</v>
      </c>
      <c r="B335" s="1" t="str">
        <f t="shared" si="60"/>
        <v>Краткосрочные вклады физических лиц</v>
      </c>
      <c r="C335" s="1" t="str">
        <f>"2"</f>
        <v>2</v>
      </c>
      <c r="D335" s="1" t="str">
        <f t="shared" si="56"/>
        <v>9</v>
      </c>
      <c r="E335" s="1" t="str">
        <f>"2"</f>
        <v>2</v>
      </c>
      <c r="F335" s="2">
        <v>3087077830.7199998</v>
      </c>
    </row>
    <row r="336" spans="1:6" x14ac:dyDescent="0.25">
      <c r="A336" s="1">
        <f t="shared" si="59"/>
        <v>2206</v>
      </c>
      <c r="B336" s="1" t="str">
        <f t="shared" si="60"/>
        <v>Краткосрочные вклады физических лиц</v>
      </c>
      <c r="C336" s="1" t="str">
        <f>"1"</f>
        <v>1</v>
      </c>
      <c r="D336" s="1" t="str">
        <f t="shared" si="56"/>
        <v>9</v>
      </c>
      <c r="E336" s="1" t="str">
        <f>"2"</f>
        <v>2</v>
      </c>
      <c r="F336" s="2">
        <v>86673162649.899994</v>
      </c>
    </row>
    <row r="337" spans="1:6" x14ac:dyDescent="0.25">
      <c r="A337" s="1">
        <f t="shared" ref="A337:A342" si="61">("2207")*1</f>
        <v>2207</v>
      </c>
      <c r="B337" s="1" t="str">
        <f t="shared" ref="B337:B342" si="62">"Долгосрочные вклады физических лиц"</f>
        <v>Долгосрочные вклады физических лиц</v>
      </c>
      <c r="C337" s="1" t="str">
        <f>"1"</f>
        <v>1</v>
      </c>
      <c r="D337" s="1" t="str">
        <f t="shared" si="56"/>
        <v>9</v>
      </c>
      <c r="E337" s="1" t="str">
        <f>"3"</f>
        <v>3</v>
      </c>
      <c r="F337" s="2">
        <v>614068522.13</v>
      </c>
    </row>
    <row r="338" spans="1:6" x14ac:dyDescent="0.25">
      <c r="A338" s="1">
        <f t="shared" si="61"/>
        <v>2207</v>
      </c>
      <c r="B338" s="1" t="str">
        <f t="shared" si="62"/>
        <v>Долгосрочные вклады физических лиц</v>
      </c>
      <c r="C338" s="1" t="str">
        <f>"2"</f>
        <v>2</v>
      </c>
      <c r="D338" s="1" t="str">
        <f t="shared" si="56"/>
        <v>9</v>
      </c>
      <c r="E338" s="1" t="str">
        <f>"1"</f>
        <v>1</v>
      </c>
      <c r="F338" s="2">
        <v>1349248797.3099999</v>
      </c>
    </row>
    <row r="339" spans="1:6" x14ac:dyDescent="0.25">
      <c r="A339" s="1">
        <f t="shared" si="61"/>
        <v>2207</v>
      </c>
      <c r="B339" s="1" t="str">
        <f t="shared" si="62"/>
        <v>Долгосрочные вклады физических лиц</v>
      </c>
      <c r="C339" s="1" t="str">
        <f>"1"</f>
        <v>1</v>
      </c>
      <c r="D339" s="1" t="str">
        <f t="shared" si="56"/>
        <v>9</v>
      </c>
      <c r="E339" s="1" t="str">
        <f>"1"</f>
        <v>1</v>
      </c>
      <c r="F339" s="2">
        <v>125031994756.85001</v>
      </c>
    </row>
    <row r="340" spans="1:6" x14ac:dyDescent="0.25">
      <c r="A340" s="1">
        <f t="shared" si="61"/>
        <v>2207</v>
      </c>
      <c r="B340" s="1" t="str">
        <f t="shared" si="62"/>
        <v>Долгосрочные вклады физических лиц</v>
      </c>
      <c r="C340" s="1" t="str">
        <f>"1"</f>
        <v>1</v>
      </c>
      <c r="D340" s="1" t="str">
        <f t="shared" si="56"/>
        <v>9</v>
      </c>
      <c r="E340" s="1" t="str">
        <f>"2"</f>
        <v>2</v>
      </c>
      <c r="F340" s="2">
        <v>26815875732.43</v>
      </c>
    </row>
    <row r="341" spans="1:6" x14ac:dyDescent="0.25">
      <c r="A341" s="1">
        <f t="shared" si="61"/>
        <v>2207</v>
      </c>
      <c r="B341" s="1" t="str">
        <f t="shared" si="62"/>
        <v>Долгосрочные вклады физических лиц</v>
      </c>
      <c r="C341" s="1" t="str">
        <f>"2"</f>
        <v>2</v>
      </c>
      <c r="D341" s="1" t="str">
        <f t="shared" si="56"/>
        <v>9</v>
      </c>
      <c r="E341" s="1" t="str">
        <f>"2"</f>
        <v>2</v>
      </c>
      <c r="F341" s="2">
        <v>9610650667.3999996</v>
      </c>
    </row>
    <row r="342" spans="1:6" x14ac:dyDescent="0.25">
      <c r="A342" s="1">
        <f t="shared" si="61"/>
        <v>2207</v>
      </c>
      <c r="B342" s="1" t="str">
        <f t="shared" si="62"/>
        <v>Долгосрочные вклады физических лиц</v>
      </c>
      <c r="C342" s="1" t="str">
        <f>"2"</f>
        <v>2</v>
      </c>
      <c r="D342" s="1" t="str">
        <f t="shared" si="56"/>
        <v>9</v>
      </c>
      <c r="E342" s="1" t="str">
        <f>"3"</f>
        <v>3</v>
      </c>
      <c r="F342" s="2">
        <v>3542485.09</v>
      </c>
    </row>
    <row r="343" spans="1:6" x14ac:dyDescent="0.25">
      <c r="A343" s="1">
        <f>("2208")*1</f>
        <v>2208</v>
      </c>
      <c r="B343" s="1" t="str">
        <f>"Условные вклады физических лиц"</f>
        <v>Условные вклады физических лиц</v>
      </c>
      <c r="C343" s="1" t="str">
        <f t="shared" ref="C343:C348" si="63">"1"</f>
        <v>1</v>
      </c>
      <c r="D343" s="1" t="str">
        <f t="shared" si="56"/>
        <v>9</v>
      </c>
      <c r="E343" s="1" t="str">
        <f>"2"</f>
        <v>2</v>
      </c>
      <c r="F343" s="2">
        <v>9551723.75</v>
      </c>
    </row>
    <row r="344" spans="1:6" x14ac:dyDescent="0.25">
      <c r="A344" s="1">
        <f>("2208")*1</f>
        <v>2208</v>
      </c>
      <c r="B344" s="1" t="str">
        <f>"Условные вклады физических лиц"</f>
        <v>Условные вклады физических лиц</v>
      </c>
      <c r="C344" s="1" t="str">
        <f t="shared" si="63"/>
        <v>1</v>
      </c>
      <c r="D344" s="1" t="str">
        <f t="shared" si="56"/>
        <v>9</v>
      </c>
      <c r="E344" s="1" t="str">
        <f>"1"</f>
        <v>1</v>
      </c>
      <c r="F344" s="2">
        <v>2540139.9300000002</v>
      </c>
    </row>
    <row r="345" spans="1:6" x14ac:dyDescent="0.25">
      <c r="A345" s="1">
        <f>("2211")*1</f>
        <v>2211</v>
      </c>
      <c r="B345" s="1" t="str">
        <f>"Вклады до востребования юридических лиц"</f>
        <v>Вклады до востребования юридических лиц</v>
      </c>
      <c r="C345" s="1" t="str">
        <f t="shared" si="63"/>
        <v>1</v>
      </c>
      <c r="D345" s="1" t="str">
        <f>"7"</f>
        <v>7</v>
      </c>
      <c r="E345" s="1" t="str">
        <f>"2"</f>
        <v>2</v>
      </c>
      <c r="F345" s="2">
        <v>21282372</v>
      </c>
    </row>
    <row r="346" spans="1:6" x14ac:dyDescent="0.25">
      <c r="A346" s="1">
        <f>("2211")*1</f>
        <v>2211</v>
      </c>
      <c r="B346" s="1" t="str">
        <f>"Вклады до востребования юридических лиц"</f>
        <v>Вклады до востребования юридических лиц</v>
      </c>
      <c r="C346" s="1" t="str">
        <f t="shared" si="63"/>
        <v>1</v>
      </c>
      <c r="D346" s="1" t="str">
        <f>"7"</f>
        <v>7</v>
      </c>
      <c r="E346" s="1" t="str">
        <f>"1"</f>
        <v>1</v>
      </c>
      <c r="F346" s="2">
        <v>127412482.63</v>
      </c>
    </row>
    <row r="347" spans="1:6" x14ac:dyDescent="0.25">
      <c r="A347" s="1">
        <f>("2211")*1</f>
        <v>2211</v>
      </c>
      <c r="B347" s="1" t="str">
        <f>"Вклады до востребования юридических лиц"</f>
        <v>Вклады до востребования юридических лиц</v>
      </c>
      <c r="C347" s="1" t="str">
        <f t="shared" si="63"/>
        <v>1</v>
      </c>
      <c r="D347" s="1" t="str">
        <f>"5"</f>
        <v>5</v>
      </c>
      <c r="E347" s="1" t="str">
        <f>"1"</f>
        <v>1</v>
      </c>
      <c r="F347" s="2">
        <v>530.92999999999995</v>
      </c>
    </row>
    <row r="348" spans="1:6" x14ac:dyDescent="0.25">
      <c r="A348" s="1">
        <f>("2211")*1</f>
        <v>2211</v>
      </c>
      <c r="B348" s="1" t="str">
        <f>"Вклады до востребования юридических лиц"</f>
        <v>Вклады до востребования юридических лиц</v>
      </c>
      <c r="C348" s="1" t="str">
        <f t="shared" si="63"/>
        <v>1</v>
      </c>
      <c r="D348" s="1" t="str">
        <f>"5"</f>
        <v>5</v>
      </c>
      <c r="E348" s="1" t="str">
        <f>"2"</f>
        <v>2</v>
      </c>
      <c r="F348" s="2">
        <v>4.7</v>
      </c>
    </row>
    <row r="349" spans="1:6" x14ac:dyDescent="0.25">
      <c r="A349" s="1">
        <f>("2211")*1</f>
        <v>2211</v>
      </c>
      <c r="B349" s="1" t="str">
        <f>"Вклады до востребования юридических лиц"</f>
        <v>Вклады до востребования юридических лиц</v>
      </c>
      <c r="C349" s="1" t="str">
        <f>"2"</f>
        <v>2</v>
      </c>
      <c r="D349" s="1" t="str">
        <f>"7"</f>
        <v>7</v>
      </c>
      <c r="E349" s="1" t="str">
        <f>"2"</f>
        <v>2</v>
      </c>
      <c r="F349" s="2">
        <v>506212.84</v>
      </c>
    </row>
    <row r="350" spans="1:6" x14ac:dyDescent="0.25">
      <c r="A350" s="1">
        <f>("2213")*1</f>
        <v>2213</v>
      </c>
      <c r="B350" s="1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C350" s="1" t="str">
        <f>"1"</f>
        <v>1</v>
      </c>
      <c r="D350" s="1" t="str">
        <f>"9"</f>
        <v>9</v>
      </c>
      <c r="E350" s="1" t="str">
        <f>"1"</f>
        <v>1</v>
      </c>
      <c r="F350" s="2">
        <v>3467097651.8899999</v>
      </c>
    </row>
    <row r="351" spans="1:6" x14ac:dyDescent="0.25">
      <c r="A351" s="1">
        <f>("2213")*1</f>
        <v>2213</v>
      </c>
      <c r="B351" s="1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C351" s="1" t="str">
        <f>"1"</f>
        <v>1</v>
      </c>
      <c r="D351" s="1" t="str">
        <f>"9"</f>
        <v>9</v>
      </c>
      <c r="E351" s="1" t="str">
        <f>"2"</f>
        <v>2</v>
      </c>
      <c r="F351" s="2">
        <v>2660685470.02</v>
      </c>
    </row>
    <row r="352" spans="1:6" x14ac:dyDescent="0.25">
      <c r="A352" s="1">
        <f>("2213")*1</f>
        <v>2213</v>
      </c>
      <c r="B352" s="1" t="str">
        <f>"Вклад, являющийся обеспечением обязательств физических лиц"</f>
        <v>Вклад, являющийся обеспечением обязательств физических лиц</v>
      </c>
      <c r="C352" s="1" t="str">
        <f>"2"</f>
        <v>2</v>
      </c>
      <c r="D352" s="1" t="str">
        <f>"9"</f>
        <v>9</v>
      </c>
      <c r="E352" s="1" t="str">
        <f>"1"</f>
        <v>1</v>
      </c>
      <c r="F352" s="2">
        <v>20000</v>
      </c>
    </row>
    <row r="353" spans="1:6" x14ac:dyDescent="0.25">
      <c r="A353" s="1">
        <f>("2214")*1</f>
        <v>2214</v>
      </c>
      <c r="B353" s="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53" s="1" t="str">
        <f>"1"</f>
        <v>1</v>
      </c>
      <c r="D353" s="1" t="str">
        <f>"9"</f>
        <v>9</v>
      </c>
      <c r="E353" s="1" t="str">
        <f>"1"</f>
        <v>1</v>
      </c>
      <c r="F353" s="2">
        <v>81886309844.899994</v>
      </c>
    </row>
    <row r="354" spans="1:6" x14ac:dyDescent="0.25">
      <c r="A354" s="1">
        <f>("2214")*1</f>
        <v>2214</v>
      </c>
      <c r="B354" s="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54" s="1" t="str">
        <f>"2"</f>
        <v>2</v>
      </c>
      <c r="D354" s="1" t="str">
        <f>"9"</f>
        <v>9</v>
      </c>
      <c r="E354" s="1" t="str">
        <f>"1"</f>
        <v>1</v>
      </c>
      <c r="F354" s="2">
        <v>485345737.20999998</v>
      </c>
    </row>
    <row r="355" spans="1:6" x14ac:dyDescent="0.25">
      <c r="A355" s="1">
        <f t="shared" ref="A355:A367" si="64">("2215")*1</f>
        <v>2215</v>
      </c>
      <c r="B355" s="1" t="str">
        <f t="shared" ref="B355:B367" si="65">"Краткосрочные вклады юридических лиц"</f>
        <v>Краткосрочные вклады юридических лиц</v>
      </c>
      <c r="C355" s="1" t="str">
        <f>"1"</f>
        <v>1</v>
      </c>
      <c r="D355" s="1" t="str">
        <f>"6"</f>
        <v>6</v>
      </c>
      <c r="E355" s="1" t="str">
        <f>"1"</f>
        <v>1</v>
      </c>
      <c r="F355" s="2">
        <v>16557263321.93</v>
      </c>
    </row>
    <row r="356" spans="1:6" x14ac:dyDescent="0.25">
      <c r="A356" s="1">
        <f t="shared" si="64"/>
        <v>2215</v>
      </c>
      <c r="B356" s="1" t="str">
        <f t="shared" si="65"/>
        <v>Краткосрочные вклады юридических лиц</v>
      </c>
      <c r="C356" s="1" t="str">
        <f>"2"</f>
        <v>2</v>
      </c>
      <c r="D356" s="1" t="str">
        <f>"7"</f>
        <v>7</v>
      </c>
      <c r="E356" s="1" t="str">
        <f t="shared" ref="E356:E361" si="66">"2"</f>
        <v>2</v>
      </c>
      <c r="F356" s="2">
        <v>10898812.550000001</v>
      </c>
    </row>
    <row r="357" spans="1:6" x14ac:dyDescent="0.25">
      <c r="A357" s="1">
        <f t="shared" si="64"/>
        <v>2215</v>
      </c>
      <c r="B357" s="1" t="str">
        <f t="shared" si="65"/>
        <v>Краткосрочные вклады юридических лиц</v>
      </c>
      <c r="C357" s="1" t="str">
        <f>"1"</f>
        <v>1</v>
      </c>
      <c r="D357" s="1" t="str">
        <f>"5"</f>
        <v>5</v>
      </c>
      <c r="E357" s="1" t="str">
        <f t="shared" si="66"/>
        <v>2</v>
      </c>
      <c r="F357" s="2">
        <v>8925192351.5300007</v>
      </c>
    </row>
    <row r="358" spans="1:6" x14ac:dyDescent="0.25">
      <c r="A358" s="1">
        <f t="shared" si="64"/>
        <v>2215</v>
      </c>
      <c r="B358" s="1" t="str">
        <f t="shared" si="65"/>
        <v>Краткосрочные вклады юридических лиц</v>
      </c>
      <c r="C358" s="1" t="str">
        <f>"2"</f>
        <v>2</v>
      </c>
      <c r="D358" s="1" t="str">
        <f>"5"</f>
        <v>5</v>
      </c>
      <c r="E358" s="1" t="str">
        <f t="shared" si="66"/>
        <v>2</v>
      </c>
      <c r="F358" s="2">
        <v>99128209.329999998</v>
      </c>
    </row>
    <row r="359" spans="1:6" x14ac:dyDescent="0.25">
      <c r="A359" s="1">
        <f t="shared" si="64"/>
        <v>2215</v>
      </c>
      <c r="B359" s="1" t="str">
        <f t="shared" si="65"/>
        <v>Краткосрочные вклады юридических лиц</v>
      </c>
      <c r="C359" s="1" t="str">
        <f t="shared" ref="C359:C366" si="67">"1"</f>
        <v>1</v>
      </c>
      <c r="D359" s="1" t="str">
        <f>"8"</f>
        <v>8</v>
      </c>
      <c r="E359" s="1" t="str">
        <f t="shared" si="66"/>
        <v>2</v>
      </c>
      <c r="F359" s="2">
        <v>101928074.93000001</v>
      </c>
    </row>
    <row r="360" spans="1:6" x14ac:dyDescent="0.25">
      <c r="A360" s="1">
        <f t="shared" si="64"/>
        <v>2215</v>
      </c>
      <c r="B360" s="1" t="str">
        <f t="shared" si="65"/>
        <v>Краткосрочные вклады юридических лиц</v>
      </c>
      <c r="C360" s="1" t="str">
        <f t="shared" si="67"/>
        <v>1</v>
      </c>
      <c r="D360" s="1" t="str">
        <f>"6"</f>
        <v>6</v>
      </c>
      <c r="E360" s="1" t="str">
        <f t="shared" si="66"/>
        <v>2</v>
      </c>
      <c r="F360" s="2">
        <v>2351700000</v>
      </c>
    </row>
    <row r="361" spans="1:6" x14ac:dyDescent="0.25">
      <c r="A361" s="1">
        <f t="shared" si="64"/>
        <v>2215</v>
      </c>
      <c r="B361" s="1" t="str">
        <f t="shared" si="65"/>
        <v>Краткосрочные вклады юридических лиц</v>
      </c>
      <c r="C361" s="1" t="str">
        <f t="shared" si="67"/>
        <v>1</v>
      </c>
      <c r="D361" s="1" t="str">
        <f>"7"</f>
        <v>7</v>
      </c>
      <c r="E361" s="1" t="str">
        <f t="shared" si="66"/>
        <v>2</v>
      </c>
      <c r="F361" s="2">
        <v>89714718847.720001</v>
      </c>
    </row>
    <row r="362" spans="1:6" x14ac:dyDescent="0.25">
      <c r="A362" s="1">
        <f t="shared" si="64"/>
        <v>2215</v>
      </c>
      <c r="B362" s="1" t="str">
        <f t="shared" si="65"/>
        <v>Краткосрочные вклады юридических лиц</v>
      </c>
      <c r="C362" s="1" t="str">
        <f t="shared" si="67"/>
        <v>1</v>
      </c>
      <c r="D362" s="1" t="str">
        <f>"5"</f>
        <v>5</v>
      </c>
      <c r="E362" s="1" t="str">
        <f>"1"</f>
        <v>1</v>
      </c>
      <c r="F362" s="2">
        <v>7166116145.3500004</v>
      </c>
    </row>
    <row r="363" spans="1:6" x14ac:dyDescent="0.25">
      <c r="A363" s="1">
        <f t="shared" si="64"/>
        <v>2215</v>
      </c>
      <c r="B363" s="1" t="str">
        <f t="shared" si="65"/>
        <v>Краткосрочные вклады юридических лиц</v>
      </c>
      <c r="C363" s="1" t="str">
        <f t="shared" si="67"/>
        <v>1</v>
      </c>
      <c r="D363" s="1" t="str">
        <f>"7"</f>
        <v>7</v>
      </c>
      <c r="E363" s="1" t="str">
        <f>"3"</f>
        <v>3</v>
      </c>
      <c r="F363" s="2">
        <v>3935568049.6599998</v>
      </c>
    </row>
    <row r="364" spans="1:6" x14ac:dyDescent="0.25">
      <c r="A364" s="1">
        <f t="shared" si="64"/>
        <v>2215</v>
      </c>
      <c r="B364" s="1" t="str">
        <f t="shared" si="65"/>
        <v>Краткосрочные вклады юридических лиц</v>
      </c>
      <c r="C364" s="1" t="str">
        <f t="shared" si="67"/>
        <v>1</v>
      </c>
      <c r="D364" s="1" t="str">
        <f>"7"</f>
        <v>7</v>
      </c>
      <c r="E364" s="1" t="str">
        <f>"1"</f>
        <v>1</v>
      </c>
      <c r="F364" s="2">
        <v>56984241431.330002</v>
      </c>
    </row>
    <row r="365" spans="1:6" x14ac:dyDescent="0.25">
      <c r="A365" s="1">
        <f t="shared" si="64"/>
        <v>2215</v>
      </c>
      <c r="B365" s="1" t="str">
        <f t="shared" si="65"/>
        <v>Краткосрочные вклады юридических лиц</v>
      </c>
      <c r="C365" s="1" t="str">
        <f t="shared" si="67"/>
        <v>1</v>
      </c>
      <c r="D365" s="1" t="str">
        <f>"8"</f>
        <v>8</v>
      </c>
      <c r="E365" s="1" t="str">
        <f>"1"</f>
        <v>1</v>
      </c>
      <c r="F365" s="2">
        <v>31679396377.490002</v>
      </c>
    </row>
    <row r="366" spans="1:6" x14ac:dyDescent="0.25">
      <c r="A366" s="1">
        <f t="shared" si="64"/>
        <v>2215</v>
      </c>
      <c r="B366" s="1" t="str">
        <f t="shared" si="65"/>
        <v>Краткосрочные вклады юридических лиц</v>
      </c>
      <c r="C366" s="1" t="str">
        <f t="shared" si="67"/>
        <v>1</v>
      </c>
      <c r="D366" s="1" t="str">
        <f>"5"</f>
        <v>5</v>
      </c>
      <c r="E366" s="1" t="str">
        <f>"3"</f>
        <v>3</v>
      </c>
      <c r="F366" s="2">
        <v>6944623314.6999998</v>
      </c>
    </row>
    <row r="367" spans="1:6" x14ac:dyDescent="0.25">
      <c r="A367" s="1">
        <f t="shared" si="64"/>
        <v>2215</v>
      </c>
      <c r="B367" s="1" t="str">
        <f t="shared" si="65"/>
        <v>Краткосрочные вклады юридических лиц</v>
      </c>
      <c r="C367" s="1" t="str">
        <f>"2"</f>
        <v>2</v>
      </c>
      <c r="D367" s="1" t="str">
        <f>"7"</f>
        <v>7</v>
      </c>
      <c r="E367" s="1" t="str">
        <f>"3"</f>
        <v>3</v>
      </c>
      <c r="F367" s="2">
        <v>1689766600</v>
      </c>
    </row>
    <row r="368" spans="1:6" x14ac:dyDescent="0.25">
      <c r="A368" s="1">
        <f t="shared" ref="A368:A377" si="68">("2217")*1</f>
        <v>2217</v>
      </c>
      <c r="B368" s="1" t="str">
        <f t="shared" ref="B368:B377" si="69">"Долгосрочные вклады юридических лиц"</f>
        <v>Долгосрочные вклады юридических лиц</v>
      </c>
      <c r="C368" s="1" t="str">
        <f>"1"</f>
        <v>1</v>
      </c>
      <c r="D368" s="1" t="str">
        <f>"6"</f>
        <v>6</v>
      </c>
      <c r="E368" s="1" t="str">
        <f>"1"</f>
        <v>1</v>
      </c>
      <c r="F368" s="2">
        <v>9090683012.2900009</v>
      </c>
    </row>
    <row r="369" spans="1:6" x14ac:dyDescent="0.25">
      <c r="A369" s="1">
        <f t="shared" si="68"/>
        <v>2217</v>
      </c>
      <c r="B369" s="1" t="str">
        <f t="shared" si="69"/>
        <v>Долгосрочные вклады юридических лиц</v>
      </c>
      <c r="C369" s="1" t="str">
        <f>"1"</f>
        <v>1</v>
      </c>
      <c r="D369" s="1" t="str">
        <f>"6"</f>
        <v>6</v>
      </c>
      <c r="E369" s="1" t="str">
        <f>"2"</f>
        <v>2</v>
      </c>
      <c r="F369" s="2">
        <v>2073350332.8299999</v>
      </c>
    </row>
    <row r="370" spans="1:6" x14ac:dyDescent="0.25">
      <c r="A370" s="1">
        <f t="shared" si="68"/>
        <v>2217</v>
      </c>
      <c r="B370" s="1" t="str">
        <f t="shared" si="69"/>
        <v>Долгосрочные вклады юридических лиц</v>
      </c>
      <c r="C370" s="1" t="str">
        <f>"1"</f>
        <v>1</v>
      </c>
      <c r="D370" s="1" t="str">
        <f>"5"</f>
        <v>5</v>
      </c>
      <c r="E370" s="1" t="str">
        <f>"2"</f>
        <v>2</v>
      </c>
      <c r="F370" s="2">
        <v>5510183420.6599998</v>
      </c>
    </row>
    <row r="371" spans="1:6" x14ac:dyDescent="0.25">
      <c r="A371" s="1">
        <f t="shared" si="68"/>
        <v>2217</v>
      </c>
      <c r="B371" s="1" t="str">
        <f t="shared" si="69"/>
        <v>Долгосрочные вклады юридических лиц</v>
      </c>
      <c r="C371" s="1" t="str">
        <f>"1"</f>
        <v>1</v>
      </c>
      <c r="D371" s="1" t="str">
        <f>"7"</f>
        <v>7</v>
      </c>
      <c r="E371" s="1" t="str">
        <f>"2"</f>
        <v>2</v>
      </c>
      <c r="F371" s="2">
        <v>24993256910.57</v>
      </c>
    </row>
    <row r="372" spans="1:6" x14ac:dyDescent="0.25">
      <c r="A372" s="1">
        <f t="shared" si="68"/>
        <v>2217</v>
      </c>
      <c r="B372" s="1" t="str">
        <f t="shared" si="69"/>
        <v>Долгосрочные вклады юридических лиц</v>
      </c>
      <c r="C372" s="1" t="str">
        <f>"1"</f>
        <v>1</v>
      </c>
      <c r="D372" s="1" t="str">
        <f>"7"</f>
        <v>7</v>
      </c>
      <c r="E372" s="1" t="str">
        <f>"1"</f>
        <v>1</v>
      </c>
      <c r="F372" s="2">
        <v>63715426807.529999</v>
      </c>
    </row>
    <row r="373" spans="1:6" x14ac:dyDescent="0.25">
      <c r="A373" s="1">
        <f t="shared" si="68"/>
        <v>2217</v>
      </c>
      <c r="B373" s="1" t="str">
        <f t="shared" si="69"/>
        <v>Долгосрочные вклады юридических лиц</v>
      </c>
      <c r="C373" s="1" t="str">
        <f>"2"</f>
        <v>2</v>
      </c>
      <c r="D373" s="1" t="str">
        <f>"5"</f>
        <v>5</v>
      </c>
      <c r="E373" s="1" t="str">
        <f>"2"</f>
        <v>2</v>
      </c>
      <c r="F373" s="2">
        <v>18178885971.889999</v>
      </c>
    </row>
    <row r="374" spans="1:6" x14ac:dyDescent="0.25">
      <c r="A374" s="1">
        <f t="shared" si="68"/>
        <v>2217</v>
      </c>
      <c r="B374" s="1" t="str">
        <f t="shared" si="69"/>
        <v>Долгосрочные вклады юридических лиц</v>
      </c>
      <c r="C374" s="1" t="str">
        <f>"2"</f>
        <v>2</v>
      </c>
      <c r="D374" s="1" t="str">
        <f>"7"</f>
        <v>7</v>
      </c>
      <c r="E374" s="1" t="str">
        <f>"2"</f>
        <v>2</v>
      </c>
      <c r="F374" s="2">
        <v>20317304711.25</v>
      </c>
    </row>
    <row r="375" spans="1:6" x14ac:dyDescent="0.25">
      <c r="A375" s="1">
        <f t="shared" si="68"/>
        <v>2217</v>
      </c>
      <c r="B375" s="1" t="str">
        <f t="shared" si="69"/>
        <v>Долгосрочные вклады юридических лиц</v>
      </c>
      <c r="C375" s="1" t="str">
        <f t="shared" ref="C375:C380" si="70">"1"</f>
        <v>1</v>
      </c>
      <c r="D375" s="1" t="str">
        <f>"8"</f>
        <v>8</v>
      </c>
      <c r="E375" s="1" t="str">
        <f>"1"</f>
        <v>1</v>
      </c>
      <c r="F375" s="2">
        <v>492252102.31999999</v>
      </c>
    </row>
    <row r="376" spans="1:6" x14ac:dyDescent="0.25">
      <c r="A376" s="1">
        <f t="shared" si="68"/>
        <v>2217</v>
      </c>
      <c r="B376" s="1" t="str">
        <f t="shared" si="69"/>
        <v>Долгосрочные вклады юридических лиц</v>
      </c>
      <c r="C376" s="1" t="str">
        <f t="shared" si="70"/>
        <v>1</v>
      </c>
      <c r="D376" s="1" t="str">
        <f>"7"</f>
        <v>7</v>
      </c>
      <c r="E376" s="1" t="str">
        <f>"3"</f>
        <v>3</v>
      </c>
      <c r="F376" s="2">
        <v>6059408.6500000004</v>
      </c>
    </row>
    <row r="377" spans="1:6" x14ac:dyDescent="0.25">
      <c r="A377" s="1">
        <f t="shared" si="68"/>
        <v>2217</v>
      </c>
      <c r="B377" s="1" t="str">
        <f t="shared" si="69"/>
        <v>Долгосрочные вклады юридических лиц</v>
      </c>
      <c r="C377" s="1" t="str">
        <f t="shared" si="70"/>
        <v>1</v>
      </c>
      <c r="D377" s="1" t="str">
        <f>"5"</f>
        <v>5</v>
      </c>
      <c r="E377" s="1" t="str">
        <f>"1"</f>
        <v>1</v>
      </c>
      <c r="F377" s="2">
        <v>68932241667.559998</v>
      </c>
    </row>
    <row r="378" spans="1:6" x14ac:dyDescent="0.25">
      <c r="A378" s="1">
        <f>("2218")*1</f>
        <v>2218</v>
      </c>
      <c r="B378" s="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378" s="1" t="str">
        <f t="shared" si="70"/>
        <v>1</v>
      </c>
      <c r="D378" s="1" t="str">
        <f>"7"</f>
        <v>7</v>
      </c>
      <c r="E378" s="1" t="str">
        <f>"2"</f>
        <v>2</v>
      </c>
      <c r="F378" s="2">
        <v>21023663458.59</v>
      </c>
    </row>
    <row r="379" spans="1:6" x14ac:dyDescent="0.25">
      <c r="A379" s="1">
        <f>("2218")*1</f>
        <v>2218</v>
      </c>
      <c r="B379" s="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379" s="1" t="str">
        <f t="shared" si="70"/>
        <v>1</v>
      </c>
      <c r="D379" s="1" t="str">
        <f>"5"</f>
        <v>5</v>
      </c>
      <c r="E379" s="1" t="str">
        <f>"1"</f>
        <v>1</v>
      </c>
      <c r="F379" s="2">
        <v>1067035</v>
      </c>
    </row>
    <row r="380" spans="1:6" x14ac:dyDescent="0.25">
      <c r="A380" s="1">
        <f>("2218")*1</f>
        <v>2218</v>
      </c>
      <c r="B380" s="1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380" s="1" t="str">
        <f t="shared" si="70"/>
        <v>1</v>
      </c>
      <c r="D380" s="1" t="str">
        <f>"7"</f>
        <v>7</v>
      </c>
      <c r="E380" s="1" t="str">
        <f>"1"</f>
        <v>1</v>
      </c>
      <c r="F380" s="2">
        <v>500000</v>
      </c>
    </row>
    <row r="381" spans="1:6" x14ac:dyDescent="0.25">
      <c r="A381" s="1">
        <f>("2219")*1</f>
        <v>2219</v>
      </c>
      <c r="B381" s="1" t="str">
        <f>"Условные вклады юридических лиц"</f>
        <v>Условные вклады юридических лиц</v>
      </c>
      <c r="C381" s="1" t="str">
        <f>"2"</f>
        <v>2</v>
      </c>
      <c r="D381" s="1" t="str">
        <f>"7"</f>
        <v>7</v>
      </c>
      <c r="E381" s="1" t="str">
        <f>"1"</f>
        <v>1</v>
      </c>
      <c r="F381" s="2">
        <v>958371.97</v>
      </c>
    </row>
    <row r="382" spans="1:6" x14ac:dyDescent="0.25">
      <c r="A382" s="1">
        <f>("2219")*1</f>
        <v>2219</v>
      </c>
      <c r="B382" s="1" t="str">
        <f>"Условные вклады юридических лиц"</f>
        <v>Условные вклады юридических лиц</v>
      </c>
      <c r="C382" s="1" t="str">
        <f t="shared" ref="C382:C390" si="71">"1"</f>
        <v>1</v>
      </c>
      <c r="D382" s="1" t="str">
        <f>"8"</f>
        <v>8</v>
      </c>
      <c r="E382" s="1" t="str">
        <f>"1"</f>
        <v>1</v>
      </c>
      <c r="F382" s="2">
        <v>193000</v>
      </c>
    </row>
    <row r="383" spans="1:6" x14ac:dyDescent="0.25">
      <c r="A383" s="1">
        <f>("2219")*1</f>
        <v>2219</v>
      </c>
      <c r="B383" s="1" t="str">
        <f>"Условные вклады юридических лиц"</f>
        <v>Условные вклады юридических лиц</v>
      </c>
      <c r="C383" s="1" t="str">
        <f t="shared" si="71"/>
        <v>1</v>
      </c>
      <c r="D383" s="1" t="str">
        <f>"7"</f>
        <v>7</v>
      </c>
      <c r="E383" s="1" t="str">
        <f>"1"</f>
        <v>1</v>
      </c>
      <c r="F383" s="2">
        <v>20777466.329999998</v>
      </c>
    </row>
    <row r="384" spans="1:6" x14ac:dyDescent="0.25">
      <c r="A384" s="1">
        <f>("2219")*1</f>
        <v>2219</v>
      </c>
      <c r="B384" s="1" t="str">
        <f>"Условные вклады юридических лиц"</f>
        <v>Условные вклады юридических лиц</v>
      </c>
      <c r="C384" s="1" t="str">
        <f t="shared" si="71"/>
        <v>1</v>
      </c>
      <c r="D384" s="1" t="str">
        <f>"7"</f>
        <v>7</v>
      </c>
      <c r="E384" s="1" t="str">
        <f>"2"</f>
        <v>2</v>
      </c>
      <c r="F384" s="2">
        <v>186602.69</v>
      </c>
    </row>
    <row r="385" spans="1:6" x14ac:dyDescent="0.25">
      <c r="A385" s="1">
        <f>("2220")*1</f>
        <v>2220</v>
      </c>
      <c r="B385" s="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C385" s="1" t="str">
        <f t="shared" si="71"/>
        <v>1</v>
      </c>
      <c r="D385" s="1" t="str">
        <f>"6"</f>
        <v>6</v>
      </c>
      <c r="E385" s="1" t="str">
        <f>"1"</f>
        <v>1</v>
      </c>
      <c r="F385" s="2">
        <v>71000000</v>
      </c>
    </row>
    <row r="386" spans="1:6" x14ac:dyDescent="0.25">
      <c r="A386" s="1">
        <f>("2220")*1</f>
        <v>2220</v>
      </c>
      <c r="B386" s="1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C386" s="1" t="str">
        <f t="shared" si="71"/>
        <v>1</v>
      </c>
      <c r="D386" s="1" t="str">
        <f>"7"</f>
        <v>7</v>
      </c>
      <c r="E386" s="1" t="str">
        <f>"1"</f>
        <v>1</v>
      </c>
      <c r="F386" s="2">
        <v>2700000000</v>
      </c>
    </row>
    <row r="387" spans="1:6" x14ac:dyDescent="0.25">
      <c r="A387" s="1">
        <f>("2223")*1</f>
        <v>2223</v>
      </c>
      <c r="B387" s="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387" s="1" t="str">
        <f t="shared" si="71"/>
        <v>1</v>
      </c>
      <c r="D387" s="1" t="str">
        <f>"7"</f>
        <v>7</v>
      </c>
      <c r="E387" s="1" t="str">
        <f>"2"</f>
        <v>2</v>
      </c>
      <c r="F387" s="2">
        <v>1607245848</v>
      </c>
    </row>
    <row r="388" spans="1:6" x14ac:dyDescent="0.25">
      <c r="A388" s="1">
        <f>("2223")*1</f>
        <v>2223</v>
      </c>
      <c r="B388" s="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388" s="1" t="str">
        <f t="shared" si="71"/>
        <v>1</v>
      </c>
      <c r="D388" s="1" t="str">
        <f>"5"</f>
        <v>5</v>
      </c>
      <c r="E388" s="1" t="str">
        <f>"1"</f>
        <v>1</v>
      </c>
      <c r="F388" s="2">
        <v>1493506207.6099999</v>
      </c>
    </row>
    <row r="389" spans="1:6" x14ac:dyDescent="0.25">
      <c r="A389" s="1">
        <f>("2223")*1</f>
        <v>2223</v>
      </c>
      <c r="B389" s="1" t="str">
        <f>"Вклад, являющийся обеспечением  обязательств юридических лиц"</f>
        <v>Вклад, являющийся обеспечением  обязательств юридических лиц</v>
      </c>
      <c r="C389" s="1" t="str">
        <f t="shared" si="71"/>
        <v>1</v>
      </c>
      <c r="D389" s="1" t="str">
        <f>"7"</f>
        <v>7</v>
      </c>
      <c r="E389" s="1" t="str">
        <f>"1"</f>
        <v>1</v>
      </c>
      <c r="F389" s="2">
        <v>6189178655.0500002</v>
      </c>
    </row>
    <row r="390" spans="1:6" x14ac:dyDescent="0.25">
      <c r="A390" s="1">
        <f>("2227")*1</f>
        <v>2227</v>
      </c>
      <c r="B390" s="1" t="str">
        <f>"Обязательства по аренде"</f>
        <v>Обязательства по аренде</v>
      </c>
      <c r="C390" s="1" t="str">
        <f t="shared" si="71"/>
        <v>1</v>
      </c>
      <c r="D390" s="1" t="str">
        <f>"7"</f>
        <v>7</v>
      </c>
      <c r="E390" s="1" t="str">
        <f>"1"</f>
        <v>1</v>
      </c>
      <c r="F390" s="2">
        <v>2065556845.48</v>
      </c>
    </row>
    <row r="391" spans="1:6" x14ac:dyDescent="0.25">
      <c r="A391" s="1">
        <f>("2229")*1</f>
        <v>2229</v>
      </c>
      <c r="B391" s="1" t="str">
        <f>"Сберегательные вклады физических лиц (более одного года)"</f>
        <v>Сберегательные вклады физических лиц (более одного года)</v>
      </c>
      <c r="C391" s="1" t="str">
        <f>"2"</f>
        <v>2</v>
      </c>
      <c r="D391" s="1" t="str">
        <f>"9"</f>
        <v>9</v>
      </c>
      <c r="E391" s="1" t="str">
        <f>"1"</f>
        <v>1</v>
      </c>
      <c r="F391" s="2">
        <v>131233368.43000001</v>
      </c>
    </row>
    <row r="392" spans="1:6" x14ac:dyDescent="0.25">
      <c r="A392" s="1">
        <f>("2229")*1</f>
        <v>2229</v>
      </c>
      <c r="B392" s="1" t="str">
        <f>"Сберегательные вклады физических лиц (более одного года)"</f>
        <v>Сберегательные вклады физических лиц (более одного года)</v>
      </c>
      <c r="C392" s="1" t="str">
        <f>"1"</f>
        <v>1</v>
      </c>
      <c r="D392" s="1" t="str">
        <f>"9"</f>
        <v>9</v>
      </c>
      <c r="E392" s="1" t="str">
        <f>"1"</f>
        <v>1</v>
      </c>
      <c r="F392" s="2">
        <v>7412314954.3500004</v>
      </c>
    </row>
    <row r="393" spans="1:6" x14ac:dyDescent="0.25">
      <c r="A393" s="1">
        <f t="shared" ref="A393:A413" si="72">("2237")*1</f>
        <v>2237</v>
      </c>
      <c r="B393" s="1" t="str">
        <f t="shared" ref="B393:B413" si="73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C393" s="1" t="str">
        <f>"1"</f>
        <v>1</v>
      </c>
      <c r="D393" s="1" t="str">
        <f>"7"</f>
        <v>7</v>
      </c>
      <c r="E393" s="1" t="str">
        <f>"3"</f>
        <v>3</v>
      </c>
      <c r="F393" s="2">
        <v>233142232.03</v>
      </c>
    </row>
    <row r="394" spans="1:6" x14ac:dyDescent="0.25">
      <c r="A394" s="1">
        <f t="shared" si="72"/>
        <v>2237</v>
      </c>
      <c r="B394" s="1" t="str">
        <f t="shared" si="73"/>
        <v>Счет хранения указаний отправителя в соответствии с валютным законодательством Республики Казахстан</v>
      </c>
      <c r="C394" s="1" t="str">
        <f>"2"</f>
        <v>2</v>
      </c>
      <c r="D394" s="1" t="str">
        <f>"1"</f>
        <v>1</v>
      </c>
      <c r="E394" s="1" t="str">
        <f>"1"</f>
        <v>1</v>
      </c>
      <c r="F394" s="2">
        <v>50500</v>
      </c>
    </row>
    <row r="395" spans="1:6" x14ac:dyDescent="0.25">
      <c r="A395" s="1">
        <f t="shared" si="72"/>
        <v>2237</v>
      </c>
      <c r="B395" s="1" t="str">
        <f t="shared" si="73"/>
        <v>Счет хранения указаний отправителя в соответствии с валютным законодательством Республики Казахстан</v>
      </c>
      <c r="C395" s="1" t="str">
        <f>"2"</f>
        <v>2</v>
      </c>
      <c r="D395" s="1" t="str">
        <f>"7"</f>
        <v>7</v>
      </c>
      <c r="E395" s="1" t="str">
        <f>"2"</f>
        <v>2</v>
      </c>
      <c r="F395" s="2">
        <v>2878227925.79</v>
      </c>
    </row>
    <row r="396" spans="1:6" x14ac:dyDescent="0.25">
      <c r="A396" s="1">
        <f t="shared" si="72"/>
        <v>2237</v>
      </c>
      <c r="B396" s="1" t="str">
        <f t="shared" si="73"/>
        <v>Счет хранения указаний отправителя в соответствии с валютным законодательством Республики Казахстан</v>
      </c>
      <c r="C396" s="1" t="str">
        <f>"1"</f>
        <v>1</v>
      </c>
      <c r="D396" s="1" t="str">
        <f>"8"</f>
        <v>8</v>
      </c>
      <c r="E396" s="1" t="str">
        <f>"2"</f>
        <v>2</v>
      </c>
      <c r="F396" s="2">
        <v>15417745.199999999</v>
      </c>
    </row>
    <row r="397" spans="1:6" x14ac:dyDescent="0.25">
      <c r="A397" s="1">
        <f t="shared" si="72"/>
        <v>2237</v>
      </c>
      <c r="B397" s="1" t="str">
        <f t="shared" si="73"/>
        <v>Счет хранения указаний отправителя в соответствии с валютным законодательством Республики Казахстан</v>
      </c>
      <c r="C397" s="1" t="str">
        <f>"2"</f>
        <v>2</v>
      </c>
      <c r="D397" s="1" t="str">
        <f>"9"</f>
        <v>9</v>
      </c>
      <c r="E397" s="1" t="str">
        <f>"2"</f>
        <v>2</v>
      </c>
      <c r="F397" s="2">
        <v>225009993.74000001</v>
      </c>
    </row>
    <row r="398" spans="1:6" x14ac:dyDescent="0.25">
      <c r="A398" s="1">
        <f t="shared" si="72"/>
        <v>2237</v>
      </c>
      <c r="B398" s="1" t="str">
        <f t="shared" si="73"/>
        <v>Счет хранения указаний отправителя в соответствии с валютным законодательством Республики Казахстан</v>
      </c>
      <c r="C398" s="1" t="str">
        <f>"1"</f>
        <v>1</v>
      </c>
      <c r="D398" s="1" t="str">
        <f>"9"</f>
        <v>9</v>
      </c>
      <c r="E398" s="1" t="str">
        <f>"1"</f>
        <v>1</v>
      </c>
      <c r="F398" s="2">
        <v>7823353.5599999996</v>
      </c>
    </row>
    <row r="399" spans="1:6" x14ac:dyDescent="0.25">
      <c r="A399" s="1">
        <f t="shared" si="72"/>
        <v>2237</v>
      </c>
      <c r="B399" s="1" t="str">
        <f t="shared" si="73"/>
        <v>Счет хранения указаний отправителя в соответствии с валютным законодательством Республики Казахстан</v>
      </c>
      <c r="C399" s="1" t="str">
        <f>"1"</f>
        <v>1</v>
      </c>
      <c r="D399" s="1" t="str">
        <f>"5"</f>
        <v>5</v>
      </c>
      <c r="E399" s="1" t="str">
        <f>"3"</f>
        <v>3</v>
      </c>
      <c r="F399" s="2">
        <v>5336814</v>
      </c>
    </row>
    <row r="400" spans="1:6" x14ac:dyDescent="0.25">
      <c r="A400" s="1">
        <f t="shared" si="72"/>
        <v>2237</v>
      </c>
      <c r="B400" s="1" t="str">
        <f t="shared" si="73"/>
        <v>Счет хранения указаний отправителя в соответствии с валютным законодательством Республики Казахстан</v>
      </c>
      <c r="C400" s="1" t="str">
        <f>"1"</f>
        <v>1</v>
      </c>
      <c r="D400" s="1" t="str">
        <f>"9"</f>
        <v>9</v>
      </c>
      <c r="E400" s="1" t="str">
        <f>"3"</f>
        <v>3</v>
      </c>
      <c r="F400" s="2">
        <v>59371575.140000001</v>
      </c>
    </row>
    <row r="401" spans="1:6" x14ac:dyDescent="0.25">
      <c r="A401" s="1">
        <f t="shared" si="72"/>
        <v>2237</v>
      </c>
      <c r="B401" s="1" t="str">
        <f t="shared" si="73"/>
        <v>Счет хранения указаний отправителя в соответствии с валютным законодательством Республики Казахстан</v>
      </c>
      <c r="C401" s="1" t="str">
        <f>"1"</f>
        <v>1</v>
      </c>
      <c r="D401" s="1" t="str">
        <f>"6"</f>
        <v>6</v>
      </c>
      <c r="E401" s="1" t="str">
        <f>"1"</f>
        <v>1</v>
      </c>
      <c r="F401" s="2">
        <v>5376971.3300000001</v>
      </c>
    </row>
    <row r="402" spans="1:6" x14ac:dyDescent="0.25">
      <c r="A402" s="1">
        <f t="shared" si="72"/>
        <v>2237</v>
      </c>
      <c r="B402" s="1" t="str">
        <f t="shared" si="73"/>
        <v>Счет хранения указаний отправителя в соответствии с валютным законодательством Республики Казахстан</v>
      </c>
      <c r="C402" s="1" t="str">
        <f>"2"</f>
        <v>2</v>
      </c>
      <c r="D402" s="1" t="str">
        <f>"7"</f>
        <v>7</v>
      </c>
      <c r="E402" s="1" t="str">
        <f>"3"</f>
        <v>3</v>
      </c>
      <c r="F402" s="2">
        <v>13970625.029999999</v>
      </c>
    </row>
    <row r="403" spans="1:6" x14ac:dyDescent="0.25">
      <c r="A403" s="1">
        <f t="shared" si="72"/>
        <v>2237</v>
      </c>
      <c r="B403" s="1" t="str">
        <f t="shared" si="73"/>
        <v>Счет хранения указаний отправителя в соответствии с валютным законодательством Республики Казахстан</v>
      </c>
      <c r="C403" s="1" t="str">
        <f>"1"</f>
        <v>1</v>
      </c>
      <c r="D403" s="1" t="str">
        <f>"7"</f>
        <v>7</v>
      </c>
      <c r="E403" s="1" t="str">
        <f>"1"</f>
        <v>1</v>
      </c>
      <c r="F403" s="2">
        <v>255530674.02000001</v>
      </c>
    </row>
    <row r="404" spans="1:6" x14ac:dyDescent="0.25">
      <c r="A404" s="1">
        <f t="shared" si="72"/>
        <v>2237</v>
      </c>
      <c r="B404" s="1" t="str">
        <f t="shared" si="73"/>
        <v>Счет хранения указаний отправителя в соответствии с валютным законодательством Республики Казахстан</v>
      </c>
      <c r="C404" s="1" t="str">
        <f>"1"</f>
        <v>1</v>
      </c>
      <c r="D404" s="1" t="str">
        <f>"6"</f>
        <v>6</v>
      </c>
      <c r="E404" s="1" t="str">
        <f>"2"</f>
        <v>2</v>
      </c>
      <c r="F404" s="2">
        <v>2680418.5499999998</v>
      </c>
    </row>
    <row r="405" spans="1:6" x14ac:dyDescent="0.25">
      <c r="A405" s="1">
        <f t="shared" si="72"/>
        <v>2237</v>
      </c>
      <c r="B405" s="1" t="str">
        <f t="shared" si="73"/>
        <v>Счет хранения указаний отправителя в соответствии с валютным законодательством Республики Казахстан</v>
      </c>
      <c r="C405" s="1" t="str">
        <f>"1"</f>
        <v>1</v>
      </c>
      <c r="D405" s="1" t="str">
        <f>"6"</f>
        <v>6</v>
      </c>
      <c r="E405" s="1" t="str">
        <f>"3"</f>
        <v>3</v>
      </c>
      <c r="F405" s="2">
        <v>16039309.289999999</v>
      </c>
    </row>
    <row r="406" spans="1:6" x14ac:dyDescent="0.25">
      <c r="A406" s="1">
        <f t="shared" si="72"/>
        <v>2237</v>
      </c>
      <c r="B406" s="1" t="str">
        <f t="shared" si="73"/>
        <v>Счет хранения указаний отправителя в соответствии с валютным законодательством Республики Казахстан</v>
      </c>
      <c r="C406" s="1" t="str">
        <f>"1"</f>
        <v>1</v>
      </c>
      <c r="D406" s="1" t="str">
        <f>"8"</f>
        <v>8</v>
      </c>
      <c r="E406" s="1" t="str">
        <f>"1"</f>
        <v>1</v>
      </c>
      <c r="F406" s="2">
        <v>692000</v>
      </c>
    </row>
    <row r="407" spans="1:6" x14ac:dyDescent="0.25">
      <c r="A407" s="1">
        <f t="shared" si="72"/>
        <v>2237</v>
      </c>
      <c r="B407" s="1" t="str">
        <f t="shared" si="73"/>
        <v>Счет хранения указаний отправителя в соответствии с валютным законодательством Республики Казахстан</v>
      </c>
      <c r="C407" s="1" t="str">
        <f>"1"</f>
        <v>1</v>
      </c>
      <c r="D407" s="1" t="str">
        <f>"9"</f>
        <v>9</v>
      </c>
      <c r="E407" s="1" t="str">
        <f>"2"</f>
        <v>2</v>
      </c>
      <c r="F407" s="2">
        <v>162502098.22999999</v>
      </c>
    </row>
    <row r="408" spans="1:6" x14ac:dyDescent="0.25">
      <c r="A408" s="1">
        <f t="shared" si="72"/>
        <v>2237</v>
      </c>
      <c r="B408" s="1" t="str">
        <f t="shared" si="73"/>
        <v>Счет хранения указаний отправителя в соответствии с валютным законодательством Республики Казахстан</v>
      </c>
      <c r="C408" s="1" t="str">
        <f>"2"</f>
        <v>2</v>
      </c>
      <c r="D408" s="1" t="str">
        <f>"7"</f>
        <v>7</v>
      </c>
      <c r="E408" s="1" t="str">
        <f>"1"</f>
        <v>1</v>
      </c>
      <c r="F408" s="2">
        <v>5800000</v>
      </c>
    </row>
    <row r="409" spans="1:6" x14ac:dyDescent="0.25">
      <c r="A409" s="1">
        <f t="shared" si="72"/>
        <v>2237</v>
      </c>
      <c r="B409" s="1" t="str">
        <f t="shared" si="73"/>
        <v>Счет хранения указаний отправителя в соответствии с валютным законодательством Республики Казахстан</v>
      </c>
      <c r="C409" s="1" t="str">
        <f>"1"</f>
        <v>1</v>
      </c>
      <c r="D409" s="1" t="str">
        <f>"4"</f>
        <v>4</v>
      </c>
      <c r="E409" s="1" t="str">
        <f>"1"</f>
        <v>1</v>
      </c>
      <c r="F409" s="2">
        <v>65649.27</v>
      </c>
    </row>
    <row r="410" spans="1:6" x14ac:dyDescent="0.25">
      <c r="A410" s="1">
        <f t="shared" si="72"/>
        <v>2237</v>
      </c>
      <c r="B410" s="1" t="str">
        <f t="shared" si="73"/>
        <v>Счет хранения указаний отправителя в соответствии с валютным законодательством Республики Казахстан</v>
      </c>
      <c r="C410" s="1" t="str">
        <f>"2"</f>
        <v>2</v>
      </c>
      <c r="D410" s="1" t="str">
        <f>"9"</f>
        <v>9</v>
      </c>
      <c r="E410" s="1" t="str">
        <f>"1"</f>
        <v>1</v>
      </c>
      <c r="F410" s="2">
        <v>51000</v>
      </c>
    </row>
    <row r="411" spans="1:6" x14ac:dyDescent="0.25">
      <c r="A411" s="1">
        <f t="shared" si="72"/>
        <v>2237</v>
      </c>
      <c r="B411" s="1" t="str">
        <f t="shared" si="73"/>
        <v>Счет хранения указаний отправителя в соответствии с валютным законодательством Республики Казахстан</v>
      </c>
      <c r="C411" s="1" t="str">
        <f>"1"</f>
        <v>1</v>
      </c>
      <c r="D411" s="1" t="str">
        <f>"5"</f>
        <v>5</v>
      </c>
      <c r="E411" s="1" t="str">
        <f>"2"</f>
        <v>2</v>
      </c>
      <c r="F411" s="2">
        <v>9110010.7599999998</v>
      </c>
    </row>
    <row r="412" spans="1:6" x14ac:dyDescent="0.25">
      <c r="A412" s="1">
        <f t="shared" si="72"/>
        <v>2237</v>
      </c>
      <c r="B412" s="1" t="str">
        <f t="shared" si="73"/>
        <v>Счет хранения указаний отправителя в соответствии с валютным законодательством Республики Казахстан</v>
      </c>
      <c r="C412" s="1" t="str">
        <f>"2"</f>
        <v>2</v>
      </c>
      <c r="D412" s="1" t="str">
        <f>"9"</f>
        <v>9</v>
      </c>
      <c r="E412" s="1" t="str">
        <f>"3"</f>
        <v>3</v>
      </c>
      <c r="F412" s="2">
        <v>12186309</v>
      </c>
    </row>
    <row r="413" spans="1:6" x14ac:dyDescent="0.25">
      <c r="A413" s="1">
        <f t="shared" si="72"/>
        <v>2237</v>
      </c>
      <c r="B413" s="1" t="str">
        <f t="shared" si="73"/>
        <v>Счет хранения указаний отправителя в соответствии с валютным законодательством Республики Казахстан</v>
      </c>
      <c r="C413" s="1" t="str">
        <f>"1"</f>
        <v>1</v>
      </c>
      <c r="D413" s="1" t="str">
        <f>"7"</f>
        <v>7</v>
      </c>
      <c r="E413" s="1" t="str">
        <f>"2"</f>
        <v>2</v>
      </c>
      <c r="F413" s="2">
        <v>1950829455.8499999</v>
      </c>
    </row>
    <row r="414" spans="1:6" x14ac:dyDescent="0.25">
      <c r="A414" s="1">
        <f t="shared" ref="A414:A422" si="74">("2240")*1</f>
        <v>2240</v>
      </c>
      <c r="B414" s="1" t="str">
        <f t="shared" ref="B414:B422" si="75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C414" s="1" t="str">
        <f>"2"</f>
        <v>2</v>
      </c>
      <c r="D414" s="1" t="str">
        <f>"9"</f>
        <v>9</v>
      </c>
      <c r="E414" s="1" t="str">
        <f>"2"</f>
        <v>2</v>
      </c>
      <c r="F414" s="2">
        <v>708160836.24000001</v>
      </c>
    </row>
    <row r="415" spans="1:6" x14ac:dyDescent="0.25">
      <c r="A415" s="1">
        <f t="shared" si="74"/>
        <v>2240</v>
      </c>
      <c r="B415" s="1" t="str">
        <f t="shared" si="75"/>
        <v>Счет хранения денег, принятых в качестве обеспечения (заклад, задаток) обязательств клиентов</v>
      </c>
      <c r="C415" s="1" t="str">
        <f>"1"</f>
        <v>1</v>
      </c>
      <c r="D415" s="1" t="str">
        <f>"8"</f>
        <v>8</v>
      </c>
      <c r="E415" s="1" t="str">
        <f>"1"</f>
        <v>1</v>
      </c>
      <c r="F415" s="2">
        <v>284546.25</v>
      </c>
    </row>
    <row r="416" spans="1:6" x14ac:dyDescent="0.25">
      <c r="A416" s="1">
        <f t="shared" si="74"/>
        <v>2240</v>
      </c>
      <c r="B416" s="1" t="str">
        <f t="shared" si="75"/>
        <v>Счет хранения денег, принятых в качестве обеспечения (заклад, задаток) обязательств клиентов</v>
      </c>
      <c r="C416" s="1" t="str">
        <f>"1"</f>
        <v>1</v>
      </c>
      <c r="D416" s="1" t="str">
        <f>"6"</f>
        <v>6</v>
      </c>
      <c r="E416" s="1" t="str">
        <f>"1"</f>
        <v>1</v>
      </c>
      <c r="F416" s="2">
        <v>17435393.120000001</v>
      </c>
    </row>
    <row r="417" spans="1:6" x14ac:dyDescent="0.25">
      <c r="A417" s="1">
        <f t="shared" si="74"/>
        <v>2240</v>
      </c>
      <c r="B417" s="1" t="str">
        <f t="shared" si="75"/>
        <v>Счет хранения денег, принятых в качестве обеспечения (заклад, задаток) обязательств клиентов</v>
      </c>
      <c r="C417" s="1" t="str">
        <f>"2"</f>
        <v>2</v>
      </c>
      <c r="D417" s="1" t="str">
        <f>"9"</f>
        <v>9</v>
      </c>
      <c r="E417" s="1" t="str">
        <f>"1"</f>
        <v>1</v>
      </c>
      <c r="F417" s="2">
        <v>2582725</v>
      </c>
    </row>
    <row r="418" spans="1:6" x14ac:dyDescent="0.25">
      <c r="A418" s="1">
        <f t="shared" si="74"/>
        <v>2240</v>
      </c>
      <c r="B418" s="1" t="str">
        <f t="shared" si="75"/>
        <v>Счет хранения денег, принятых в качестве обеспечения (заклад, задаток) обязательств клиентов</v>
      </c>
      <c r="C418" s="1" t="str">
        <f t="shared" ref="C418:C435" si="76">"1"</f>
        <v>1</v>
      </c>
      <c r="D418" s="1" t="str">
        <f>"5"</f>
        <v>5</v>
      </c>
      <c r="E418" s="1" t="str">
        <f>"1"</f>
        <v>1</v>
      </c>
      <c r="F418" s="2">
        <v>19584000</v>
      </c>
    </row>
    <row r="419" spans="1:6" x14ac:dyDescent="0.25">
      <c r="A419" s="1">
        <f t="shared" si="74"/>
        <v>2240</v>
      </c>
      <c r="B419" s="1" t="str">
        <f t="shared" si="75"/>
        <v>Счет хранения денег, принятых в качестве обеспечения (заклад, задаток) обязательств клиентов</v>
      </c>
      <c r="C419" s="1" t="str">
        <f t="shared" si="76"/>
        <v>1</v>
      </c>
      <c r="D419" s="1" t="str">
        <f>"7"</f>
        <v>7</v>
      </c>
      <c r="E419" s="1" t="str">
        <f>"1"</f>
        <v>1</v>
      </c>
      <c r="F419" s="2">
        <v>1567963175.8099999</v>
      </c>
    </row>
    <row r="420" spans="1:6" x14ac:dyDescent="0.25">
      <c r="A420" s="1">
        <f t="shared" si="74"/>
        <v>2240</v>
      </c>
      <c r="B420" s="1" t="str">
        <f t="shared" si="75"/>
        <v>Счет хранения денег, принятых в качестве обеспечения (заклад, задаток) обязательств клиентов</v>
      </c>
      <c r="C420" s="1" t="str">
        <f t="shared" si="76"/>
        <v>1</v>
      </c>
      <c r="D420" s="1" t="str">
        <f>"7"</f>
        <v>7</v>
      </c>
      <c r="E420" s="1" t="str">
        <f>"2"</f>
        <v>2</v>
      </c>
      <c r="F420" s="2">
        <v>37627200</v>
      </c>
    </row>
    <row r="421" spans="1:6" x14ac:dyDescent="0.25">
      <c r="A421" s="1">
        <f t="shared" si="74"/>
        <v>2240</v>
      </c>
      <c r="B421" s="1" t="str">
        <f t="shared" si="75"/>
        <v>Счет хранения денег, принятых в качестве обеспечения (заклад, задаток) обязательств клиентов</v>
      </c>
      <c r="C421" s="1" t="str">
        <f t="shared" si="76"/>
        <v>1</v>
      </c>
      <c r="D421" s="1" t="str">
        <f>"9"</f>
        <v>9</v>
      </c>
      <c r="E421" s="1" t="str">
        <f>"1"</f>
        <v>1</v>
      </c>
      <c r="F421" s="2">
        <v>246125667.49000001</v>
      </c>
    </row>
    <row r="422" spans="1:6" x14ac:dyDescent="0.25">
      <c r="A422" s="1">
        <f t="shared" si="74"/>
        <v>2240</v>
      </c>
      <c r="B422" s="1" t="str">
        <f t="shared" si="75"/>
        <v>Счет хранения денег, принятых в качестве обеспечения (заклад, задаток) обязательств клиентов</v>
      </c>
      <c r="C422" s="1" t="str">
        <f t="shared" si="76"/>
        <v>1</v>
      </c>
      <c r="D422" s="1" t="str">
        <f>"9"</f>
        <v>9</v>
      </c>
      <c r="E422" s="1" t="str">
        <f>"2"</f>
        <v>2</v>
      </c>
      <c r="F422" s="2">
        <v>4684116.0599999996</v>
      </c>
    </row>
    <row r="423" spans="1:6" x14ac:dyDescent="0.25">
      <c r="A423" s="1">
        <f>("2301")*1</f>
        <v>2301</v>
      </c>
      <c r="B423" s="1" t="str">
        <f>"Выпущенные в обращение облигации"</f>
        <v>Выпущенные в обращение облигации</v>
      </c>
      <c r="C423" s="1" t="str">
        <f t="shared" si="76"/>
        <v>1</v>
      </c>
      <c r="D423" s="1" t="str">
        <f t="shared" ref="D423:D429" si="77">"5"</f>
        <v>5</v>
      </c>
      <c r="E423" s="1" t="str">
        <f t="shared" ref="E423:E430" si="78">"1"</f>
        <v>1</v>
      </c>
      <c r="F423" s="2">
        <v>16219642700</v>
      </c>
    </row>
    <row r="424" spans="1:6" x14ac:dyDescent="0.25">
      <c r="A424" s="1">
        <f>("2304")*1</f>
        <v>2304</v>
      </c>
      <c r="B424" s="1" t="str">
        <f>"Премия по выпущенным в обращение ценным бумагам"</f>
        <v>Премия по выпущенным в обращение ценным бумагам</v>
      </c>
      <c r="C424" s="1" t="str">
        <f t="shared" si="76"/>
        <v>1</v>
      </c>
      <c r="D424" s="1" t="str">
        <f t="shared" si="77"/>
        <v>5</v>
      </c>
      <c r="E424" s="1" t="str">
        <f t="shared" si="78"/>
        <v>1</v>
      </c>
      <c r="F424" s="2">
        <v>103334104.16</v>
      </c>
    </row>
    <row r="425" spans="1:6" x14ac:dyDescent="0.25">
      <c r="A425" s="1">
        <f>("2305")*1</f>
        <v>2305</v>
      </c>
      <c r="B425" s="1" t="str">
        <f>"Дисконт по выпущенным в обращение ценным бумагам"</f>
        <v>Дисконт по выпущенным в обращение ценным бумагам</v>
      </c>
      <c r="C425" s="1" t="str">
        <f t="shared" si="76"/>
        <v>1</v>
      </c>
      <c r="D425" s="1" t="str">
        <f t="shared" si="77"/>
        <v>5</v>
      </c>
      <c r="E425" s="1" t="str">
        <f t="shared" si="78"/>
        <v>1</v>
      </c>
      <c r="F425" s="2">
        <v>-218194222.66</v>
      </c>
    </row>
    <row r="426" spans="1:6" x14ac:dyDescent="0.25">
      <c r="A426" s="1">
        <f>("2306")*1</f>
        <v>2306</v>
      </c>
      <c r="B426" s="1" t="str">
        <f>"Выкупленные облигации"</f>
        <v>Выкупленные облигации</v>
      </c>
      <c r="C426" s="1" t="str">
        <f t="shared" si="76"/>
        <v>1</v>
      </c>
      <c r="D426" s="1" t="str">
        <f t="shared" si="77"/>
        <v>5</v>
      </c>
      <c r="E426" s="1" t="str">
        <f t="shared" si="78"/>
        <v>1</v>
      </c>
      <c r="F426" s="2">
        <v>-160930000</v>
      </c>
    </row>
    <row r="427" spans="1:6" x14ac:dyDescent="0.25">
      <c r="A427" s="1">
        <f>("2404")*1</f>
        <v>2404</v>
      </c>
      <c r="B427" s="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C427" s="1" t="str">
        <f t="shared" si="76"/>
        <v>1</v>
      </c>
      <c r="D427" s="1" t="str">
        <f t="shared" si="77"/>
        <v>5</v>
      </c>
      <c r="E427" s="1" t="str">
        <f t="shared" si="78"/>
        <v>1</v>
      </c>
      <c r="F427" s="2">
        <v>-96751932054.009995</v>
      </c>
    </row>
    <row r="428" spans="1:6" x14ac:dyDescent="0.25">
      <c r="A428" s="1">
        <f>("2405")*1</f>
        <v>2405</v>
      </c>
      <c r="B428" s="1" t="str">
        <f>"Выкупленные субординированные облигации"</f>
        <v>Выкупленные субординированные облигации</v>
      </c>
      <c r="C428" s="1" t="str">
        <f t="shared" si="76"/>
        <v>1</v>
      </c>
      <c r="D428" s="1" t="str">
        <f t="shared" si="77"/>
        <v>5</v>
      </c>
      <c r="E428" s="1" t="str">
        <f t="shared" si="78"/>
        <v>1</v>
      </c>
      <c r="F428" s="2">
        <v>-40450000</v>
      </c>
    </row>
    <row r="429" spans="1:6" x14ac:dyDescent="0.25">
      <c r="A429" s="1">
        <f>("2406")*1</f>
        <v>2406</v>
      </c>
      <c r="B429" s="1" t="str">
        <f>"Субординированные облигации"</f>
        <v>Субординированные облигации</v>
      </c>
      <c r="C429" s="1" t="str">
        <f t="shared" si="76"/>
        <v>1</v>
      </c>
      <c r="D429" s="1" t="str">
        <f t="shared" si="77"/>
        <v>5</v>
      </c>
      <c r="E429" s="1" t="str">
        <f t="shared" si="78"/>
        <v>1</v>
      </c>
      <c r="F429" s="2">
        <v>167510000000</v>
      </c>
    </row>
    <row r="430" spans="1:6" x14ac:dyDescent="0.25">
      <c r="A430" s="1">
        <f>("2551")*1</f>
        <v>2551</v>
      </c>
      <c r="B430" s="1" t="str">
        <f>"Расчеты с другими банками"</f>
        <v>Расчеты с другими банками</v>
      </c>
      <c r="C430" s="1" t="str">
        <f t="shared" si="76"/>
        <v>1</v>
      </c>
      <c r="D430" s="1" t="str">
        <f>"4"</f>
        <v>4</v>
      </c>
      <c r="E430" s="1" t="str">
        <f t="shared" si="78"/>
        <v>1</v>
      </c>
      <c r="F430" s="2">
        <v>21613602.75</v>
      </c>
    </row>
    <row r="431" spans="1:6" x14ac:dyDescent="0.25">
      <c r="A431" s="1">
        <f>("2703")*1</f>
        <v>2703</v>
      </c>
      <c r="B431" s="1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C431" s="1" t="str">
        <f t="shared" si="76"/>
        <v>1</v>
      </c>
      <c r="D431" s="1" t="str">
        <f>"1"</f>
        <v>1</v>
      </c>
      <c r="E431" s="1" t="str">
        <f>"2"</f>
        <v>2</v>
      </c>
      <c r="F431" s="2">
        <v>1477088.66</v>
      </c>
    </row>
    <row r="432" spans="1:6" x14ac:dyDescent="0.25">
      <c r="A432" s="1">
        <f>("2703")*1</f>
        <v>2703</v>
      </c>
      <c r="B432" s="1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C432" s="1" t="str">
        <f t="shared" si="76"/>
        <v>1</v>
      </c>
      <c r="D432" s="1" t="str">
        <f>"1"</f>
        <v>1</v>
      </c>
      <c r="E432" s="1" t="str">
        <f>"1"</f>
        <v>1</v>
      </c>
      <c r="F432" s="2">
        <v>2630184.34</v>
      </c>
    </row>
    <row r="433" spans="1:6" x14ac:dyDescent="0.25">
      <c r="A433" s="1">
        <f>("2705")*1</f>
        <v>2705</v>
      </c>
      <c r="B433" s="1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C433" s="1" t="str">
        <f t="shared" si="76"/>
        <v>1</v>
      </c>
      <c r="D433" s="1" t="str">
        <f>"4"</f>
        <v>4</v>
      </c>
      <c r="E433" s="1" t="str">
        <f>"1"</f>
        <v>1</v>
      </c>
      <c r="F433" s="2">
        <v>51825300.969999999</v>
      </c>
    </row>
    <row r="434" spans="1:6" x14ac:dyDescent="0.25">
      <c r="A434" s="1">
        <f>("2706")*1</f>
        <v>2706</v>
      </c>
      <c r="B434" s="1" t="str">
        <f>"Начисленные расходы по займам и финансовому лизингу"</f>
        <v>Начисленные расходы по займам и финансовому лизингу</v>
      </c>
      <c r="C434" s="1" t="str">
        <f t="shared" si="76"/>
        <v>1</v>
      </c>
      <c r="D434" s="1" t="str">
        <f>"5"</f>
        <v>5</v>
      </c>
      <c r="E434" s="1" t="str">
        <f>"1"</f>
        <v>1</v>
      </c>
      <c r="F434" s="2">
        <v>159534168.16999999</v>
      </c>
    </row>
    <row r="435" spans="1:6" x14ac:dyDescent="0.25">
      <c r="A435" s="1">
        <f>("2718")*1</f>
        <v>2718</v>
      </c>
      <c r="B435" s="1" t="str">
        <f>"Начисленные расходы по текущим счетам клиентов"</f>
        <v>Начисленные расходы по текущим счетам клиентов</v>
      </c>
      <c r="C435" s="1" t="str">
        <f t="shared" si="76"/>
        <v>1</v>
      </c>
      <c r="D435" s="1" t="str">
        <f>"9"</f>
        <v>9</v>
      </c>
      <c r="E435" s="1" t="str">
        <f>"2"</f>
        <v>2</v>
      </c>
      <c r="F435" s="2">
        <v>8212.66</v>
      </c>
    </row>
    <row r="436" spans="1:6" x14ac:dyDescent="0.25">
      <c r="A436" s="1">
        <f>("2718")*1</f>
        <v>2718</v>
      </c>
      <c r="B436" s="1" t="str">
        <f>"Начисленные расходы по текущим счетам клиентов"</f>
        <v>Начисленные расходы по текущим счетам клиентов</v>
      </c>
      <c r="C436" s="1" t="str">
        <f>"2"</f>
        <v>2</v>
      </c>
      <c r="D436" s="1" t="str">
        <f>"9"</f>
        <v>9</v>
      </c>
      <c r="E436" s="1" t="str">
        <f>"1"</f>
        <v>1</v>
      </c>
      <c r="F436" s="2">
        <v>16.559999999999999</v>
      </c>
    </row>
    <row r="437" spans="1:6" x14ac:dyDescent="0.25">
      <c r="A437" s="1">
        <f>("2718")*1</f>
        <v>2718</v>
      </c>
      <c r="B437" s="1" t="str">
        <f>"Начисленные расходы по текущим счетам клиентов"</f>
        <v>Начисленные расходы по текущим счетам клиентов</v>
      </c>
      <c r="C437" s="1" t="str">
        <f>"1"</f>
        <v>1</v>
      </c>
      <c r="D437" s="1" t="str">
        <f>"9"</f>
        <v>9</v>
      </c>
      <c r="E437" s="1" t="str">
        <f>"3"</f>
        <v>3</v>
      </c>
      <c r="F437" s="2">
        <v>2.78</v>
      </c>
    </row>
    <row r="438" spans="1:6" x14ac:dyDescent="0.25">
      <c r="A438" s="1">
        <f>("2718")*1</f>
        <v>2718</v>
      </c>
      <c r="B438" s="1" t="str">
        <f>"Начисленные расходы по текущим счетам клиентов"</f>
        <v>Начисленные расходы по текущим счетам клиентов</v>
      </c>
      <c r="C438" s="1" t="str">
        <f>"1"</f>
        <v>1</v>
      </c>
      <c r="D438" s="1" t="str">
        <f>"9"</f>
        <v>9</v>
      </c>
      <c r="E438" s="1" t="str">
        <f>"1"</f>
        <v>1</v>
      </c>
      <c r="F438" s="2">
        <v>13321.27</v>
      </c>
    </row>
    <row r="439" spans="1:6" x14ac:dyDescent="0.25">
      <c r="A439" s="1">
        <f t="shared" ref="A439:A445" si="79">("2719")*1</f>
        <v>2719</v>
      </c>
      <c r="B439" s="1" t="str">
        <f t="shared" ref="B439:B445" si="80">"Начисленные расходы по условным вкладам клиентов"</f>
        <v>Начисленные расходы по условным вкладам клиентов</v>
      </c>
      <c r="C439" s="1" t="str">
        <f>"1"</f>
        <v>1</v>
      </c>
      <c r="D439" s="1" t="str">
        <f>"7"</f>
        <v>7</v>
      </c>
      <c r="E439" s="1" t="str">
        <f>"1"</f>
        <v>1</v>
      </c>
      <c r="F439" s="2">
        <v>20603.39</v>
      </c>
    </row>
    <row r="440" spans="1:6" x14ac:dyDescent="0.25">
      <c r="A440" s="1">
        <f t="shared" si="79"/>
        <v>2719</v>
      </c>
      <c r="B440" s="1" t="str">
        <f t="shared" si="80"/>
        <v>Начисленные расходы по условным вкладам клиентов</v>
      </c>
      <c r="C440" s="1" t="str">
        <f>"1"</f>
        <v>1</v>
      </c>
      <c r="D440" s="1" t="str">
        <f>"9"</f>
        <v>9</v>
      </c>
      <c r="E440" s="1" t="str">
        <f>"1"</f>
        <v>1</v>
      </c>
      <c r="F440" s="2">
        <v>776300.46</v>
      </c>
    </row>
    <row r="441" spans="1:6" x14ac:dyDescent="0.25">
      <c r="A441" s="1">
        <f t="shared" si="79"/>
        <v>2719</v>
      </c>
      <c r="B441" s="1" t="str">
        <f t="shared" si="80"/>
        <v>Начисленные расходы по условным вкладам клиентов</v>
      </c>
      <c r="C441" s="1" t="str">
        <f>"1"</f>
        <v>1</v>
      </c>
      <c r="D441" s="1" t="str">
        <f>"7"</f>
        <v>7</v>
      </c>
      <c r="E441" s="1" t="str">
        <f>"2"</f>
        <v>2</v>
      </c>
      <c r="F441" s="2">
        <v>2897.3</v>
      </c>
    </row>
    <row r="442" spans="1:6" x14ac:dyDescent="0.25">
      <c r="A442" s="1">
        <f t="shared" si="79"/>
        <v>2719</v>
      </c>
      <c r="B442" s="1" t="str">
        <f t="shared" si="80"/>
        <v>Начисленные расходы по условным вкладам клиентов</v>
      </c>
      <c r="C442" s="1" t="str">
        <f>"2"</f>
        <v>2</v>
      </c>
      <c r="D442" s="1" t="str">
        <f>"7"</f>
        <v>7</v>
      </c>
      <c r="E442" s="1" t="str">
        <f>"1"</f>
        <v>1</v>
      </c>
      <c r="F442" s="2">
        <v>786.04</v>
      </c>
    </row>
    <row r="443" spans="1:6" x14ac:dyDescent="0.25">
      <c r="A443" s="1">
        <f t="shared" si="79"/>
        <v>2719</v>
      </c>
      <c r="B443" s="1" t="str">
        <f t="shared" si="80"/>
        <v>Начисленные расходы по условным вкладам клиентов</v>
      </c>
      <c r="C443" s="1" t="str">
        <f>"1"</f>
        <v>1</v>
      </c>
      <c r="D443" s="1" t="str">
        <f>"9"</f>
        <v>9</v>
      </c>
      <c r="E443" s="1" t="str">
        <f>"2"</f>
        <v>2</v>
      </c>
      <c r="F443" s="2">
        <v>2187725.37</v>
      </c>
    </row>
    <row r="444" spans="1:6" x14ac:dyDescent="0.25">
      <c r="A444" s="1">
        <f t="shared" si="79"/>
        <v>2719</v>
      </c>
      <c r="B444" s="1" t="str">
        <f t="shared" si="80"/>
        <v>Начисленные расходы по условным вкладам клиентов</v>
      </c>
      <c r="C444" s="1" t="str">
        <f>"2"</f>
        <v>2</v>
      </c>
      <c r="D444" s="1" t="str">
        <f>"7"</f>
        <v>7</v>
      </c>
      <c r="E444" s="1" t="str">
        <f>"2"</f>
        <v>2</v>
      </c>
      <c r="F444" s="2">
        <v>357.46</v>
      </c>
    </row>
    <row r="445" spans="1:6" x14ac:dyDescent="0.25">
      <c r="A445" s="1">
        <f t="shared" si="79"/>
        <v>2719</v>
      </c>
      <c r="B445" s="1" t="str">
        <f t="shared" si="80"/>
        <v>Начисленные расходы по условным вкладам клиентов</v>
      </c>
      <c r="C445" s="1" t="str">
        <f>"1"</f>
        <v>1</v>
      </c>
      <c r="D445" s="1" t="str">
        <f>"8"</f>
        <v>8</v>
      </c>
      <c r="E445" s="1" t="str">
        <f>"1"</f>
        <v>1</v>
      </c>
      <c r="F445" s="2">
        <v>119.17</v>
      </c>
    </row>
    <row r="446" spans="1:6" x14ac:dyDescent="0.25">
      <c r="A446" s="1">
        <f t="shared" ref="A446:A455" si="81">("2720")*1</f>
        <v>2720</v>
      </c>
      <c r="B446" s="1" t="str">
        <f t="shared" ref="B446:B455" si="82">"Начисленные расходы по вкладам до востребования клиентов"</f>
        <v>Начисленные расходы по вкладам до востребования клиентов</v>
      </c>
      <c r="C446" s="1" t="str">
        <f>"2"</f>
        <v>2</v>
      </c>
      <c r="D446" s="1" t="str">
        <f>"9"</f>
        <v>9</v>
      </c>
      <c r="E446" s="1" t="str">
        <f>"1"</f>
        <v>1</v>
      </c>
      <c r="F446" s="2">
        <v>3972.21</v>
      </c>
    </row>
    <row r="447" spans="1:6" x14ac:dyDescent="0.25">
      <c r="A447" s="1">
        <f t="shared" si="81"/>
        <v>2720</v>
      </c>
      <c r="B447" s="1" t="str">
        <f t="shared" si="82"/>
        <v>Начисленные расходы по вкладам до востребования клиентов</v>
      </c>
      <c r="C447" s="1" t="str">
        <f>"1"</f>
        <v>1</v>
      </c>
      <c r="D447" s="1" t="str">
        <f>"7"</f>
        <v>7</v>
      </c>
      <c r="E447" s="1" t="str">
        <f>"1"</f>
        <v>1</v>
      </c>
      <c r="F447" s="2">
        <v>74379.8</v>
      </c>
    </row>
    <row r="448" spans="1:6" x14ac:dyDescent="0.25">
      <c r="A448" s="1">
        <f t="shared" si="81"/>
        <v>2720</v>
      </c>
      <c r="B448" s="1" t="str">
        <f t="shared" si="82"/>
        <v>Начисленные расходы по вкладам до востребования клиентов</v>
      </c>
      <c r="C448" s="1" t="str">
        <f>"2"</f>
        <v>2</v>
      </c>
      <c r="D448" s="1" t="str">
        <f>"7"</f>
        <v>7</v>
      </c>
      <c r="E448" s="1" t="str">
        <f>"2"</f>
        <v>2</v>
      </c>
      <c r="F448" s="2">
        <v>23.52</v>
      </c>
    </row>
    <row r="449" spans="1:6" x14ac:dyDescent="0.25">
      <c r="A449" s="1">
        <f t="shared" si="81"/>
        <v>2720</v>
      </c>
      <c r="B449" s="1" t="str">
        <f t="shared" si="82"/>
        <v>Начисленные расходы по вкладам до востребования клиентов</v>
      </c>
      <c r="C449" s="1" t="str">
        <f>"1"</f>
        <v>1</v>
      </c>
      <c r="D449" s="1" t="str">
        <f>"9"</f>
        <v>9</v>
      </c>
      <c r="E449" s="1" t="str">
        <f>"2"</f>
        <v>2</v>
      </c>
      <c r="F449" s="2">
        <v>26796944.079999998</v>
      </c>
    </row>
    <row r="450" spans="1:6" x14ac:dyDescent="0.25">
      <c r="A450" s="1">
        <f t="shared" si="81"/>
        <v>2720</v>
      </c>
      <c r="B450" s="1" t="str">
        <f t="shared" si="82"/>
        <v>Начисленные расходы по вкладам до востребования клиентов</v>
      </c>
      <c r="C450" s="1" t="str">
        <f>"2"</f>
        <v>2</v>
      </c>
      <c r="D450" s="1" t="str">
        <f>"9"</f>
        <v>9</v>
      </c>
      <c r="E450" s="1" t="str">
        <f>"2"</f>
        <v>2</v>
      </c>
      <c r="F450" s="2">
        <v>142461452.11000001</v>
      </c>
    </row>
    <row r="451" spans="1:6" x14ac:dyDescent="0.25">
      <c r="A451" s="1">
        <f t="shared" si="81"/>
        <v>2720</v>
      </c>
      <c r="B451" s="1" t="str">
        <f t="shared" si="82"/>
        <v>Начисленные расходы по вкладам до востребования клиентов</v>
      </c>
      <c r="C451" s="1" t="str">
        <f>"1"</f>
        <v>1</v>
      </c>
      <c r="D451" s="1" t="str">
        <f>"9"</f>
        <v>9</v>
      </c>
      <c r="E451" s="1" t="str">
        <f>"1"</f>
        <v>1</v>
      </c>
      <c r="F451" s="2">
        <v>9033.16</v>
      </c>
    </row>
    <row r="452" spans="1:6" x14ac:dyDescent="0.25">
      <c r="A452" s="1">
        <f t="shared" si="81"/>
        <v>2720</v>
      </c>
      <c r="B452" s="1" t="str">
        <f t="shared" si="82"/>
        <v>Начисленные расходы по вкладам до востребования клиентов</v>
      </c>
      <c r="C452" s="1" t="str">
        <f>"1"</f>
        <v>1</v>
      </c>
      <c r="D452" s="1" t="str">
        <f>"9"</f>
        <v>9</v>
      </c>
      <c r="E452" s="1" t="str">
        <f>"3"</f>
        <v>3</v>
      </c>
      <c r="F452" s="2">
        <v>9.34</v>
      </c>
    </row>
    <row r="453" spans="1:6" x14ac:dyDescent="0.25">
      <c r="A453" s="1">
        <f t="shared" si="81"/>
        <v>2720</v>
      </c>
      <c r="B453" s="1" t="str">
        <f t="shared" si="82"/>
        <v>Начисленные расходы по вкладам до востребования клиентов</v>
      </c>
      <c r="C453" s="1" t="str">
        <f>"1"</f>
        <v>1</v>
      </c>
      <c r="D453" s="1" t="str">
        <f>"7"</f>
        <v>7</v>
      </c>
      <c r="E453" s="1" t="str">
        <f>"2"</f>
        <v>2</v>
      </c>
      <c r="F453" s="2">
        <v>1129.97</v>
      </c>
    </row>
    <row r="454" spans="1:6" x14ac:dyDescent="0.25">
      <c r="A454" s="1">
        <f t="shared" si="81"/>
        <v>2720</v>
      </c>
      <c r="B454" s="1" t="str">
        <f t="shared" si="82"/>
        <v>Начисленные расходы по вкладам до востребования клиентов</v>
      </c>
      <c r="C454" s="1" t="str">
        <f>"2"</f>
        <v>2</v>
      </c>
      <c r="D454" s="1" t="str">
        <f>"9"</f>
        <v>9</v>
      </c>
      <c r="E454" s="1" t="str">
        <f>"3"</f>
        <v>3</v>
      </c>
      <c r="F454" s="2">
        <v>37883.03</v>
      </c>
    </row>
    <row r="455" spans="1:6" x14ac:dyDescent="0.25">
      <c r="A455" s="1">
        <f t="shared" si="81"/>
        <v>2720</v>
      </c>
      <c r="B455" s="1" t="str">
        <f t="shared" si="82"/>
        <v>Начисленные расходы по вкладам до востребования клиентов</v>
      </c>
      <c r="C455" s="1" t="str">
        <f>"1"</f>
        <v>1</v>
      </c>
      <c r="D455" s="1" t="str">
        <f>"5"</f>
        <v>5</v>
      </c>
      <c r="E455" s="1" t="str">
        <f>"1"</f>
        <v>1</v>
      </c>
      <c r="F455" s="2">
        <v>1.33</v>
      </c>
    </row>
    <row r="456" spans="1:6" x14ac:dyDescent="0.25">
      <c r="A456" s="1">
        <f t="shared" ref="A456:A474" si="83">("2721")*1</f>
        <v>2721</v>
      </c>
      <c r="B456" s="1" t="str">
        <f t="shared" ref="B456:B474" si="84">"Начисленные расходы по срочным вкладам клиентов"</f>
        <v>Начисленные расходы по срочным вкладам клиентов</v>
      </c>
      <c r="C456" s="1" t="str">
        <f>"2"</f>
        <v>2</v>
      </c>
      <c r="D456" s="1" t="str">
        <f>"9"</f>
        <v>9</v>
      </c>
      <c r="E456" s="1" t="str">
        <f>"1"</f>
        <v>1</v>
      </c>
      <c r="F456" s="2">
        <v>1215.19</v>
      </c>
    </row>
    <row r="457" spans="1:6" x14ac:dyDescent="0.25">
      <c r="A457" s="1">
        <f t="shared" si="83"/>
        <v>2721</v>
      </c>
      <c r="B457" s="1" t="str">
        <f t="shared" si="84"/>
        <v>Начисленные расходы по срочным вкладам клиентов</v>
      </c>
      <c r="C457" s="1" t="str">
        <f>"1"</f>
        <v>1</v>
      </c>
      <c r="D457" s="1" t="str">
        <f>"5"</f>
        <v>5</v>
      </c>
      <c r="E457" s="1" t="str">
        <f>"2"</f>
        <v>2</v>
      </c>
      <c r="F457" s="2">
        <v>2909880.71</v>
      </c>
    </row>
    <row r="458" spans="1:6" x14ac:dyDescent="0.25">
      <c r="A458" s="1">
        <f t="shared" si="83"/>
        <v>2721</v>
      </c>
      <c r="B458" s="1" t="str">
        <f t="shared" si="84"/>
        <v>Начисленные расходы по срочным вкладам клиентов</v>
      </c>
      <c r="C458" s="1" t="str">
        <f>"2"</f>
        <v>2</v>
      </c>
      <c r="D458" s="1" t="str">
        <f>"7"</f>
        <v>7</v>
      </c>
      <c r="E458" s="1" t="str">
        <f>"3"</f>
        <v>3</v>
      </c>
      <c r="F458" s="2">
        <v>2084045.44</v>
      </c>
    </row>
    <row r="459" spans="1:6" x14ac:dyDescent="0.25">
      <c r="A459" s="1">
        <f t="shared" si="83"/>
        <v>2721</v>
      </c>
      <c r="B459" s="1" t="str">
        <f t="shared" si="84"/>
        <v>Начисленные расходы по срочным вкладам клиентов</v>
      </c>
      <c r="C459" s="1" t="str">
        <f>"2"</f>
        <v>2</v>
      </c>
      <c r="D459" s="1" t="str">
        <f>"9"</f>
        <v>9</v>
      </c>
      <c r="E459" s="1" t="str">
        <f>"3"</f>
        <v>3</v>
      </c>
      <c r="F459" s="2">
        <v>15</v>
      </c>
    </row>
    <row r="460" spans="1:6" x14ac:dyDescent="0.25">
      <c r="A460" s="1">
        <f t="shared" si="83"/>
        <v>2721</v>
      </c>
      <c r="B460" s="1" t="str">
        <f t="shared" si="84"/>
        <v>Начисленные расходы по срочным вкладам клиентов</v>
      </c>
      <c r="C460" s="1" t="str">
        <f>"1"</f>
        <v>1</v>
      </c>
      <c r="D460" s="1" t="str">
        <f>"7"</f>
        <v>7</v>
      </c>
      <c r="E460" s="1" t="str">
        <f>"2"</f>
        <v>2</v>
      </c>
      <c r="F460" s="2">
        <v>76853996.120000005</v>
      </c>
    </row>
    <row r="461" spans="1:6" x14ac:dyDescent="0.25">
      <c r="A461" s="1">
        <f t="shared" si="83"/>
        <v>2721</v>
      </c>
      <c r="B461" s="1" t="str">
        <f t="shared" si="84"/>
        <v>Начисленные расходы по срочным вкладам клиентов</v>
      </c>
      <c r="C461" s="1" t="str">
        <f>"1"</f>
        <v>1</v>
      </c>
      <c r="D461" s="1" t="str">
        <f>"9"</f>
        <v>9</v>
      </c>
      <c r="E461" s="1" t="str">
        <f>"2"</f>
        <v>2</v>
      </c>
      <c r="F461" s="2">
        <v>1390758.29</v>
      </c>
    </row>
    <row r="462" spans="1:6" x14ac:dyDescent="0.25">
      <c r="A462" s="1">
        <f t="shared" si="83"/>
        <v>2721</v>
      </c>
      <c r="B462" s="1" t="str">
        <f t="shared" si="84"/>
        <v>Начисленные расходы по срочным вкладам клиентов</v>
      </c>
      <c r="C462" s="1" t="str">
        <f>"1"</f>
        <v>1</v>
      </c>
      <c r="D462" s="1" t="str">
        <f>"8"</f>
        <v>8</v>
      </c>
      <c r="E462" s="1" t="str">
        <f>"1"</f>
        <v>1</v>
      </c>
      <c r="F462" s="2">
        <v>65320526.920000002</v>
      </c>
    </row>
    <row r="463" spans="1:6" x14ac:dyDescent="0.25">
      <c r="A463" s="1">
        <f t="shared" si="83"/>
        <v>2721</v>
      </c>
      <c r="B463" s="1" t="str">
        <f t="shared" si="84"/>
        <v>Начисленные расходы по срочным вкладам клиентов</v>
      </c>
      <c r="C463" s="1" t="str">
        <f>"1"</f>
        <v>1</v>
      </c>
      <c r="D463" s="1" t="str">
        <f>"9"</f>
        <v>9</v>
      </c>
      <c r="E463" s="1" t="str">
        <f>"3"</f>
        <v>3</v>
      </c>
      <c r="F463" s="2">
        <v>217.41</v>
      </c>
    </row>
    <row r="464" spans="1:6" x14ac:dyDescent="0.25">
      <c r="A464" s="1">
        <f t="shared" si="83"/>
        <v>2721</v>
      </c>
      <c r="B464" s="1" t="str">
        <f t="shared" si="84"/>
        <v>Начисленные расходы по срочным вкладам клиентов</v>
      </c>
      <c r="C464" s="1" t="str">
        <f>"2"</f>
        <v>2</v>
      </c>
      <c r="D464" s="1" t="str">
        <f>"9"</f>
        <v>9</v>
      </c>
      <c r="E464" s="1" t="str">
        <f>"2"</f>
        <v>2</v>
      </c>
      <c r="F464" s="2">
        <v>159.9</v>
      </c>
    </row>
    <row r="465" spans="1:6" x14ac:dyDescent="0.25">
      <c r="A465" s="1">
        <f t="shared" si="83"/>
        <v>2721</v>
      </c>
      <c r="B465" s="1" t="str">
        <f t="shared" si="84"/>
        <v>Начисленные расходы по срочным вкладам клиентов</v>
      </c>
      <c r="C465" s="1" t="str">
        <f>"1"</f>
        <v>1</v>
      </c>
      <c r="D465" s="1" t="str">
        <f>"6"</f>
        <v>6</v>
      </c>
      <c r="E465" s="1" t="str">
        <f>"1"</f>
        <v>1</v>
      </c>
      <c r="F465" s="2">
        <v>131921082.06999999</v>
      </c>
    </row>
    <row r="466" spans="1:6" x14ac:dyDescent="0.25">
      <c r="A466" s="1">
        <f t="shared" si="83"/>
        <v>2721</v>
      </c>
      <c r="B466" s="1" t="str">
        <f t="shared" si="84"/>
        <v>Начисленные расходы по срочным вкладам клиентов</v>
      </c>
      <c r="C466" s="1" t="str">
        <f>"1"</f>
        <v>1</v>
      </c>
      <c r="D466" s="1" t="str">
        <f>"5"</f>
        <v>5</v>
      </c>
      <c r="E466" s="1" t="str">
        <f>"3"</f>
        <v>3</v>
      </c>
      <c r="F466" s="2">
        <v>12139.25</v>
      </c>
    </row>
    <row r="467" spans="1:6" x14ac:dyDescent="0.25">
      <c r="A467" s="1">
        <f t="shared" si="83"/>
        <v>2721</v>
      </c>
      <c r="B467" s="1" t="str">
        <f t="shared" si="84"/>
        <v>Начисленные расходы по срочным вкладам клиентов</v>
      </c>
      <c r="C467" s="1" t="str">
        <f>"1"</f>
        <v>1</v>
      </c>
      <c r="D467" s="1" t="str">
        <f>"6"</f>
        <v>6</v>
      </c>
      <c r="E467" s="1" t="str">
        <f>"2"</f>
        <v>2</v>
      </c>
      <c r="F467" s="2">
        <v>84868.15</v>
      </c>
    </row>
    <row r="468" spans="1:6" x14ac:dyDescent="0.25">
      <c r="A468" s="1">
        <f t="shared" si="83"/>
        <v>2721</v>
      </c>
      <c r="B468" s="1" t="str">
        <f t="shared" si="84"/>
        <v>Начисленные расходы по срочным вкладам клиентов</v>
      </c>
      <c r="C468" s="1" t="str">
        <f>"1"</f>
        <v>1</v>
      </c>
      <c r="D468" s="1" t="str">
        <f>"8"</f>
        <v>8</v>
      </c>
      <c r="E468" s="1" t="str">
        <f>"2"</f>
        <v>2</v>
      </c>
      <c r="F468" s="2">
        <v>2297.79</v>
      </c>
    </row>
    <row r="469" spans="1:6" x14ac:dyDescent="0.25">
      <c r="A469" s="1">
        <f t="shared" si="83"/>
        <v>2721</v>
      </c>
      <c r="B469" s="1" t="str">
        <f t="shared" si="84"/>
        <v>Начисленные расходы по срочным вкладам клиентов</v>
      </c>
      <c r="C469" s="1" t="str">
        <f>"1"</f>
        <v>1</v>
      </c>
      <c r="D469" s="1" t="str">
        <f>"9"</f>
        <v>9</v>
      </c>
      <c r="E469" s="1" t="str">
        <f>"1"</f>
        <v>1</v>
      </c>
      <c r="F469" s="2">
        <v>24334253.09</v>
      </c>
    </row>
    <row r="470" spans="1:6" x14ac:dyDescent="0.25">
      <c r="A470" s="1">
        <f t="shared" si="83"/>
        <v>2721</v>
      </c>
      <c r="B470" s="1" t="str">
        <f t="shared" si="84"/>
        <v>Начисленные расходы по срочным вкладам клиентов</v>
      </c>
      <c r="C470" s="1" t="str">
        <f>"2"</f>
        <v>2</v>
      </c>
      <c r="D470" s="1" t="str">
        <f>"5"</f>
        <v>5</v>
      </c>
      <c r="E470" s="1" t="str">
        <f>"2"</f>
        <v>2</v>
      </c>
      <c r="F470" s="2">
        <v>1716886.8</v>
      </c>
    </row>
    <row r="471" spans="1:6" x14ac:dyDescent="0.25">
      <c r="A471" s="1">
        <f t="shared" si="83"/>
        <v>2721</v>
      </c>
      <c r="B471" s="1" t="str">
        <f t="shared" si="84"/>
        <v>Начисленные расходы по срочным вкладам клиентов</v>
      </c>
      <c r="C471" s="1" t="str">
        <f>"1"</f>
        <v>1</v>
      </c>
      <c r="D471" s="1" t="str">
        <f>"5"</f>
        <v>5</v>
      </c>
      <c r="E471" s="1" t="str">
        <f>"1"</f>
        <v>1</v>
      </c>
      <c r="F471" s="2">
        <v>1482257450.6300001</v>
      </c>
    </row>
    <row r="472" spans="1:6" x14ac:dyDescent="0.25">
      <c r="A472" s="1">
        <f t="shared" si="83"/>
        <v>2721</v>
      </c>
      <c r="B472" s="1" t="str">
        <f t="shared" si="84"/>
        <v>Начисленные расходы по срочным вкладам клиентов</v>
      </c>
      <c r="C472" s="1" t="str">
        <f>"1"</f>
        <v>1</v>
      </c>
      <c r="D472" s="1" t="str">
        <f>"7"</f>
        <v>7</v>
      </c>
      <c r="E472" s="1" t="str">
        <f>"1"</f>
        <v>1</v>
      </c>
      <c r="F472" s="2">
        <v>527208868.93000001</v>
      </c>
    </row>
    <row r="473" spans="1:6" x14ac:dyDescent="0.25">
      <c r="A473" s="1">
        <f t="shared" si="83"/>
        <v>2721</v>
      </c>
      <c r="B473" s="1" t="str">
        <f t="shared" si="84"/>
        <v>Начисленные расходы по срочным вкладам клиентов</v>
      </c>
      <c r="C473" s="1" t="str">
        <f>"1"</f>
        <v>1</v>
      </c>
      <c r="D473" s="1" t="str">
        <f>"7"</f>
        <v>7</v>
      </c>
      <c r="E473" s="1" t="str">
        <f>"3"</f>
        <v>3</v>
      </c>
      <c r="F473" s="2">
        <v>4270828.0999999996</v>
      </c>
    </row>
    <row r="474" spans="1:6" x14ac:dyDescent="0.25">
      <c r="A474" s="1">
        <f t="shared" si="83"/>
        <v>2721</v>
      </c>
      <c r="B474" s="1" t="str">
        <f t="shared" si="84"/>
        <v>Начисленные расходы по срочным вкладам клиентов</v>
      </c>
      <c r="C474" s="1" t="str">
        <f>"2"</f>
        <v>2</v>
      </c>
      <c r="D474" s="1" t="str">
        <f>"7"</f>
        <v>7</v>
      </c>
      <c r="E474" s="1" t="str">
        <f>"2"</f>
        <v>2</v>
      </c>
      <c r="F474" s="2">
        <v>87007081.900000006</v>
      </c>
    </row>
    <row r="475" spans="1:6" x14ac:dyDescent="0.25">
      <c r="A475" s="1">
        <f t="shared" ref="A475:A481" si="85">("2723")*1</f>
        <v>2723</v>
      </c>
      <c r="B475" s="1" t="str">
        <f t="shared" ref="B475:B481" si="86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C475" s="1" t="str">
        <f>"1"</f>
        <v>1</v>
      </c>
      <c r="D475" s="1" t="str">
        <f>"7"</f>
        <v>7</v>
      </c>
      <c r="E475" s="1" t="str">
        <f>"1"</f>
        <v>1</v>
      </c>
      <c r="F475" s="2">
        <v>21664329.52</v>
      </c>
    </row>
    <row r="476" spans="1:6" x14ac:dyDescent="0.25">
      <c r="A476" s="1">
        <f t="shared" si="85"/>
        <v>2723</v>
      </c>
      <c r="B476" s="1" t="str">
        <f t="shared" si="86"/>
        <v>Начисленные расходы по вкладу, являющемуся обеспечением обязательств клиентов</v>
      </c>
      <c r="C476" s="1" t="str">
        <f>"2"</f>
        <v>2</v>
      </c>
      <c r="D476" s="1" t="str">
        <f>"9"</f>
        <v>9</v>
      </c>
      <c r="E476" s="1" t="str">
        <f>"1"</f>
        <v>1</v>
      </c>
      <c r="F476" s="2">
        <v>17350.46</v>
      </c>
    </row>
    <row r="477" spans="1:6" x14ac:dyDescent="0.25">
      <c r="A477" s="1">
        <f t="shared" si="85"/>
        <v>2723</v>
      </c>
      <c r="B477" s="1" t="str">
        <f t="shared" si="86"/>
        <v>Начисленные расходы по вкладу, являющемуся обеспечением обязательств клиентов</v>
      </c>
      <c r="C477" s="1" t="str">
        <f>"1"</f>
        <v>1</v>
      </c>
      <c r="D477" s="1" t="str">
        <f>"7"</f>
        <v>7</v>
      </c>
      <c r="E477" s="1" t="str">
        <f>"2"</f>
        <v>2</v>
      </c>
      <c r="F477" s="2">
        <v>3711556.41</v>
      </c>
    </row>
    <row r="478" spans="1:6" x14ac:dyDescent="0.25">
      <c r="A478" s="1">
        <f t="shared" si="85"/>
        <v>2723</v>
      </c>
      <c r="B478" s="1" t="str">
        <f t="shared" si="86"/>
        <v>Начисленные расходы по вкладу, являющемуся обеспечением обязательств клиентов</v>
      </c>
      <c r="C478" s="1" t="str">
        <f>"2"</f>
        <v>2</v>
      </c>
      <c r="D478" s="1" t="str">
        <f>"9"</f>
        <v>9</v>
      </c>
      <c r="E478" s="1" t="str">
        <f>"2"</f>
        <v>2</v>
      </c>
      <c r="F478" s="2">
        <v>122.62</v>
      </c>
    </row>
    <row r="479" spans="1:6" x14ac:dyDescent="0.25">
      <c r="A479" s="1">
        <f t="shared" si="85"/>
        <v>2723</v>
      </c>
      <c r="B479" s="1" t="str">
        <f t="shared" si="86"/>
        <v>Начисленные расходы по вкладу, являющемуся обеспечением обязательств клиентов</v>
      </c>
      <c r="C479" s="1" t="str">
        <f>"1"</f>
        <v>1</v>
      </c>
      <c r="D479" s="1" t="str">
        <f>"5"</f>
        <v>5</v>
      </c>
      <c r="E479" s="1" t="str">
        <f>"1"</f>
        <v>1</v>
      </c>
      <c r="F479" s="2">
        <v>2773752.67</v>
      </c>
    </row>
    <row r="480" spans="1:6" x14ac:dyDescent="0.25">
      <c r="A480" s="1">
        <f t="shared" si="85"/>
        <v>2723</v>
      </c>
      <c r="B480" s="1" t="str">
        <f t="shared" si="86"/>
        <v>Начисленные расходы по вкладу, являющемуся обеспечением обязательств клиентов</v>
      </c>
      <c r="C480" s="1" t="str">
        <f>"1"</f>
        <v>1</v>
      </c>
      <c r="D480" s="1" t="str">
        <f>"9"</f>
        <v>9</v>
      </c>
      <c r="E480" s="1" t="str">
        <f>"1"</f>
        <v>1</v>
      </c>
      <c r="F480" s="2">
        <v>325707.52000000002</v>
      </c>
    </row>
    <row r="481" spans="1:6" x14ac:dyDescent="0.25">
      <c r="A481" s="1">
        <f t="shared" si="85"/>
        <v>2723</v>
      </c>
      <c r="B481" s="1" t="str">
        <f t="shared" si="86"/>
        <v>Начисленные расходы по вкладу, являющемуся обеспечением обязательств клиентов</v>
      </c>
      <c r="C481" s="1" t="str">
        <f>"1"</f>
        <v>1</v>
      </c>
      <c r="D481" s="1" t="str">
        <f>"9"</f>
        <v>9</v>
      </c>
      <c r="E481" s="1" t="str">
        <f>"2"</f>
        <v>2</v>
      </c>
      <c r="F481" s="2">
        <v>1426.76</v>
      </c>
    </row>
    <row r="482" spans="1:6" x14ac:dyDescent="0.25">
      <c r="A482" s="1">
        <f t="shared" ref="A482:A487" si="87">("2724")*1</f>
        <v>2724</v>
      </c>
      <c r="B482" s="1" t="str">
        <f t="shared" ref="B482:B487" si="88">"Начисленные расходы по сберегательным вкладам клиентов"</f>
        <v>Начисленные расходы по сберегательным вкладам клиентов</v>
      </c>
      <c r="C482" s="1" t="str">
        <f>"1"</f>
        <v>1</v>
      </c>
      <c r="D482" s="1" t="str">
        <f>"5"</f>
        <v>5</v>
      </c>
      <c r="E482" s="1" t="str">
        <f>"1"</f>
        <v>1</v>
      </c>
      <c r="F482" s="2">
        <v>2183.7600000000002</v>
      </c>
    </row>
    <row r="483" spans="1:6" x14ac:dyDescent="0.25">
      <c r="A483" s="1">
        <f t="shared" si="87"/>
        <v>2724</v>
      </c>
      <c r="B483" s="1" t="str">
        <f t="shared" si="88"/>
        <v>Начисленные расходы по сберегательным вкладам клиентов</v>
      </c>
      <c r="C483" s="1" t="str">
        <f>"2"</f>
        <v>2</v>
      </c>
      <c r="D483" s="1" t="str">
        <f>"9"</f>
        <v>9</v>
      </c>
      <c r="E483" s="1" t="str">
        <f>"1"</f>
        <v>1</v>
      </c>
      <c r="F483" s="2">
        <v>753.91</v>
      </c>
    </row>
    <row r="484" spans="1:6" x14ac:dyDescent="0.25">
      <c r="A484" s="1">
        <f t="shared" si="87"/>
        <v>2724</v>
      </c>
      <c r="B484" s="1" t="str">
        <f t="shared" si="88"/>
        <v>Начисленные расходы по сберегательным вкладам клиентов</v>
      </c>
      <c r="C484" s="1" t="str">
        <f t="shared" ref="C484:C499" si="89">"1"</f>
        <v>1</v>
      </c>
      <c r="D484" s="1" t="str">
        <f>"9"</f>
        <v>9</v>
      </c>
      <c r="E484" s="1" t="str">
        <f>"1"</f>
        <v>1</v>
      </c>
      <c r="F484" s="2">
        <v>3065991.36</v>
      </c>
    </row>
    <row r="485" spans="1:6" x14ac:dyDescent="0.25">
      <c r="A485" s="1">
        <f t="shared" si="87"/>
        <v>2724</v>
      </c>
      <c r="B485" s="1" t="str">
        <f t="shared" si="88"/>
        <v>Начисленные расходы по сберегательным вкладам клиентов</v>
      </c>
      <c r="C485" s="1" t="str">
        <f t="shared" si="89"/>
        <v>1</v>
      </c>
      <c r="D485" s="1" t="str">
        <f>"7"</f>
        <v>7</v>
      </c>
      <c r="E485" s="1" t="str">
        <f>"2"</f>
        <v>2</v>
      </c>
      <c r="F485" s="2">
        <v>123995.73</v>
      </c>
    </row>
    <row r="486" spans="1:6" x14ac:dyDescent="0.25">
      <c r="A486" s="1">
        <f t="shared" si="87"/>
        <v>2724</v>
      </c>
      <c r="B486" s="1" t="str">
        <f t="shared" si="88"/>
        <v>Начисленные расходы по сберегательным вкладам клиентов</v>
      </c>
      <c r="C486" s="1" t="str">
        <f t="shared" si="89"/>
        <v>1</v>
      </c>
      <c r="D486" s="1" t="str">
        <f>"6"</f>
        <v>6</v>
      </c>
      <c r="E486" s="1" t="str">
        <f t="shared" ref="E486:E501" si="90">"1"</f>
        <v>1</v>
      </c>
      <c r="F486" s="2">
        <v>2189054.79</v>
      </c>
    </row>
    <row r="487" spans="1:6" x14ac:dyDescent="0.25">
      <c r="A487" s="1">
        <f t="shared" si="87"/>
        <v>2724</v>
      </c>
      <c r="B487" s="1" t="str">
        <f t="shared" si="88"/>
        <v>Начисленные расходы по сберегательным вкладам клиентов</v>
      </c>
      <c r="C487" s="1" t="str">
        <f t="shared" si="89"/>
        <v>1</v>
      </c>
      <c r="D487" s="1" t="str">
        <f>"7"</f>
        <v>7</v>
      </c>
      <c r="E487" s="1" t="str">
        <f t="shared" si="90"/>
        <v>1</v>
      </c>
      <c r="F487" s="2">
        <v>209826021.91</v>
      </c>
    </row>
    <row r="488" spans="1:6" x14ac:dyDescent="0.25">
      <c r="A488" s="1">
        <f>("2730")*1</f>
        <v>2730</v>
      </c>
      <c r="B488" s="1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C488" s="1" t="str">
        <f t="shared" si="89"/>
        <v>1</v>
      </c>
      <c r="D488" s="1" t="str">
        <f>"5"</f>
        <v>5</v>
      </c>
      <c r="E488" s="1" t="str">
        <f t="shared" si="90"/>
        <v>1</v>
      </c>
      <c r="F488" s="2">
        <v>564882202.90999997</v>
      </c>
    </row>
    <row r="489" spans="1:6" x14ac:dyDescent="0.25">
      <c r="A489" s="1">
        <f>("2731")*1</f>
        <v>2731</v>
      </c>
      <c r="B489" s="1" t="str">
        <f>"Начисленные расходы по прочим операциям"</f>
        <v>Начисленные расходы по прочим операциям</v>
      </c>
      <c r="C489" s="1" t="str">
        <f t="shared" si="89"/>
        <v>1</v>
      </c>
      <c r="D489" s="1" t="str">
        <f>"5"</f>
        <v>5</v>
      </c>
      <c r="E489" s="1" t="str">
        <f t="shared" si="90"/>
        <v>1</v>
      </c>
      <c r="F489" s="2">
        <v>555715512.38999999</v>
      </c>
    </row>
    <row r="490" spans="1:6" x14ac:dyDescent="0.25">
      <c r="A490" s="1">
        <f>("2745")*1</f>
        <v>2745</v>
      </c>
      <c r="B490" s="1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490" s="1" t="str">
        <f t="shared" si="89"/>
        <v>1</v>
      </c>
      <c r="D490" s="1" t="str">
        <f>"7"</f>
        <v>7</v>
      </c>
      <c r="E490" s="1" t="str">
        <f t="shared" si="90"/>
        <v>1</v>
      </c>
      <c r="F490" s="2">
        <v>10611006.859999999</v>
      </c>
    </row>
    <row r="491" spans="1:6" x14ac:dyDescent="0.25">
      <c r="A491" s="1">
        <f>("2745")*1</f>
        <v>2745</v>
      </c>
      <c r="B491" s="1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491" s="1" t="str">
        <f t="shared" si="89"/>
        <v>1</v>
      </c>
      <c r="D491" s="1" t="str">
        <f>"8"</f>
        <v>8</v>
      </c>
      <c r="E491" s="1" t="str">
        <f t="shared" si="90"/>
        <v>1</v>
      </c>
      <c r="F491" s="2">
        <v>1381.46</v>
      </c>
    </row>
    <row r="492" spans="1:6" x14ac:dyDescent="0.25">
      <c r="A492" s="1">
        <f>("2745")*1</f>
        <v>2745</v>
      </c>
      <c r="B492" s="1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492" s="1" t="str">
        <f t="shared" si="89"/>
        <v>1</v>
      </c>
      <c r="D492" s="1" t="str">
        <f>"6"</f>
        <v>6</v>
      </c>
      <c r="E492" s="1" t="str">
        <f t="shared" si="90"/>
        <v>1</v>
      </c>
      <c r="F492" s="2">
        <v>71798.289999999994</v>
      </c>
    </row>
    <row r="493" spans="1:6" x14ac:dyDescent="0.25">
      <c r="A493" s="1">
        <f>("2745")*1</f>
        <v>2745</v>
      </c>
      <c r="B493" s="1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493" s="1" t="str">
        <f t="shared" si="89"/>
        <v>1</v>
      </c>
      <c r="D493" s="1" t="str">
        <f>"9"</f>
        <v>9</v>
      </c>
      <c r="E493" s="1" t="str">
        <f t="shared" si="90"/>
        <v>1</v>
      </c>
      <c r="F493" s="2">
        <v>6782366.7999999998</v>
      </c>
    </row>
    <row r="494" spans="1:6" x14ac:dyDescent="0.25">
      <c r="A494" s="1">
        <f>("2756")*1</f>
        <v>2756</v>
      </c>
      <c r="B494" s="1" t="str">
        <f>"Начисленные расходы по субординированным облигациям"</f>
        <v>Начисленные расходы по субординированным облигациям</v>
      </c>
      <c r="C494" s="1" t="str">
        <f t="shared" si="89"/>
        <v>1</v>
      </c>
      <c r="D494" s="1" t="str">
        <f>"5"</f>
        <v>5</v>
      </c>
      <c r="E494" s="1" t="str">
        <f t="shared" si="90"/>
        <v>1</v>
      </c>
      <c r="F494" s="2">
        <v>4599289104.1700001</v>
      </c>
    </row>
    <row r="495" spans="1:6" x14ac:dyDescent="0.25">
      <c r="A495" s="1">
        <f t="shared" ref="A495:A501" si="91">("2770")*1</f>
        <v>2770</v>
      </c>
      <c r="B495" s="1" t="str">
        <f t="shared" ref="B495:B501" si="92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C495" s="1" t="str">
        <f t="shared" si="89"/>
        <v>1</v>
      </c>
      <c r="D495" s="1" t="str">
        <f>"6"</f>
        <v>6</v>
      </c>
      <c r="E495" s="1" t="str">
        <f t="shared" si="90"/>
        <v>1</v>
      </c>
      <c r="F495" s="2">
        <v>33334454.77</v>
      </c>
    </row>
    <row r="496" spans="1:6" x14ac:dyDescent="0.25">
      <c r="A496" s="1">
        <f t="shared" si="91"/>
        <v>2770</v>
      </c>
      <c r="B496" s="1" t="str">
        <f t="shared" si="92"/>
        <v>Начисленные расходы по административно-хозяйственной деятельности</v>
      </c>
      <c r="C496" s="1" t="str">
        <f t="shared" si="89"/>
        <v>1</v>
      </c>
      <c r="D496" s="1" t="str">
        <f>"9"</f>
        <v>9</v>
      </c>
      <c r="E496" s="1" t="str">
        <f t="shared" si="90"/>
        <v>1</v>
      </c>
      <c r="F496" s="2">
        <v>30024764.5</v>
      </c>
    </row>
    <row r="497" spans="1:6" x14ac:dyDescent="0.25">
      <c r="A497" s="1">
        <f t="shared" si="91"/>
        <v>2770</v>
      </c>
      <c r="B497" s="1" t="str">
        <f t="shared" si="92"/>
        <v>Начисленные расходы по административно-хозяйственной деятельности</v>
      </c>
      <c r="C497" s="1" t="str">
        <f t="shared" si="89"/>
        <v>1</v>
      </c>
      <c r="D497" s="1" t="str">
        <f>"1"</f>
        <v>1</v>
      </c>
      <c r="E497" s="1" t="str">
        <f t="shared" si="90"/>
        <v>1</v>
      </c>
      <c r="F497" s="2">
        <v>16042868</v>
      </c>
    </row>
    <row r="498" spans="1:6" x14ac:dyDescent="0.25">
      <c r="A498" s="1">
        <f t="shared" si="91"/>
        <v>2770</v>
      </c>
      <c r="B498" s="1" t="str">
        <f t="shared" si="92"/>
        <v>Начисленные расходы по административно-хозяйственной деятельности</v>
      </c>
      <c r="C498" s="1" t="str">
        <f t="shared" si="89"/>
        <v>1</v>
      </c>
      <c r="D498" s="1" t="str">
        <f>"5"</f>
        <v>5</v>
      </c>
      <c r="E498" s="1" t="str">
        <f t="shared" si="90"/>
        <v>1</v>
      </c>
      <c r="F498" s="2">
        <v>1126675</v>
      </c>
    </row>
    <row r="499" spans="1:6" x14ac:dyDescent="0.25">
      <c r="A499" s="1">
        <f t="shared" si="91"/>
        <v>2770</v>
      </c>
      <c r="B499" s="1" t="str">
        <f t="shared" si="92"/>
        <v>Начисленные расходы по административно-хозяйственной деятельности</v>
      </c>
      <c r="C499" s="1" t="str">
        <f t="shared" si="89"/>
        <v>1</v>
      </c>
      <c r="D499" s="1" t="str">
        <f>"7"</f>
        <v>7</v>
      </c>
      <c r="E499" s="1" t="str">
        <f t="shared" si="90"/>
        <v>1</v>
      </c>
      <c r="F499" s="2">
        <v>274944404.41000003</v>
      </c>
    </row>
    <row r="500" spans="1:6" x14ac:dyDescent="0.25">
      <c r="A500" s="1">
        <f t="shared" si="91"/>
        <v>2770</v>
      </c>
      <c r="B500" s="1" t="str">
        <f t="shared" si="92"/>
        <v>Начисленные расходы по административно-хозяйственной деятельности</v>
      </c>
      <c r="C500" s="1" t="str">
        <f>"2"</f>
        <v>2</v>
      </c>
      <c r="D500" s="1" t="str">
        <f>"7"</f>
        <v>7</v>
      </c>
      <c r="E500" s="1" t="str">
        <f t="shared" si="90"/>
        <v>1</v>
      </c>
      <c r="F500" s="2">
        <v>89237941.370000005</v>
      </c>
    </row>
    <row r="501" spans="1:6" x14ac:dyDescent="0.25">
      <c r="A501" s="1">
        <f t="shared" si="91"/>
        <v>2770</v>
      </c>
      <c r="B501" s="1" t="str">
        <f t="shared" si="92"/>
        <v>Начисленные расходы по административно-хозяйственной деятельности</v>
      </c>
      <c r="C501" s="1" t="str">
        <f>"1"</f>
        <v>1</v>
      </c>
      <c r="D501" s="1" t="str">
        <f>"8"</f>
        <v>8</v>
      </c>
      <c r="E501" s="1" t="str">
        <f t="shared" si="90"/>
        <v>1</v>
      </c>
      <c r="F501" s="2">
        <v>3224091.79</v>
      </c>
    </row>
    <row r="502" spans="1:6" x14ac:dyDescent="0.25">
      <c r="A502" s="1">
        <f>("2792")*1</f>
        <v>2792</v>
      </c>
      <c r="B502" s="1" t="str">
        <f>"Предоплата вознаграждения по предоставленным займам"</f>
        <v>Предоплата вознаграждения по предоставленным займам</v>
      </c>
      <c r="C502" s="1" t="str">
        <f>"2"</f>
        <v>2</v>
      </c>
      <c r="D502" s="1" t="str">
        <f>"7"</f>
        <v>7</v>
      </c>
      <c r="E502" s="1" t="str">
        <f>"2"</f>
        <v>2</v>
      </c>
      <c r="F502" s="2">
        <v>229044.4</v>
      </c>
    </row>
    <row r="503" spans="1:6" x14ac:dyDescent="0.25">
      <c r="A503" s="1">
        <f>("2792")*1</f>
        <v>2792</v>
      </c>
      <c r="B503" s="1" t="str">
        <f>"Предоплата вознаграждения по предоставленным займам"</f>
        <v>Предоплата вознаграждения по предоставленным займам</v>
      </c>
      <c r="C503" s="1" t="str">
        <f>"2"</f>
        <v>2</v>
      </c>
      <c r="D503" s="1" t="str">
        <f>"7"</f>
        <v>7</v>
      </c>
      <c r="E503" s="1" t="str">
        <f>"3"</f>
        <v>3</v>
      </c>
      <c r="F503" s="2">
        <v>15122529.050000001</v>
      </c>
    </row>
    <row r="504" spans="1:6" x14ac:dyDescent="0.25">
      <c r="A504" s="1">
        <f t="shared" ref="A504:A514" si="93">("2794")*1</f>
        <v>2794</v>
      </c>
      <c r="B504" s="1" t="str">
        <f t="shared" ref="B504:B514" si="94">"Доходы будущих периодов"</f>
        <v>Доходы будущих периодов</v>
      </c>
      <c r="C504" s="1" t="str">
        <f>"1"</f>
        <v>1</v>
      </c>
      <c r="D504" s="1" t="str">
        <f>"7"</f>
        <v>7</v>
      </c>
      <c r="E504" s="1" t="str">
        <f>"1"</f>
        <v>1</v>
      </c>
      <c r="F504" s="2">
        <v>319795881.33999997</v>
      </c>
    </row>
    <row r="505" spans="1:6" x14ac:dyDescent="0.25">
      <c r="A505" s="1">
        <f t="shared" si="93"/>
        <v>2794</v>
      </c>
      <c r="B505" s="1" t="str">
        <f t="shared" si="94"/>
        <v>Доходы будущих периодов</v>
      </c>
      <c r="C505" s="1" t="str">
        <f>"1"</f>
        <v>1</v>
      </c>
      <c r="D505" s="1" t="str">
        <f>"6"</f>
        <v>6</v>
      </c>
      <c r="E505" s="1" t="str">
        <f>"1"</f>
        <v>1</v>
      </c>
      <c r="F505" s="2">
        <v>1090600.46</v>
      </c>
    </row>
    <row r="506" spans="1:6" x14ac:dyDescent="0.25">
      <c r="A506" s="1">
        <f t="shared" si="93"/>
        <v>2794</v>
      </c>
      <c r="B506" s="1" t="str">
        <f t="shared" si="94"/>
        <v>Доходы будущих периодов</v>
      </c>
      <c r="C506" s="1" t="str">
        <f>"2"</f>
        <v>2</v>
      </c>
      <c r="D506" s="1" t="str">
        <f>"7"</f>
        <v>7</v>
      </c>
      <c r="E506" s="1" t="str">
        <f>"1"</f>
        <v>1</v>
      </c>
      <c r="F506" s="2">
        <v>7278408.9000000004</v>
      </c>
    </row>
    <row r="507" spans="1:6" x14ac:dyDescent="0.25">
      <c r="A507" s="1">
        <f t="shared" si="93"/>
        <v>2794</v>
      </c>
      <c r="B507" s="1" t="str">
        <f t="shared" si="94"/>
        <v>Доходы будущих периодов</v>
      </c>
      <c r="C507" s="1" t="str">
        <f>"2"</f>
        <v>2</v>
      </c>
      <c r="D507" s="1" t="str">
        <f>"7"</f>
        <v>7</v>
      </c>
      <c r="E507" s="1" t="str">
        <f>"2"</f>
        <v>2</v>
      </c>
      <c r="F507" s="2">
        <v>10182418.880000001</v>
      </c>
    </row>
    <row r="508" spans="1:6" x14ac:dyDescent="0.25">
      <c r="A508" s="1">
        <f t="shared" si="93"/>
        <v>2794</v>
      </c>
      <c r="B508" s="1" t="str">
        <f t="shared" si="94"/>
        <v>Доходы будущих периодов</v>
      </c>
      <c r="C508" s="1" t="str">
        <f>"1"</f>
        <v>1</v>
      </c>
      <c r="D508" s="1" t="str">
        <f>"8"</f>
        <v>8</v>
      </c>
      <c r="E508" s="1" t="str">
        <f>"1"</f>
        <v>1</v>
      </c>
      <c r="F508" s="2">
        <v>52523.97</v>
      </c>
    </row>
    <row r="509" spans="1:6" x14ac:dyDescent="0.25">
      <c r="A509" s="1">
        <f t="shared" si="93"/>
        <v>2794</v>
      </c>
      <c r="B509" s="1" t="str">
        <f t="shared" si="94"/>
        <v>Доходы будущих периодов</v>
      </c>
      <c r="C509" s="1" t="str">
        <f>"1"</f>
        <v>1</v>
      </c>
      <c r="D509" s="1" t="str">
        <f>"5"</f>
        <v>5</v>
      </c>
      <c r="E509" s="1" t="str">
        <f>"1"</f>
        <v>1</v>
      </c>
      <c r="F509" s="2">
        <v>46603302.869999997</v>
      </c>
    </row>
    <row r="510" spans="1:6" x14ac:dyDescent="0.25">
      <c r="A510" s="1">
        <f t="shared" si="93"/>
        <v>2794</v>
      </c>
      <c r="B510" s="1" t="str">
        <f t="shared" si="94"/>
        <v>Доходы будущих периодов</v>
      </c>
      <c r="C510" s="1" t="str">
        <f>"2"</f>
        <v>2</v>
      </c>
      <c r="D510" s="1" t="str">
        <f>"9"</f>
        <v>9</v>
      </c>
      <c r="E510" s="1" t="str">
        <f>"1"</f>
        <v>1</v>
      </c>
      <c r="F510" s="2">
        <v>30389743.329999998</v>
      </c>
    </row>
    <row r="511" spans="1:6" x14ac:dyDescent="0.25">
      <c r="A511" s="1">
        <f t="shared" si="93"/>
        <v>2794</v>
      </c>
      <c r="B511" s="1" t="str">
        <f t="shared" si="94"/>
        <v>Доходы будущих периодов</v>
      </c>
      <c r="C511" s="1" t="str">
        <f>"1"</f>
        <v>1</v>
      </c>
      <c r="D511" s="1" t="str">
        <f>"2"</f>
        <v>2</v>
      </c>
      <c r="E511" s="1" t="str">
        <f>"1"</f>
        <v>1</v>
      </c>
      <c r="F511" s="2">
        <v>70666.67</v>
      </c>
    </row>
    <row r="512" spans="1:6" x14ac:dyDescent="0.25">
      <c r="A512" s="1">
        <f t="shared" si="93"/>
        <v>2794</v>
      </c>
      <c r="B512" s="1" t="str">
        <f t="shared" si="94"/>
        <v>Доходы будущих периодов</v>
      </c>
      <c r="C512" s="1" t="str">
        <f>"1"</f>
        <v>1</v>
      </c>
      <c r="D512" s="1" t="str">
        <f>"7"</f>
        <v>7</v>
      </c>
      <c r="E512" s="1" t="str">
        <f>"2"</f>
        <v>2</v>
      </c>
      <c r="F512" s="2">
        <v>12467034.289999999</v>
      </c>
    </row>
    <row r="513" spans="1:6" x14ac:dyDescent="0.25">
      <c r="A513" s="1">
        <f t="shared" si="93"/>
        <v>2794</v>
      </c>
      <c r="B513" s="1" t="str">
        <f t="shared" si="94"/>
        <v>Доходы будущих периодов</v>
      </c>
      <c r="C513" s="1" t="str">
        <f>"2"</f>
        <v>2</v>
      </c>
      <c r="D513" s="1" t="str">
        <f>"7"</f>
        <v>7</v>
      </c>
      <c r="E513" s="1" t="str">
        <f>"3"</f>
        <v>3</v>
      </c>
      <c r="F513" s="2">
        <v>3030652.21</v>
      </c>
    </row>
    <row r="514" spans="1:6" x14ac:dyDescent="0.25">
      <c r="A514" s="1">
        <f t="shared" si="93"/>
        <v>2794</v>
      </c>
      <c r="B514" s="1" t="str">
        <f t="shared" si="94"/>
        <v>Доходы будущих периодов</v>
      </c>
      <c r="C514" s="1" t="str">
        <f>"1"</f>
        <v>1</v>
      </c>
      <c r="D514" s="1" t="str">
        <f>"9"</f>
        <v>9</v>
      </c>
      <c r="E514" s="1" t="str">
        <f>"1"</f>
        <v>1</v>
      </c>
      <c r="F514" s="2">
        <v>149124183.47</v>
      </c>
    </row>
    <row r="515" spans="1:6" x14ac:dyDescent="0.25">
      <c r="A515" s="1">
        <f>("2799")*1</f>
        <v>2799</v>
      </c>
      <c r="B515" s="1" t="str">
        <f>"Прочие предоплаты"</f>
        <v>Прочие предоплаты</v>
      </c>
      <c r="C515" s="1" t="str">
        <f>"1"</f>
        <v>1</v>
      </c>
      <c r="D515" s="1" t="str">
        <f>"9"</f>
        <v>9</v>
      </c>
      <c r="E515" s="1" t="str">
        <f>"1"</f>
        <v>1</v>
      </c>
      <c r="F515" s="2">
        <v>289227706.02999997</v>
      </c>
    </row>
    <row r="516" spans="1:6" x14ac:dyDescent="0.25">
      <c r="A516" s="1">
        <f>("2811")*1</f>
        <v>2811</v>
      </c>
      <c r="B516" s="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16" s="1" t="str">
        <f>"1"</f>
        <v>1</v>
      </c>
      <c r="D516" s="1" t="str">
        <f>""</f>
        <v/>
      </c>
      <c r="E516" s="1" t="str">
        <f>"1"</f>
        <v>1</v>
      </c>
      <c r="F516" s="2">
        <v>27728765.609999999</v>
      </c>
    </row>
    <row r="517" spans="1:6" x14ac:dyDescent="0.25">
      <c r="A517" s="1">
        <f>("2811")*1</f>
        <v>2811</v>
      </c>
      <c r="B517" s="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17" s="1" t="str">
        <f>"1"</f>
        <v>1</v>
      </c>
      <c r="D517" s="1" t="str">
        <f>""</f>
        <v/>
      </c>
      <c r="E517" s="1" t="str">
        <f>"2"</f>
        <v>2</v>
      </c>
      <c r="F517" s="2">
        <v>32335.88</v>
      </c>
    </row>
    <row r="518" spans="1:6" x14ac:dyDescent="0.25">
      <c r="A518" s="1">
        <f>("2811")*1</f>
        <v>2811</v>
      </c>
      <c r="B518" s="1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18" s="1" t="str">
        <f>"2"</f>
        <v>2</v>
      </c>
      <c r="D518" s="1" t="str">
        <f>""</f>
        <v/>
      </c>
      <c r="E518" s="1" t="str">
        <f>"2"</f>
        <v>2</v>
      </c>
      <c r="F518" s="2">
        <v>23626171.800000001</v>
      </c>
    </row>
    <row r="519" spans="1:6" x14ac:dyDescent="0.25">
      <c r="A519" s="1">
        <f>("2812")*1</f>
        <v>2812</v>
      </c>
      <c r="B519" s="1" t="str">
        <f>"Начисленные комиссионные расходы по агентским услугам"</f>
        <v>Начисленные комиссионные расходы по агентским услугам</v>
      </c>
      <c r="C519" s="1" t="str">
        <f>"1"</f>
        <v>1</v>
      </c>
      <c r="D519" s="1" t="str">
        <f>""</f>
        <v/>
      </c>
      <c r="E519" s="1" t="str">
        <f>"1"</f>
        <v>1</v>
      </c>
      <c r="F519" s="2">
        <v>49631054</v>
      </c>
    </row>
    <row r="520" spans="1:6" x14ac:dyDescent="0.25">
      <c r="A520" s="1">
        <f>("2813")*1</f>
        <v>2813</v>
      </c>
      <c r="B520" s="1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C520" s="1" t="str">
        <f>"2"</f>
        <v>2</v>
      </c>
      <c r="D520" s="1" t="str">
        <f>""</f>
        <v/>
      </c>
      <c r="E520" s="1" t="str">
        <f>"2"</f>
        <v>2</v>
      </c>
      <c r="F520" s="2">
        <v>39828.39</v>
      </c>
    </row>
    <row r="521" spans="1:6" x14ac:dyDescent="0.25">
      <c r="A521" s="1">
        <f>("2813")*1</f>
        <v>2813</v>
      </c>
      <c r="B521" s="1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C521" s="1" t="str">
        <f>"1"</f>
        <v>1</v>
      </c>
      <c r="D521" s="1" t="str">
        <f>""</f>
        <v/>
      </c>
      <c r="E521" s="1" t="str">
        <f>"1"</f>
        <v>1</v>
      </c>
      <c r="F521" s="2">
        <v>2419.29</v>
      </c>
    </row>
    <row r="522" spans="1:6" x14ac:dyDescent="0.25">
      <c r="A522" s="1">
        <f>("2817")*1</f>
        <v>2817</v>
      </c>
      <c r="B522" s="1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22" s="1" t="str">
        <f>"2"</f>
        <v>2</v>
      </c>
      <c r="D522" s="1" t="str">
        <f>""</f>
        <v/>
      </c>
      <c r="E522" s="1" t="str">
        <f>"3"</f>
        <v>3</v>
      </c>
      <c r="F522" s="2">
        <v>71840</v>
      </c>
    </row>
    <row r="523" spans="1:6" x14ac:dyDescent="0.25">
      <c r="A523" s="1">
        <f>("2817")*1</f>
        <v>2817</v>
      </c>
      <c r="B523" s="1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23" s="1" t="str">
        <f>"2"</f>
        <v>2</v>
      </c>
      <c r="D523" s="1" t="str">
        <f>""</f>
        <v/>
      </c>
      <c r="E523" s="1" t="str">
        <f>"2"</f>
        <v>2</v>
      </c>
      <c r="F523" s="2">
        <v>3328489.2</v>
      </c>
    </row>
    <row r="524" spans="1:6" x14ac:dyDescent="0.25">
      <c r="A524" s="1">
        <f>("2818")*1</f>
        <v>2818</v>
      </c>
      <c r="B524" s="1" t="str">
        <f>"Начисленные прочие комиссионные расходы"</f>
        <v>Начисленные прочие комиссионные расходы</v>
      </c>
      <c r="C524" s="1" t="str">
        <f>"1"</f>
        <v>1</v>
      </c>
      <c r="D524" s="1" t="str">
        <f>""</f>
        <v/>
      </c>
      <c r="E524" s="1" t="str">
        <f>"1"</f>
        <v>1</v>
      </c>
      <c r="F524" s="2">
        <v>9596476.7200000007</v>
      </c>
    </row>
    <row r="525" spans="1:6" x14ac:dyDescent="0.25">
      <c r="A525" s="1">
        <f>("2819")*1</f>
        <v>2819</v>
      </c>
      <c r="B525" s="1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C525" s="1" t="str">
        <f>"1"</f>
        <v>1</v>
      </c>
      <c r="D525" s="1" t="str">
        <f>""</f>
        <v/>
      </c>
      <c r="E525" s="1" t="str">
        <f>"1"</f>
        <v>1</v>
      </c>
      <c r="F525" s="2">
        <v>727016.67</v>
      </c>
    </row>
    <row r="526" spans="1:6" x14ac:dyDescent="0.25">
      <c r="A526" s="1">
        <f>("2820")*1</f>
        <v>2820</v>
      </c>
      <c r="B526" s="1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C526" s="1" t="str">
        <f>"1"</f>
        <v>1</v>
      </c>
      <c r="D526" s="1" t="str">
        <f>""</f>
        <v/>
      </c>
      <c r="E526" s="1" t="str">
        <f>"1"</f>
        <v>1</v>
      </c>
      <c r="F526" s="2">
        <v>331058179.95999998</v>
      </c>
    </row>
    <row r="527" spans="1:6" x14ac:dyDescent="0.25">
      <c r="A527" s="1">
        <f>("2851")*1</f>
        <v>2851</v>
      </c>
      <c r="B527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527" s="1" t="str">
        <f>"1"</f>
        <v>1</v>
      </c>
      <c r="D527" s="1" t="str">
        <f>"1"</f>
        <v>1</v>
      </c>
      <c r="E527" s="1" t="str">
        <f>"1"</f>
        <v>1</v>
      </c>
      <c r="F527" s="2">
        <v>1197450304.0899999</v>
      </c>
    </row>
    <row r="528" spans="1:6" x14ac:dyDescent="0.25">
      <c r="A528" s="1">
        <f>("2854")*1</f>
        <v>2854</v>
      </c>
      <c r="B528" s="1" t="str">
        <f>"Расчеты с работниками"</f>
        <v>Расчеты с работниками</v>
      </c>
      <c r="C528" s="1" t="str">
        <f>""</f>
        <v/>
      </c>
      <c r="D528" s="1" t="str">
        <f>""</f>
        <v/>
      </c>
      <c r="E528" s="1" t="str">
        <f>""</f>
        <v/>
      </c>
      <c r="F528" s="2">
        <v>1884993421.9400001</v>
      </c>
    </row>
    <row r="529" spans="1:6" x14ac:dyDescent="0.25">
      <c r="A529" s="1">
        <f>("2855")*1</f>
        <v>2855</v>
      </c>
      <c r="B529" s="1" t="str">
        <f>"Кредиторы по документарным расчетам"</f>
        <v>Кредиторы по документарным расчетам</v>
      </c>
      <c r="C529" s="1" t="str">
        <f>"1"</f>
        <v>1</v>
      </c>
      <c r="D529" s="1" t="str">
        <f>"7"</f>
        <v>7</v>
      </c>
      <c r="E529" s="1" t="str">
        <f>"2"</f>
        <v>2</v>
      </c>
      <c r="F529" s="2">
        <v>1545538654.8599999</v>
      </c>
    </row>
    <row r="530" spans="1:6" x14ac:dyDescent="0.25">
      <c r="A530" s="1">
        <f>("2857")*1</f>
        <v>2857</v>
      </c>
      <c r="B530" s="1" t="str">
        <f>"Отложенные налоговые обязательства"</f>
        <v>Отложенные налоговые обязательства</v>
      </c>
      <c r="C530" s="1" t="str">
        <f>""</f>
        <v/>
      </c>
      <c r="D530" s="1" t="str">
        <f>""</f>
        <v/>
      </c>
      <c r="E530" s="1" t="str">
        <f>""</f>
        <v/>
      </c>
      <c r="F530" s="2">
        <v>19485669505.389999</v>
      </c>
    </row>
    <row r="531" spans="1:6" x14ac:dyDescent="0.25">
      <c r="A531" s="1">
        <f t="shared" ref="A531:A546" si="95">("2860")*1</f>
        <v>2860</v>
      </c>
      <c r="B531" s="1" t="str">
        <f t="shared" ref="B531:B546" si="96">"Прочие кредиторы по банковской деятельности"</f>
        <v>Прочие кредиторы по банковской деятельности</v>
      </c>
      <c r="C531" s="1" t="str">
        <f>"1"</f>
        <v>1</v>
      </c>
      <c r="D531" s="1" t="str">
        <f>"5"</f>
        <v>5</v>
      </c>
      <c r="E531" s="1" t="str">
        <f>"1"</f>
        <v>1</v>
      </c>
      <c r="F531" s="2">
        <v>884697991.85000002</v>
      </c>
    </row>
    <row r="532" spans="1:6" x14ac:dyDescent="0.25">
      <c r="A532" s="1">
        <f t="shared" si="95"/>
        <v>2860</v>
      </c>
      <c r="B532" s="1" t="str">
        <f t="shared" si="96"/>
        <v>Прочие кредиторы по банковской деятельности</v>
      </c>
      <c r="C532" s="1" t="str">
        <f>"1"</f>
        <v>1</v>
      </c>
      <c r="D532" s="1" t="str">
        <f>"9"</f>
        <v>9</v>
      </c>
      <c r="E532" s="1" t="str">
        <f>"2"</f>
        <v>2</v>
      </c>
      <c r="F532" s="2">
        <v>16161323.720000001</v>
      </c>
    </row>
    <row r="533" spans="1:6" x14ac:dyDescent="0.25">
      <c r="A533" s="1">
        <f t="shared" si="95"/>
        <v>2860</v>
      </c>
      <c r="B533" s="1" t="str">
        <f t="shared" si="96"/>
        <v>Прочие кредиторы по банковской деятельности</v>
      </c>
      <c r="C533" s="1" t="str">
        <f>"1"</f>
        <v>1</v>
      </c>
      <c r="D533" s="1" t="str">
        <f>"9"</f>
        <v>9</v>
      </c>
      <c r="E533" s="1" t="str">
        <f>"1"</f>
        <v>1</v>
      </c>
      <c r="F533" s="2">
        <v>3385049672.1599998</v>
      </c>
    </row>
    <row r="534" spans="1:6" x14ac:dyDescent="0.25">
      <c r="A534" s="1">
        <f t="shared" si="95"/>
        <v>2860</v>
      </c>
      <c r="B534" s="1" t="str">
        <f t="shared" si="96"/>
        <v>Прочие кредиторы по банковской деятельности</v>
      </c>
      <c r="C534" s="1" t="str">
        <f>"2"</f>
        <v>2</v>
      </c>
      <c r="D534" s="1" t="str">
        <f>"9"</f>
        <v>9</v>
      </c>
      <c r="E534" s="1" t="str">
        <f>"1"</f>
        <v>1</v>
      </c>
      <c r="F534" s="2">
        <v>13108189.67</v>
      </c>
    </row>
    <row r="535" spans="1:6" x14ac:dyDescent="0.25">
      <c r="A535" s="1">
        <f t="shared" si="95"/>
        <v>2860</v>
      </c>
      <c r="B535" s="1" t="str">
        <f t="shared" si="96"/>
        <v>Прочие кредиторы по банковской деятельности</v>
      </c>
      <c r="C535" s="1" t="str">
        <f>"1"</f>
        <v>1</v>
      </c>
      <c r="D535" s="1" t="str">
        <f>"3"</f>
        <v>3</v>
      </c>
      <c r="E535" s="1" t="str">
        <f>"1"</f>
        <v>1</v>
      </c>
      <c r="F535" s="2">
        <v>0.57999999999999996</v>
      </c>
    </row>
    <row r="536" spans="1:6" x14ac:dyDescent="0.25">
      <c r="A536" s="1">
        <f t="shared" si="95"/>
        <v>2860</v>
      </c>
      <c r="B536" s="1" t="str">
        <f t="shared" si="96"/>
        <v>Прочие кредиторы по банковской деятельности</v>
      </c>
      <c r="C536" s="1" t="str">
        <f>"2"</f>
        <v>2</v>
      </c>
      <c r="D536" s="1" t="str">
        <f>"7"</f>
        <v>7</v>
      </c>
      <c r="E536" s="1" t="str">
        <f>"2"</f>
        <v>2</v>
      </c>
      <c r="F536" s="2">
        <v>124754.99</v>
      </c>
    </row>
    <row r="537" spans="1:6" x14ac:dyDescent="0.25">
      <c r="A537" s="1">
        <f t="shared" si="95"/>
        <v>2860</v>
      </c>
      <c r="B537" s="1" t="str">
        <f t="shared" si="96"/>
        <v>Прочие кредиторы по банковской деятельности</v>
      </c>
      <c r="C537" s="1" t="str">
        <f>"1"</f>
        <v>1</v>
      </c>
      <c r="D537" s="1" t="str">
        <f>"4"</f>
        <v>4</v>
      </c>
      <c r="E537" s="1" t="str">
        <f>"1"</f>
        <v>1</v>
      </c>
      <c r="F537" s="2">
        <v>1188289095.03</v>
      </c>
    </row>
    <row r="538" spans="1:6" x14ac:dyDescent="0.25">
      <c r="A538" s="1">
        <f t="shared" si="95"/>
        <v>2860</v>
      </c>
      <c r="B538" s="1" t="str">
        <f t="shared" si="96"/>
        <v>Прочие кредиторы по банковской деятельности</v>
      </c>
      <c r="C538" s="1" t="str">
        <f>"2"</f>
        <v>2</v>
      </c>
      <c r="D538" s="1" t="str">
        <f>"9"</f>
        <v>9</v>
      </c>
      <c r="E538" s="1" t="str">
        <f>"3"</f>
        <v>3</v>
      </c>
      <c r="F538" s="2">
        <v>85030.18</v>
      </c>
    </row>
    <row r="539" spans="1:6" x14ac:dyDescent="0.25">
      <c r="A539" s="1">
        <f t="shared" si="95"/>
        <v>2860</v>
      </c>
      <c r="B539" s="1" t="str">
        <f t="shared" si="96"/>
        <v>Прочие кредиторы по банковской деятельности</v>
      </c>
      <c r="C539" s="1" t="str">
        <f>"2"</f>
        <v>2</v>
      </c>
      <c r="D539" s="1" t="str">
        <f>"7"</f>
        <v>7</v>
      </c>
      <c r="E539" s="1" t="str">
        <f>"1"</f>
        <v>1</v>
      </c>
      <c r="F539" s="2">
        <v>77957626.200000003</v>
      </c>
    </row>
    <row r="540" spans="1:6" x14ac:dyDescent="0.25">
      <c r="A540" s="1">
        <f t="shared" si="95"/>
        <v>2860</v>
      </c>
      <c r="B540" s="1" t="str">
        <f t="shared" si="96"/>
        <v>Прочие кредиторы по банковской деятельности</v>
      </c>
      <c r="C540" s="1" t="str">
        <f>"1"</f>
        <v>1</v>
      </c>
      <c r="D540" s="1" t="str">
        <f>"7"</f>
        <v>7</v>
      </c>
      <c r="E540" s="1" t="str">
        <f>"1"</f>
        <v>1</v>
      </c>
      <c r="F540" s="2">
        <v>12547842880.799999</v>
      </c>
    </row>
    <row r="541" spans="1:6" x14ac:dyDescent="0.25">
      <c r="A541" s="1">
        <f t="shared" si="95"/>
        <v>2860</v>
      </c>
      <c r="B541" s="1" t="str">
        <f t="shared" si="96"/>
        <v>Прочие кредиторы по банковской деятельности</v>
      </c>
      <c r="C541" s="1" t="str">
        <f>"1"</f>
        <v>1</v>
      </c>
      <c r="D541" s="1" t="str">
        <f>"9"</f>
        <v>9</v>
      </c>
      <c r="E541" s="1" t="str">
        <f>"3"</f>
        <v>3</v>
      </c>
      <c r="F541" s="2">
        <v>308370.87</v>
      </c>
    </row>
    <row r="542" spans="1:6" x14ac:dyDescent="0.25">
      <c r="A542" s="1">
        <f t="shared" si="95"/>
        <v>2860</v>
      </c>
      <c r="B542" s="1" t="str">
        <f t="shared" si="96"/>
        <v>Прочие кредиторы по банковской деятельности</v>
      </c>
      <c r="C542" s="1" t="str">
        <f>"2"</f>
        <v>2</v>
      </c>
      <c r="D542" s="1" t="str">
        <f>"5"</f>
        <v>5</v>
      </c>
      <c r="E542" s="1" t="str">
        <f>"2"</f>
        <v>2</v>
      </c>
      <c r="F542" s="2">
        <v>219252105.55000001</v>
      </c>
    </row>
    <row r="543" spans="1:6" x14ac:dyDescent="0.25">
      <c r="A543" s="1">
        <f t="shared" si="95"/>
        <v>2860</v>
      </c>
      <c r="B543" s="1" t="str">
        <f t="shared" si="96"/>
        <v>Прочие кредиторы по банковской деятельности</v>
      </c>
      <c r="C543" s="1" t="str">
        <f>"1"</f>
        <v>1</v>
      </c>
      <c r="D543" s="1" t="str">
        <f>"1"</f>
        <v>1</v>
      </c>
      <c r="E543" s="1" t="str">
        <f>"1"</f>
        <v>1</v>
      </c>
      <c r="F543" s="2">
        <v>287070150.94999999</v>
      </c>
    </row>
    <row r="544" spans="1:6" x14ac:dyDescent="0.25">
      <c r="A544" s="1">
        <f t="shared" si="95"/>
        <v>2860</v>
      </c>
      <c r="B544" s="1" t="str">
        <f t="shared" si="96"/>
        <v>Прочие кредиторы по банковской деятельности</v>
      </c>
      <c r="C544" s="1" t="str">
        <f>"2"</f>
        <v>2</v>
      </c>
      <c r="D544" s="1" t="str">
        <f>"7"</f>
        <v>7</v>
      </c>
      <c r="E544" s="1" t="str">
        <f>"3"</f>
        <v>3</v>
      </c>
      <c r="F544" s="2">
        <v>7078384.96</v>
      </c>
    </row>
    <row r="545" spans="1:6" x14ac:dyDescent="0.25">
      <c r="A545" s="1">
        <f t="shared" si="95"/>
        <v>2860</v>
      </c>
      <c r="B545" s="1" t="str">
        <f t="shared" si="96"/>
        <v>Прочие кредиторы по банковской деятельности</v>
      </c>
      <c r="C545" s="1" t="str">
        <f>"1"</f>
        <v>1</v>
      </c>
      <c r="D545" s="1" t="str">
        <f>"6"</f>
        <v>6</v>
      </c>
      <c r="E545" s="1" t="str">
        <f>"1"</f>
        <v>1</v>
      </c>
      <c r="F545" s="2">
        <v>3501231.11</v>
      </c>
    </row>
    <row r="546" spans="1:6" x14ac:dyDescent="0.25">
      <c r="A546" s="1">
        <f t="shared" si="95"/>
        <v>2860</v>
      </c>
      <c r="B546" s="1" t="str">
        <f t="shared" si="96"/>
        <v>Прочие кредиторы по банковской деятельности</v>
      </c>
      <c r="C546" s="1" t="str">
        <f>"2"</f>
        <v>2</v>
      </c>
      <c r="D546" s="1" t="str">
        <f>"9"</f>
        <v>9</v>
      </c>
      <c r="E546" s="1" t="str">
        <f>"2"</f>
        <v>2</v>
      </c>
      <c r="F546" s="2">
        <v>241251.49</v>
      </c>
    </row>
    <row r="547" spans="1:6" x14ac:dyDescent="0.25">
      <c r="A547" s="1">
        <f>("2861")*1</f>
        <v>2861</v>
      </c>
      <c r="B547" s="1" t="str">
        <f>"Резерв на отпускные выплаты"</f>
        <v>Резерв на отпускные выплаты</v>
      </c>
      <c r="C547" s="1" t="str">
        <f>""</f>
        <v/>
      </c>
      <c r="D547" s="1" t="str">
        <f>""</f>
        <v/>
      </c>
      <c r="E547" s="1" t="str">
        <f>""</f>
        <v/>
      </c>
      <c r="F547" s="2">
        <v>1496669361.8499999</v>
      </c>
    </row>
    <row r="548" spans="1:6" x14ac:dyDescent="0.25">
      <c r="A548" s="1">
        <f>("2865")*1</f>
        <v>2865</v>
      </c>
      <c r="B548" s="1" t="str">
        <f>"Обязательства по выпущенным электронным деньгам"</f>
        <v>Обязательства по выпущенным электронным деньгам</v>
      </c>
      <c r="C548" s="1" t="str">
        <f t="shared" ref="C548:C559" si="97">"1"</f>
        <v>1</v>
      </c>
      <c r="D548" s="1" t="str">
        <f>"7"</f>
        <v>7</v>
      </c>
      <c r="E548" s="1" t="str">
        <f>"1"</f>
        <v>1</v>
      </c>
      <c r="F548" s="2">
        <v>971470479.66999996</v>
      </c>
    </row>
    <row r="549" spans="1:6" x14ac:dyDescent="0.25">
      <c r="A549" s="1">
        <f>("2865")*1</f>
        <v>2865</v>
      </c>
      <c r="B549" s="1" t="str">
        <f>"Обязательства по выпущенным электронным деньгам"</f>
        <v>Обязательства по выпущенным электронным деньгам</v>
      </c>
      <c r="C549" s="1" t="str">
        <f t="shared" si="97"/>
        <v>1</v>
      </c>
      <c r="D549" s="1" t="str">
        <f>"9"</f>
        <v>9</v>
      </c>
      <c r="E549" s="1" t="str">
        <f>"1"</f>
        <v>1</v>
      </c>
      <c r="F549" s="2">
        <v>590198.54</v>
      </c>
    </row>
    <row r="550" spans="1:6" x14ac:dyDescent="0.25">
      <c r="A550" s="1">
        <f>("2867")*1</f>
        <v>2867</v>
      </c>
      <c r="B550" s="1" t="str">
        <f>"Прочие кредиторы по неосновной деятельности"</f>
        <v>Прочие кредиторы по неосновной деятельности</v>
      </c>
      <c r="C550" s="1" t="str">
        <f t="shared" si="97"/>
        <v>1</v>
      </c>
      <c r="D550" s="1" t="str">
        <f>"7"</f>
        <v>7</v>
      </c>
      <c r="E550" s="1" t="str">
        <f>"1"</f>
        <v>1</v>
      </c>
      <c r="F550" s="2">
        <v>504800.66</v>
      </c>
    </row>
    <row r="551" spans="1:6" x14ac:dyDescent="0.25">
      <c r="A551" s="1">
        <f t="shared" ref="A551:A557" si="98">("2869")*1</f>
        <v>2869</v>
      </c>
      <c r="B551" s="1" t="str">
        <f t="shared" ref="B551:B557" si="99">"Выданные гарантии"</f>
        <v>Выданные гарантии</v>
      </c>
      <c r="C551" s="1" t="str">
        <f t="shared" si="97"/>
        <v>1</v>
      </c>
      <c r="D551" s="1" t="str">
        <f>"6"</f>
        <v>6</v>
      </c>
      <c r="E551" s="1" t="str">
        <f>"1"</f>
        <v>1</v>
      </c>
      <c r="F551" s="2">
        <v>172597.92</v>
      </c>
    </row>
    <row r="552" spans="1:6" x14ac:dyDescent="0.25">
      <c r="A552" s="1">
        <f t="shared" si="98"/>
        <v>2869</v>
      </c>
      <c r="B552" s="1" t="str">
        <f t="shared" si="99"/>
        <v>Выданные гарантии</v>
      </c>
      <c r="C552" s="1" t="str">
        <f t="shared" si="97"/>
        <v>1</v>
      </c>
      <c r="D552" s="1" t="str">
        <f>"7"</f>
        <v>7</v>
      </c>
      <c r="E552" s="1" t="str">
        <f>"1"</f>
        <v>1</v>
      </c>
      <c r="F552" s="2">
        <v>126254485.15000001</v>
      </c>
    </row>
    <row r="553" spans="1:6" x14ac:dyDescent="0.25">
      <c r="A553" s="1">
        <f t="shared" si="98"/>
        <v>2869</v>
      </c>
      <c r="B553" s="1" t="str">
        <f t="shared" si="99"/>
        <v>Выданные гарантии</v>
      </c>
      <c r="C553" s="1" t="str">
        <f t="shared" si="97"/>
        <v>1</v>
      </c>
      <c r="D553" s="1" t="str">
        <f>"7"</f>
        <v>7</v>
      </c>
      <c r="E553" s="1" t="str">
        <f>"3"</f>
        <v>3</v>
      </c>
      <c r="F553" s="2">
        <v>5047746.45</v>
      </c>
    </row>
    <row r="554" spans="1:6" x14ac:dyDescent="0.25">
      <c r="A554" s="1">
        <f t="shared" si="98"/>
        <v>2869</v>
      </c>
      <c r="B554" s="1" t="str">
        <f t="shared" si="99"/>
        <v>Выданные гарантии</v>
      </c>
      <c r="C554" s="1" t="str">
        <f t="shared" si="97"/>
        <v>1</v>
      </c>
      <c r="D554" s="1" t="str">
        <f>"9"</f>
        <v>9</v>
      </c>
      <c r="E554" s="1" t="str">
        <f>"1"</f>
        <v>1</v>
      </c>
      <c r="F554" s="2">
        <v>1074388.0900000001</v>
      </c>
    </row>
    <row r="555" spans="1:6" x14ac:dyDescent="0.25">
      <c r="A555" s="1">
        <f t="shared" si="98"/>
        <v>2869</v>
      </c>
      <c r="B555" s="1" t="str">
        <f t="shared" si="99"/>
        <v>Выданные гарантии</v>
      </c>
      <c r="C555" s="1" t="str">
        <f t="shared" si="97"/>
        <v>1</v>
      </c>
      <c r="D555" s="1" t="str">
        <f>"7"</f>
        <v>7</v>
      </c>
      <c r="E555" s="1" t="str">
        <f>"2"</f>
        <v>2</v>
      </c>
      <c r="F555" s="2">
        <v>433322.61</v>
      </c>
    </row>
    <row r="556" spans="1:6" x14ac:dyDescent="0.25">
      <c r="A556" s="1">
        <f t="shared" si="98"/>
        <v>2869</v>
      </c>
      <c r="B556" s="1" t="str">
        <f t="shared" si="99"/>
        <v>Выданные гарантии</v>
      </c>
      <c r="C556" s="1" t="str">
        <f t="shared" si="97"/>
        <v>1</v>
      </c>
      <c r="D556" s="1" t="str">
        <f>"5"</f>
        <v>5</v>
      </c>
      <c r="E556" s="1" t="str">
        <f>"1"</f>
        <v>1</v>
      </c>
      <c r="F556" s="2">
        <v>35796.980000000003</v>
      </c>
    </row>
    <row r="557" spans="1:6" x14ac:dyDescent="0.25">
      <c r="A557" s="1">
        <f t="shared" si="98"/>
        <v>2869</v>
      </c>
      <c r="B557" s="1" t="str">
        <f t="shared" si="99"/>
        <v>Выданные гарантии</v>
      </c>
      <c r="C557" s="1" t="str">
        <f t="shared" si="97"/>
        <v>1</v>
      </c>
      <c r="D557" s="1" t="str">
        <f>"8"</f>
        <v>8</v>
      </c>
      <c r="E557" s="1" t="str">
        <f>"1"</f>
        <v>1</v>
      </c>
      <c r="F557" s="2">
        <v>11533.92</v>
      </c>
    </row>
    <row r="558" spans="1:6" x14ac:dyDescent="0.25">
      <c r="A558" s="1">
        <f t="shared" ref="A558:A565" si="100">("2870")*1</f>
        <v>2870</v>
      </c>
      <c r="B558" s="1" t="str">
        <f t="shared" ref="B558:B565" si="101">"Прочие транзитные счета"</f>
        <v>Прочие транзитные счета</v>
      </c>
      <c r="C558" s="1" t="str">
        <f t="shared" si="97"/>
        <v>1</v>
      </c>
      <c r="D558" s="1" t="str">
        <f>"9"</f>
        <v>9</v>
      </c>
      <c r="E558" s="1" t="str">
        <f>"3"</f>
        <v>3</v>
      </c>
      <c r="F558" s="2">
        <v>24677275.550000001</v>
      </c>
    </row>
    <row r="559" spans="1:6" x14ac:dyDescent="0.25">
      <c r="A559" s="1">
        <f t="shared" si="100"/>
        <v>2870</v>
      </c>
      <c r="B559" s="1" t="str">
        <f t="shared" si="101"/>
        <v>Прочие транзитные счета</v>
      </c>
      <c r="C559" s="1" t="str">
        <f t="shared" si="97"/>
        <v>1</v>
      </c>
      <c r="D559" s="1" t="str">
        <f>"9"</f>
        <v>9</v>
      </c>
      <c r="E559" s="1" t="str">
        <f>"2"</f>
        <v>2</v>
      </c>
      <c r="F559" s="2">
        <v>21015185072.240002</v>
      </c>
    </row>
    <row r="560" spans="1:6" x14ac:dyDescent="0.25">
      <c r="A560" s="1">
        <f t="shared" si="100"/>
        <v>2870</v>
      </c>
      <c r="B560" s="1" t="str">
        <f t="shared" si="101"/>
        <v>Прочие транзитные счета</v>
      </c>
      <c r="C560" s="1" t="str">
        <f>"2"</f>
        <v>2</v>
      </c>
      <c r="D560" s="1" t="str">
        <f>"4"</f>
        <v>4</v>
      </c>
      <c r="E560" s="1" t="str">
        <f>"2"</f>
        <v>2</v>
      </c>
      <c r="F560" s="2">
        <v>386645205.25</v>
      </c>
    </row>
    <row r="561" spans="1:6" x14ac:dyDescent="0.25">
      <c r="A561" s="1">
        <f t="shared" si="100"/>
        <v>2870</v>
      </c>
      <c r="B561" s="1" t="str">
        <f t="shared" si="101"/>
        <v>Прочие транзитные счета</v>
      </c>
      <c r="C561" s="1" t="str">
        <f>"1"</f>
        <v>1</v>
      </c>
      <c r="D561" s="1" t="str">
        <f>"7"</f>
        <v>7</v>
      </c>
      <c r="E561" s="1" t="str">
        <f>"2"</f>
        <v>2</v>
      </c>
      <c r="F561" s="2">
        <v>22306266.600000001</v>
      </c>
    </row>
    <row r="562" spans="1:6" x14ac:dyDescent="0.25">
      <c r="A562" s="1">
        <f t="shared" si="100"/>
        <v>2870</v>
      </c>
      <c r="B562" s="1" t="str">
        <f t="shared" si="101"/>
        <v>Прочие транзитные счета</v>
      </c>
      <c r="C562" s="1" t="str">
        <f>"1"</f>
        <v>1</v>
      </c>
      <c r="D562" s="1" t="str">
        <f>"7"</f>
        <v>7</v>
      </c>
      <c r="E562" s="1" t="str">
        <f>"3"</f>
        <v>3</v>
      </c>
      <c r="F562" s="2">
        <v>18859347</v>
      </c>
    </row>
    <row r="563" spans="1:6" x14ac:dyDescent="0.25">
      <c r="A563" s="1">
        <f t="shared" si="100"/>
        <v>2870</v>
      </c>
      <c r="B563" s="1" t="str">
        <f t="shared" si="101"/>
        <v>Прочие транзитные счета</v>
      </c>
      <c r="C563" s="1" t="str">
        <f>"2"</f>
        <v>2</v>
      </c>
      <c r="D563" s="1" t="str">
        <f>"4"</f>
        <v>4</v>
      </c>
      <c r="E563" s="1" t="str">
        <f>"3"</f>
        <v>3</v>
      </c>
      <c r="F563" s="2">
        <v>71168581.659999996</v>
      </c>
    </row>
    <row r="564" spans="1:6" x14ac:dyDescent="0.25">
      <c r="A564" s="1">
        <f t="shared" si="100"/>
        <v>2870</v>
      </c>
      <c r="B564" s="1" t="str">
        <f t="shared" si="101"/>
        <v>Прочие транзитные счета</v>
      </c>
      <c r="C564" s="1" t="str">
        <f>"1"</f>
        <v>1</v>
      </c>
      <c r="D564" s="1" t="str">
        <f>"9"</f>
        <v>9</v>
      </c>
      <c r="E564" s="1" t="str">
        <f>"1"</f>
        <v>1</v>
      </c>
      <c r="F564" s="2">
        <v>1912662526.75</v>
      </c>
    </row>
    <row r="565" spans="1:6" x14ac:dyDescent="0.25">
      <c r="A565" s="1">
        <f t="shared" si="100"/>
        <v>2870</v>
      </c>
      <c r="B565" s="1" t="str">
        <f t="shared" si="101"/>
        <v>Прочие транзитные счета</v>
      </c>
      <c r="C565" s="1" t="str">
        <f>"1"</f>
        <v>1</v>
      </c>
      <c r="D565" s="1" t="str">
        <f>"7"</f>
        <v>7</v>
      </c>
      <c r="E565" s="1" t="str">
        <f>"1"</f>
        <v>1</v>
      </c>
      <c r="F565" s="2">
        <v>1412429425.77</v>
      </c>
    </row>
    <row r="566" spans="1:6" x14ac:dyDescent="0.25">
      <c r="A566" s="1">
        <f>("2874")*1</f>
        <v>2874</v>
      </c>
      <c r="B566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66" s="1" t="str">
        <f>"1"</f>
        <v>1</v>
      </c>
      <c r="D566" s="1" t="str">
        <f>""</f>
        <v/>
      </c>
      <c r="E566" s="1" t="str">
        <f>"3"</f>
        <v>3</v>
      </c>
      <c r="F566" s="2">
        <v>229484.16</v>
      </c>
    </row>
    <row r="567" spans="1:6" x14ac:dyDescent="0.25">
      <c r="A567" s="1">
        <f>("2874")*1</f>
        <v>2874</v>
      </c>
      <c r="B567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67" s="1" t="str">
        <f>"1"</f>
        <v>1</v>
      </c>
      <c r="D567" s="1" t="str">
        <f>""</f>
        <v/>
      </c>
      <c r="E567" s="1" t="str">
        <f>"1"</f>
        <v>1</v>
      </c>
      <c r="F567" s="2">
        <v>8609941.8200000003</v>
      </c>
    </row>
    <row r="568" spans="1:6" x14ac:dyDescent="0.25">
      <c r="A568" s="1">
        <f>("2874")*1</f>
        <v>2874</v>
      </c>
      <c r="B568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68" s="1" t="str">
        <f>"2"</f>
        <v>2</v>
      </c>
      <c r="D568" s="1" t="str">
        <f>""</f>
        <v/>
      </c>
      <c r="E568" s="1" t="str">
        <f>"1"</f>
        <v>1</v>
      </c>
      <c r="F568" s="2">
        <v>12000</v>
      </c>
    </row>
    <row r="569" spans="1:6" x14ac:dyDescent="0.25">
      <c r="A569" s="1">
        <f>("2874")*1</f>
        <v>2874</v>
      </c>
      <c r="B569" s="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69" s="1" t="str">
        <f>"1"</f>
        <v>1</v>
      </c>
      <c r="D569" s="1" t="str">
        <f>""</f>
        <v/>
      </c>
      <c r="E569" s="1" t="str">
        <f>"2"</f>
        <v>2</v>
      </c>
      <c r="F569" s="2">
        <v>2176026.81</v>
      </c>
    </row>
    <row r="570" spans="1:6" x14ac:dyDescent="0.25">
      <c r="A570" s="1">
        <f t="shared" ref="A570:A576" si="102">("2875")*1</f>
        <v>2875</v>
      </c>
      <c r="B570" s="1" t="str">
        <f t="shared" ref="B570:B576" si="103"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570" s="1" t="str">
        <f>"1"</f>
        <v>1</v>
      </c>
      <c r="D570" s="1" t="str">
        <f>"7"</f>
        <v>7</v>
      </c>
      <c r="E570" s="1" t="str">
        <f>"2"</f>
        <v>2</v>
      </c>
      <c r="F570" s="2">
        <v>119491791.29000001</v>
      </c>
    </row>
    <row r="571" spans="1:6" x14ac:dyDescent="0.25">
      <c r="A571" s="1">
        <f t="shared" si="102"/>
        <v>2875</v>
      </c>
      <c r="B571" s="1" t="str">
        <f t="shared" si="103"/>
        <v>Резервы (провизии) на покрытие убытков по условным обязательствам</v>
      </c>
      <c r="C571" s="1" t="str">
        <f>"1"</f>
        <v>1</v>
      </c>
      <c r="D571" s="1" t="str">
        <f>"9"</f>
        <v>9</v>
      </c>
      <c r="E571" s="1" t="str">
        <f>"1"</f>
        <v>1</v>
      </c>
      <c r="F571" s="2">
        <v>4119279.51</v>
      </c>
    </row>
    <row r="572" spans="1:6" x14ac:dyDescent="0.25">
      <c r="A572" s="1">
        <f t="shared" si="102"/>
        <v>2875</v>
      </c>
      <c r="B572" s="1" t="str">
        <f t="shared" si="103"/>
        <v>Резервы (провизии) на покрытие убытков по условным обязательствам</v>
      </c>
      <c r="C572" s="1" t="str">
        <f>"1"</f>
        <v>1</v>
      </c>
      <c r="D572" s="1" t="str">
        <f>"7"</f>
        <v>7</v>
      </c>
      <c r="E572" s="1" t="str">
        <f>"1"</f>
        <v>1</v>
      </c>
      <c r="F572" s="2">
        <v>70236480.939999998</v>
      </c>
    </row>
    <row r="573" spans="1:6" x14ac:dyDescent="0.25">
      <c r="A573" s="1">
        <f t="shared" si="102"/>
        <v>2875</v>
      </c>
      <c r="B573" s="1" t="str">
        <f t="shared" si="103"/>
        <v>Резервы (провизии) на покрытие убытков по условным обязательствам</v>
      </c>
      <c r="C573" s="1" t="str">
        <f>"2"</f>
        <v>2</v>
      </c>
      <c r="D573" s="1" t="str">
        <f>"7"</f>
        <v>7</v>
      </c>
      <c r="E573" s="1" t="str">
        <f>"1"</f>
        <v>1</v>
      </c>
      <c r="F573" s="2">
        <v>1556010.94</v>
      </c>
    </row>
    <row r="574" spans="1:6" x14ac:dyDescent="0.25">
      <c r="A574" s="1">
        <f t="shared" si="102"/>
        <v>2875</v>
      </c>
      <c r="B574" s="1" t="str">
        <f t="shared" si="103"/>
        <v>Резервы (провизии) на покрытие убытков по условным обязательствам</v>
      </c>
      <c r="C574" s="1" t="str">
        <f>"1"</f>
        <v>1</v>
      </c>
      <c r="D574" s="1" t="str">
        <f>"5"</f>
        <v>5</v>
      </c>
      <c r="E574" s="1" t="str">
        <f>"1"</f>
        <v>1</v>
      </c>
      <c r="F574" s="2">
        <v>2600000</v>
      </c>
    </row>
    <row r="575" spans="1:6" x14ac:dyDescent="0.25">
      <c r="A575" s="1">
        <f t="shared" si="102"/>
        <v>2875</v>
      </c>
      <c r="B575" s="1" t="str">
        <f t="shared" si="103"/>
        <v>Резервы (провизии) на покрытие убытков по условным обязательствам</v>
      </c>
      <c r="C575" s="1" t="str">
        <f>"2"</f>
        <v>2</v>
      </c>
      <c r="D575" s="1" t="str">
        <f>"7"</f>
        <v>7</v>
      </c>
      <c r="E575" s="1" t="str">
        <f>"2"</f>
        <v>2</v>
      </c>
      <c r="F575" s="2">
        <v>64318999.700000003</v>
      </c>
    </row>
    <row r="576" spans="1:6" x14ac:dyDescent="0.25">
      <c r="A576" s="1">
        <f t="shared" si="102"/>
        <v>2875</v>
      </c>
      <c r="B576" s="1" t="str">
        <f t="shared" si="103"/>
        <v>Резервы (провизии) на покрытие убытков по условным обязательствам</v>
      </c>
      <c r="C576" s="1" t="str">
        <f>"2"</f>
        <v>2</v>
      </c>
      <c r="D576" s="1" t="str">
        <f>"7"</f>
        <v>7</v>
      </c>
      <c r="E576" s="1" t="str">
        <f>"3"</f>
        <v>3</v>
      </c>
      <c r="F576" s="2">
        <v>1130356.42</v>
      </c>
    </row>
    <row r="577" spans="1:6" x14ac:dyDescent="0.25">
      <c r="A577" s="1">
        <f>("2880")*1</f>
        <v>2880</v>
      </c>
      <c r="B577" s="1" t="str">
        <f>"Обязательства по секьюритизируемым активам"</f>
        <v>Обязательства по секьюритизируемым активам</v>
      </c>
      <c r="C577" s="1" t="str">
        <f>"1"</f>
        <v>1</v>
      </c>
      <c r="D577" s="1" t="str">
        <f>""</f>
        <v/>
      </c>
      <c r="E577" s="1" t="str">
        <f>"1"</f>
        <v>1</v>
      </c>
      <c r="F577" s="2">
        <v>3401574194.5700002</v>
      </c>
    </row>
    <row r="578" spans="1:6" x14ac:dyDescent="0.25">
      <c r="A578" s="1">
        <f>("2892")*1</f>
        <v>2892</v>
      </c>
      <c r="B578" s="1" t="str">
        <f>"Обязательства по операциям форвард"</f>
        <v>Обязательства по операциям форвард</v>
      </c>
      <c r="C578" s="1" t="str">
        <f>"2"</f>
        <v>2</v>
      </c>
      <c r="D578" s="1" t="str">
        <f t="shared" ref="D578:D583" si="104">"4"</f>
        <v>4</v>
      </c>
      <c r="E578" s="1" t="str">
        <f>"1"</f>
        <v>1</v>
      </c>
      <c r="F578" s="2">
        <v>22356062.600000001</v>
      </c>
    </row>
    <row r="579" spans="1:6" x14ac:dyDescent="0.25">
      <c r="A579" s="1">
        <f t="shared" ref="A579:A584" si="105">("2894")*1</f>
        <v>2894</v>
      </c>
      <c r="B579" s="1" t="str">
        <f t="shared" ref="B579:B584" si="106">"Обязательства по операциям спот"</f>
        <v>Обязательства по операциям спот</v>
      </c>
      <c r="C579" s="1" t="str">
        <f>"2"</f>
        <v>2</v>
      </c>
      <c r="D579" s="1" t="str">
        <f t="shared" si="104"/>
        <v>4</v>
      </c>
      <c r="E579" s="1" t="str">
        <f>"3"</f>
        <v>3</v>
      </c>
      <c r="F579" s="2">
        <v>14467552365.309999</v>
      </c>
    </row>
    <row r="580" spans="1:6" x14ac:dyDescent="0.25">
      <c r="A580" s="1">
        <f t="shared" si="105"/>
        <v>2894</v>
      </c>
      <c r="B580" s="1" t="str">
        <f t="shared" si="106"/>
        <v>Обязательства по операциям спот</v>
      </c>
      <c r="C580" s="1" t="str">
        <f>"1"</f>
        <v>1</v>
      </c>
      <c r="D580" s="1" t="str">
        <f t="shared" si="104"/>
        <v>4</v>
      </c>
      <c r="E580" s="1" t="str">
        <f>"1"</f>
        <v>1</v>
      </c>
      <c r="F580" s="2">
        <v>15305400000</v>
      </c>
    </row>
    <row r="581" spans="1:6" x14ac:dyDescent="0.25">
      <c r="A581" s="1">
        <f t="shared" si="105"/>
        <v>2894</v>
      </c>
      <c r="B581" s="1" t="str">
        <f t="shared" si="106"/>
        <v>Обязательства по операциям спот</v>
      </c>
      <c r="C581" s="1" t="str">
        <f>"1"</f>
        <v>1</v>
      </c>
      <c r="D581" s="1" t="str">
        <f t="shared" si="104"/>
        <v>4</v>
      </c>
      <c r="E581" s="1" t="str">
        <f>"2"</f>
        <v>2</v>
      </c>
      <c r="F581" s="2">
        <v>13169520000</v>
      </c>
    </row>
    <row r="582" spans="1:6" x14ac:dyDescent="0.25">
      <c r="A582" s="1">
        <f t="shared" si="105"/>
        <v>2894</v>
      </c>
      <c r="B582" s="1" t="str">
        <f t="shared" si="106"/>
        <v>Обязательства по операциям спот</v>
      </c>
      <c r="C582" s="1" t="str">
        <f>"2"</f>
        <v>2</v>
      </c>
      <c r="D582" s="1" t="str">
        <f t="shared" si="104"/>
        <v>4</v>
      </c>
      <c r="E582" s="1" t="str">
        <f>"1"</f>
        <v>1</v>
      </c>
      <c r="F582" s="2">
        <v>1410000000</v>
      </c>
    </row>
    <row r="583" spans="1:6" x14ac:dyDescent="0.25">
      <c r="A583" s="1">
        <f t="shared" si="105"/>
        <v>2894</v>
      </c>
      <c r="B583" s="1" t="str">
        <f t="shared" si="106"/>
        <v>Обязательства по операциям спот</v>
      </c>
      <c r="C583" s="1" t="str">
        <f>"2"</f>
        <v>2</v>
      </c>
      <c r="D583" s="1" t="str">
        <f t="shared" si="104"/>
        <v>4</v>
      </c>
      <c r="E583" s="1" t="str">
        <f>"2"</f>
        <v>2</v>
      </c>
      <c r="F583" s="2">
        <v>4421760408</v>
      </c>
    </row>
    <row r="584" spans="1:6" x14ac:dyDescent="0.25">
      <c r="A584" s="1">
        <f t="shared" si="105"/>
        <v>2894</v>
      </c>
      <c r="B584" s="1" t="str">
        <f t="shared" si="106"/>
        <v>Обязательства по операциям спот</v>
      </c>
      <c r="C584" s="1" t="str">
        <f>"1"</f>
        <v>1</v>
      </c>
      <c r="D584" s="1" t="str">
        <f>"5"</f>
        <v>5</v>
      </c>
      <c r="E584" s="1" t="str">
        <f>"1"</f>
        <v>1</v>
      </c>
      <c r="F584" s="2">
        <v>1756632800</v>
      </c>
    </row>
    <row r="585" spans="1:6" x14ac:dyDescent="0.25">
      <c r="A585" s="1">
        <f>("2895")*1</f>
        <v>2895</v>
      </c>
      <c r="B585" s="1" t="str">
        <f>"Обязательства по операциям своп"</f>
        <v>Обязательства по операциям своп</v>
      </c>
      <c r="C585" s="1" t="str">
        <f>"2"</f>
        <v>2</v>
      </c>
      <c r="D585" s="1" t="str">
        <f>"4"</f>
        <v>4</v>
      </c>
      <c r="E585" s="1" t="str">
        <f>"1"</f>
        <v>1</v>
      </c>
      <c r="F585" s="2">
        <v>69060250</v>
      </c>
    </row>
    <row r="586" spans="1:6" x14ac:dyDescent="0.25">
      <c r="A586" s="1">
        <f>("3001")*1</f>
        <v>3001</v>
      </c>
      <c r="B586" s="1" t="str">
        <f>"Уставный капитал – простые акции"</f>
        <v>Уставный капитал – простые акции</v>
      </c>
      <c r="C586" s="1" t="str">
        <f>""</f>
        <v/>
      </c>
      <c r="D586" s="1" t="str">
        <f>""</f>
        <v/>
      </c>
      <c r="E586" s="1" t="str">
        <f>""</f>
        <v/>
      </c>
      <c r="F586" s="2">
        <v>61135196834.199997</v>
      </c>
    </row>
    <row r="587" spans="1:6" x14ac:dyDescent="0.25">
      <c r="A587" s="1">
        <f>("3101")*1</f>
        <v>3101</v>
      </c>
      <c r="B587" s="1" t="str">
        <f>"Дополнительный оплаченный капитал"</f>
        <v>Дополнительный оплаченный капитал</v>
      </c>
      <c r="C587" s="1" t="str">
        <f>""</f>
        <v/>
      </c>
      <c r="D587" s="1" t="str">
        <f>""</f>
        <v/>
      </c>
      <c r="E587" s="1" t="str">
        <f>""</f>
        <v/>
      </c>
      <c r="F587" s="2">
        <v>2025632000</v>
      </c>
    </row>
    <row r="588" spans="1:6" x14ac:dyDescent="0.25">
      <c r="A588" s="1">
        <f>("3510")*1</f>
        <v>3510</v>
      </c>
      <c r="B588" s="1" t="str">
        <f>"Резервный капитал"</f>
        <v>Резервный капитал</v>
      </c>
      <c r="C588" s="1" t="str">
        <f>""</f>
        <v/>
      </c>
      <c r="D588" s="1" t="str">
        <f>""</f>
        <v/>
      </c>
      <c r="E588" s="1" t="str">
        <f>""</f>
        <v/>
      </c>
      <c r="F588" s="2">
        <v>8616900749.1700001</v>
      </c>
    </row>
    <row r="589" spans="1:6" x14ac:dyDescent="0.25">
      <c r="A589" s="1">
        <f>("3580")*1</f>
        <v>3580</v>
      </c>
      <c r="B589" s="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C589" s="1" t="str">
        <f>""</f>
        <v/>
      </c>
      <c r="D589" s="1" t="str">
        <f>""</f>
        <v/>
      </c>
      <c r="E589" s="1" t="str">
        <f>""</f>
        <v/>
      </c>
      <c r="F589" s="2">
        <v>46213040172.57</v>
      </c>
    </row>
    <row r="590" spans="1:6" x14ac:dyDescent="0.25">
      <c r="A590" s="1">
        <f>("3599")*1</f>
        <v>3599</v>
      </c>
      <c r="B590" s="1" t="str">
        <f>"Нераспределенная чистая прибыль (непокрытый убыток)"</f>
        <v>Нераспределенная чистая прибыль (непокрытый убыток)</v>
      </c>
      <c r="C590" s="1" t="str">
        <f>""</f>
        <v/>
      </c>
      <c r="D590" s="1" t="str">
        <f>""</f>
        <v/>
      </c>
      <c r="E590" s="1" t="str">
        <f>""</f>
        <v/>
      </c>
      <c r="F590" s="2">
        <v>34050785718.57</v>
      </c>
    </row>
    <row r="591" spans="1:6" x14ac:dyDescent="0.25">
      <c r="A591" s="1">
        <f>("4052")*1</f>
        <v>4052</v>
      </c>
      <c r="B591" s="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C591" s="1" t="str">
        <f>""</f>
        <v/>
      </c>
      <c r="D591" s="1" t="str">
        <f>""</f>
        <v/>
      </c>
      <c r="E591" s="1" t="str">
        <f>""</f>
        <v/>
      </c>
      <c r="F591" s="2">
        <v>246579166.34</v>
      </c>
    </row>
    <row r="592" spans="1:6" x14ac:dyDescent="0.25">
      <c r="A592" s="1">
        <f>("4101")*1</f>
        <v>4101</v>
      </c>
      <c r="B592" s="1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C592" s="1" t="str">
        <f>""</f>
        <v/>
      </c>
      <c r="D592" s="1" t="str">
        <f>""</f>
        <v/>
      </c>
      <c r="E592" s="1" t="str">
        <f>""</f>
        <v/>
      </c>
      <c r="F592" s="2">
        <v>564972222.20000005</v>
      </c>
    </row>
    <row r="593" spans="1:6" x14ac:dyDescent="0.25">
      <c r="A593" s="1">
        <f>("4103")*1</f>
        <v>4103</v>
      </c>
      <c r="B593" s="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C593" s="1" t="str">
        <f>""</f>
        <v/>
      </c>
      <c r="D593" s="1" t="str">
        <f>""</f>
        <v/>
      </c>
      <c r="E593" s="1" t="str">
        <f>""</f>
        <v/>
      </c>
      <c r="F593" s="2">
        <v>182253705.27000001</v>
      </c>
    </row>
    <row r="594" spans="1:6" x14ac:dyDescent="0.25">
      <c r="A594" s="1">
        <f>("4251")*1</f>
        <v>4251</v>
      </c>
      <c r="B594" s="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C594" s="1" t="str">
        <f>""</f>
        <v/>
      </c>
      <c r="D594" s="1" t="str">
        <f>""</f>
        <v/>
      </c>
      <c r="E594" s="1" t="str">
        <f>""</f>
        <v/>
      </c>
      <c r="F594" s="2">
        <v>9444952.1099999994</v>
      </c>
    </row>
    <row r="595" spans="1:6" x14ac:dyDescent="0.25">
      <c r="A595" s="1">
        <f>("4253")*1</f>
        <v>4253</v>
      </c>
      <c r="B595" s="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C595" s="1" t="str">
        <f>""</f>
        <v/>
      </c>
      <c r="D595" s="1" t="str">
        <f>""</f>
        <v/>
      </c>
      <c r="E595" s="1" t="str">
        <f>""</f>
        <v/>
      </c>
      <c r="F595" s="2">
        <v>12817868.550000001</v>
      </c>
    </row>
    <row r="596" spans="1:6" x14ac:dyDescent="0.25">
      <c r="A596" s="1">
        <f>("4267")*1</f>
        <v>4267</v>
      </c>
      <c r="B596" s="1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C596" s="1" t="str">
        <f>""</f>
        <v/>
      </c>
      <c r="D596" s="1" t="str">
        <f>""</f>
        <v/>
      </c>
      <c r="E596" s="1" t="str">
        <f>""</f>
        <v/>
      </c>
      <c r="F596" s="2">
        <v>5562449.79</v>
      </c>
    </row>
    <row r="597" spans="1:6" x14ac:dyDescent="0.25">
      <c r="A597" s="1">
        <f>("4302")*1</f>
        <v>4302</v>
      </c>
      <c r="B597" s="1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C597" s="1" t="str">
        <f>""</f>
        <v/>
      </c>
      <c r="D597" s="1" t="str">
        <f>""</f>
        <v/>
      </c>
      <c r="E597" s="1" t="str">
        <f>""</f>
        <v/>
      </c>
      <c r="F597" s="2">
        <v>4450651.05</v>
      </c>
    </row>
    <row r="598" spans="1:6" x14ac:dyDescent="0.25">
      <c r="A598" s="1">
        <f>("4313")*1</f>
        <v>4313</v>
      </c>
      <c r="B598" s="1" t="str">
        <f>"Доходы, возникающие при корректировке валовой балансовой стоимости предоставленных займов в связи с их модификацией"</f>
        <v>Доходы, возникающие при корректировке валовой балансовой стоимости предоставленных займов в связи с их модификацией</v>
      </c>
      <c r="C598" s="1" t="str">
        <f>""</f>
        <v/>
      </c>
      <c r="D598" s="1" t="str">
        <f>""</f>
        <v/>
      </c>
      <c r="E598" s="1" t="str">
        <f>""</f>
        <v/>
      </c>
      <c r="F598" s="2">
        <v>22784649.640000001</v>
      </c>
    </row>
    <row r="599" spans="1:6" x14ac:dyDescent="0.25">
      <c r="A599" s="1">
        <f>("4403")*1</f>
        <v>4403</v>
      </c>
      <c r="B599" s="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C599" s="1" t="str">
        <f>""</f>
        <v/>
      </c>
      <c r="D599" s="1" t="str">
        <f>""</f>
        <v/>
      </c>
      <c r="E599" s="1" t="str">
        <f>""</f>
        <v/>
      </c>
      <c r="F599" s="2">
        <v>112383383.45999999</v>
      </c>
    </row>
    <row r="600" spans="1:6" x14ac:dyDescent="0.25">
      <c r="A600" s="1">
        <f>("4411")*1</f>
        <v>4411</v>
      </c>
      <c r="B600" s="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C600" s="1" t="str">
        <f>""</f>
        <v/>
      </c>
      <c r="D600" s="1" t="str">
        <f>""</f>
        <v/>
      </c>
      <c r="E600" s="1" t="str">
        <f>""</f>
        <v/>
      </c>
      <c r="F600" s="2">
        <v>1054843897.42</v>
      </c>
    </row>
    <row r="601" spans="1:6" x14ac:dyDescent="0.25">
      <c r="A601" s="1">
        <f>("4417")*1</f>
        <v>4417</v>
      </c>
      <c r="B601" s="1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C601" s="1" t="str">
        <f>""</f>
        <v/>
      </c>
      <c r="D601" s="1" t="str">
        <f>""</f>
        <v/>
      </c>
      <c r="E601" s="1" t="str">
        <f>""</f>
        <v/>
      </c>
      <c r="F601" s="2">
        <v>62725390819.230003</v>
      </c>
    </row>
    <row r="602" spans="1:6" x14ac:dyDescent="0.25">
      <c r="A602" s="1">
        <f>("4424")*1</f>
        <v>4424</v>
      </c>
      <c r="B602" s="1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C602" s="1" t="str">
        <f>""</f>
        <v/>
      </c>
      <c r="D602" s="1" t="str">
        <f>""</f>
        <v/>
      </c>
      <c r="E602" s="1" t="str">
        <f>""</f>
        <v/>
      </c>
      <c r="F602" s="2">
        <v>587412656.22000003</v>
      </c>
    </row>
    <row r="603" spans="1:6" x14ac:dyDescent="0.25">
      <c r="A603" s="1">
        <f>("4429")*1</f>
        <v>4429</v>
      </c>
      <c r="B603" s="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C603" s="1" t="str">
        <f>""</f>
        <v/>
      </c>
      <c r="D603" s="1" t="str">
        <f>""</f>
        <v/>
      </c>
      <c r="E603" s="1" t="str">
        <f>""</f>
        <v/>
      </c>
      <c r="F603" s="2">
        <v>1720273790.1600001</v>
      </c>
    </row>
    <row r="604" spans="1:6" x14ac:dyDescent="0.25">
      <c r="A604" s="1">
        <f>("4434")*1</f>
        <v>4434</v>
      </c>
      <c r="B604" s="1" t="str">
        <f>"Доходы по амортизации дисконта по займам, предоставленным клиентам"</f>
        <v>Доходы по амортизации дисконта по займам, предоставленным клиентам</v>
      </c>
      <c r="C604" s="1" t="str">
        <f>""</f>
        <v/>
      </c>
      <c r="D604" s="1" t="str">
        <f>""</f>
        <v/>
      </c>
      <c r="E604" s="1" t="str">
        <f>""</f>
        <v/>
      </c>
      <c r="F604" s="2">
        <v>4035039401.25</v>
      </c>
    </row>
    <row r="605" spans="1:6" x14ac:dyDescent="0.25">
      <c r="A605" s="1">
        <f>("4452")*1</f>
        <v>4452</v>
      </c>
      <c r="B605" s="1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C605" s="1" t="str">
        <f>""</f>
        <v/>
      </c>
      <c r="D605" s="1" t="str">
        <f>""</f>
        <v/>
      </c>
      <c r="E605" s="1" t="str">
        <f>""</f>
        <v/>
      </c>
      <c r="F605" s="2">
        <v>2039841920.3499999</v>
      </c>
    </row>
    <row r="606" spans="1:6" x14ac:dyDescent="0.25">
      <c r="A606" s="1">
        <f>("4453")*1</f>
        <v>4453</v>
      </c>
      <c r="B606" s="1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C606" s="1" t="str">
        <f>""</f>
        <v/>
      </c>
      <c r="D606" s="1" t="str">
        <f>""</f>
        <v/>
      </c>
      <c r="E606" s="1" t="str">
        <f>""</f>
        <v/>
      </c>
      <c r="F606" s="2">
        <v>347894871.82999998</v>
      </c>
    </row>
    <row r="607" spans="1:6" x14ac:dyDescent="0.25">
      <c r="A607" s="1">
        <f>("4454")*1</f>
        <v>4454</v>
      </c>
      <c r="B607" s="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C607" s="1" t="str">
        <f>""</f>
        <v/>
      </c>
      <c r="D607" s="1" t="str">
        <f>""</f>
        <v/>
      </c>
      <c r="E607" s="1" t="str">
        <f>""</f>
        <v/>
      </c>
      <c r="F607" s="2">
        <v>10810457.109999999</v>
      </c>
    </row>
    <row r="608" spans="1:6" x14ac:dyDescent="0.25">
      <c r="A608" s="1">
        <f>("4465")*1</f>
        <v>4465</v>
      </c>
      <c r="B608" s="1" t="str">
        <f>"Доходы, связанные с получением вознаграждения по операциям «обратное РЕПО» с ценными бумагами"</f>
        <v>Доходы, связанные с получением вознаграждения по операциям «обратное РЕПО» с ценными бумагами</v>
      </c>
      <c r="C608" s="1" t="str">
        <f>""</f>
        <v/>
      </c>
      <c r="D608" s="1" t="str">
        <f>""</f>
        <v/>
      </c>
      <c r="E608" s="1" t="str">
        <f>""</f>
        <v/>
      </c>
      <c r="F608" s="2">
        <v>328221677.73000002</v>
      </c>
    </row>
    <row r="609" spans="1:6" x14ac:dyDescent="0.25">
      <c r="A609" s="1">
        <f>("4481")*1</f>
        <v>4481</v>
      </c>
      <c r="B609" s="1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C609" s="1" t="str">
        <f>""</f>
        <v/>
      </c>
      <c r="D609" s="1" t="str">
        <f>""</f>
        <v/>
      </c>
      <c r="E609" s="1" t="str">
        <f>""</f>
        <v/>
      </c>
      <c r="F609" s="2">
        <v>5399945136.8900003</v>
      </c>
    </row>
    <row r="610" spans="1:6" x14ac:dyDescent="0.25">
      <c r="A610" s="1">
        <f>("4482")*1</f>
        <v>4482</v>
      </c>
      <c r="B610" s="1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C610" s="1" t="str">
        <f>""</f>
        <v/>
      </c>
      <c r="D610" s="1" t="str">
        <f>""</f>
        <v/>
      </c>
      <c r="E610" s="1" t="str">
        <f>""</f>
        <v/>
      </c>
      <c r="F610" s="2">
        <v>3409874707.0599999</v>
      </c>
    </row>
    <row r="611" spans="1:6" x14ac:dyDescent="0.25">
      <c r="A611" s="1">
        <f>("4491")*1</f>
        <v>4491</v>
      </c>
      <c r="B611" s="1" t="str">
        <f>"Доходы, связанные с получением вознаграждения по прочим финансовым активам, учитываемым по амортизированной стоимости"</f>
        <v>Доходы, связанные с получением вознаграждения по прочим финансовым активам, учитываемым по амортизированной стоимости</v>
      </c>
      <c r="C611" s="1" t="str">
        <f>""</f>
        <v/>
      </c>
      <c r="D611" s="1" t="str">
        <f>""</f>
        <v/>
      </c>
      <c r="E611" s="1" t="str">
        <f>""</f>
        <v/>
      </c>
      <c r="F611" s="2">
        <v>1337101.53</v>
      </c>
    </row>
    <row r="612" spans="1:6" x14ac:dyDescent="0.25">
      <c r="A612" s="1">
        <f>("4492")*1</f>
        <v>4492</v>
      </c>
      <c r="B612" s="1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C612" s="1" t="str">
        <f>""</f>
        <v/>
      </c>
      <c r="D612" s="1" t="str">
        <f>""</f>
        <v/>
      </c>
      <c r="E612" s="1" t="str">
        <f>""</f>
        <v/>
      </c>
      <c r="F612" s="2">
        <v>79745827.189999998</v>
      </c>
    </row>
    <row r="613" spans="1:6" x14ac:dyDescent="0.25">
      <c r="A613" s="1">
        <f>("4510")*1</f>
        <v>4510</v>
      </c>
      <c r="B613" s="1" t="str">
        <f>"Доходы по купле-продаже ценных бумаг"</f>
        <v>Доходы по купле-продаже ценных бумаг</v>
      </c>
      <c r="C613" s="1" t="str">
        <f>""</f>
        <v/>
      </c>
      <c r="D613" s="1" t="str">
        <f>""</f>
        <v/>
      </c>
      <c r="E613" s="1" t="str">
        <f>""</f>
        <v/>
      </c>
      <c r="F613" s="2">
        <v>199610.75</v>
      </c>
    </row>
    <row r="614" spans="1:6" x14ac:dyDescent="0.25">
      <c r="A614" s="1">
        <f>("4530")*1</f>
        <v>4530</v>
      </c>
      <c r="B614" s="1" t="str">
        <f>"Доходы по купле-продаже иностранной валюты"</f>
        <v>Доходы по купле-продаже иностранной валюты</v>
      </c>
      <c r="C614" s="1" t="str">
        <f>""</f>
        <v/>
      </c>
      <c r="D614" s="1" t="str">
        <f>""</f>
        <v/>
      </c>
      <c r="E614" s="1" t="str">
        <f>""</f>
        <v/>
      </c>
      <c r="F614" s="2">
        <v>68794887626.850006</v>
      </c>
    </row>
    <row r="615" spans="1:6" x14ac:dyDescent="0.25">
      <c r="A615" s="1">
        <f>("4540")*1</f>
        <v>4540</v>
      </c>
      <c r="B615" s="1" t="str">
        <f>"Доходы от продажи аффинированных драгоценных металлов"</f>
        <v>Доходы от продажи аффинированных драгоценных металлов</v>
      </c>
      <c r="C615" s="1" t="str">
        <f>""</f>
        <v/>
      </c>
      <c r="D615" s="1" t="str">
        <f>""</f>
        <v/>
      </c>
      <c r="E615" s="1" t="str">
        <f>""</f>
        <v/>
      </c>
      <c r="F615" s="2">
        <v>10926930.5</v>
      </c>
    </row>
    <row r="616" spans="1:6" x14ac:dyDescent="0.25">
      <c r="A616" s="1">
        <f>("4570")*1</f>
        <v>4570</v>
      </c>
      <c r="B616" s="1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C616" s="1" t="str">
        <f>""</f>
        <v/>
      </c>
      <c r="D616" s="1" t="str">
        <f>""</f>
        <v/>
      </c>
      <c r="E616" s="1" t="str">
        <f>""</f>
        <v/>
      </c>
      <c r="F616" s="2">
        <v>42759148</v>
      </c>
    </row>
    <row r="617" spans="1:6" x14ac:dyDescent="0.25">
      <c r="A617" s="1">
        <f>("4593")*1</f>
        <v>4593</v>
      </c>
      <c r="B617" s="1" t="str">
        <f>"Доходы от переоценки операций своп"</f>
        <v>Доходы от переоценки операций своп</v>
      </c>
      <c r="C617" s="1" t="str">
        <f>""</f>
        <v/>
      </c>
      <c r="D617" s="1" t="str">
        <f>""</f>
        <v/>
      </c>
      <c r="E617" s="1" t="str">
        <f>""</f>
        <v/>
      </c>
      <c r="F617" s="2">
        <v>125775300</v>
      </c>
    </row>
    <row r="618" spans="1:6" x14ac:dyDescent="0.25">
      <c r="A618" s="1">
        <f>("4601")*1</f>
        <v>4601</v>
      </c>
      <c r="B618" s="1" t="str">
        <f>"Комиссионные доходы за услуги по переводным операциям"</f>
        <v>Комиссионные доходы за услуги по переводным операциям</v>
      </c>
      <c r="C618" s="1" t="str">
        <f>""</f>
        <v/>
      </c>
      <c r="D618" s="1" t="str">
        <f>""</f>
        <v/>
      </c>
      <c r="E618" s="1" t="str">
        <f>""</f>
        <v/>
      </c>
      <c r="F618" s="2">
        <v>1503069651.22</v>
      </c>
    </row>
    <row r="619" spans="1:6" x14ac:dyDescent="0.25">
      <c r="A619" s="1">
        <f>("4602")*1</f>
        <v>4602</v>
      </c>
      <c r="B619" s="1" t="str">
        <f>"Комиссионные доходы за агентские услуги"</f>
        <v>Комиссионные доходы за агентские услуги</v>
      </c>
      <c r="C619" s="1" t="str">
        <f>""</f>
        <v/>
      </c>
      <c r="D619" s="1" t="str">
        <f>""</f>
        <v/>
      </c>
      <c r="E619" s="1" t="str">
        <f>""</f>
        <v/>
      </c>
      <c r="F619" s="2">
        <v>13496294109.01</v>
      </c>
    </row>
    <row r="620" spans="1:6" x14ac:dyDescent="0.25">
      <c r="A620" s="1">
        <f>("4605")*1</f>
        <v>4605</v>
      </c>
      <c r="B620" s="1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C620" s="1" t="str">
        <f>""</f>
        <v/>
      </c>
      <c r="D620" s="1" t="str">
        <f>""</f>
        <v/>
      </c>
      <c r="E620" s="1" t="str">
        <f>""</f>
        <v/>
      </c>
      <c r="F620" s="2">
        <v>70231323.620000005</v>
      </c>
    </row>
    <row r="621" spans="1:6" x14ac:dyDescent="0.25">
      <c r="A621" s="1">
        <f>("4606")*1</f>
        <v>4606</v>
      </c>
      <c r="B621" s="1" t="str">
        <f>"Комиссионные доходы за услуги по операциям с гарантиями"</f>
        <v>Комиссионные доходы за услуги по операциям с гарантиями</v>
      </c>
      <c r="C621" s="1" t="str">
        <f>""</f>
        <v/>
      </c>
      <c r="D621" s="1" t="str">
        <f>""</f>
        <v/>
      </c>
      <c r="E621" s="1" t="str">
        <f>""</f>
        <v/>
      </c>
      <c r="F621" s="2">
        <v>183488900.50999999</v>
      </c>
    </row>
    <row r="622" spans="1:6" x14ac:dyDescent="0.25">
      <c r="A622" s="1">
        <f>("4607")*1</f>
        <v>4607</v>
      </c>
      <c r="B622" s="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C622" s="1" t="str">
        <f>""</f>
        <v/>
      </c>
      <c r="D622" s="1" t="str">
        <f>""</f>
        <v/>
      </c>
      <c r="E622" s="1" t="str">
        <f>""</f>
        <v/>
      </c>
      <c r="F622" s="2">
        <v>258506743.93000001</v>
      </c>
    </row>
    <row r="623" spans="1:6" x14ac:dyDescent="0.25">
      <c r="A623" s="1">
        <f>("4608")*1</f>
        <v>4608</v>
      </c>
      <c r="B623" s="1" t="str">
        <f>"Прочие комиссионные доходы"</f>
        <v>Прочие комиссионные доходы</v>
      </c>
      <c r="C623" s="1" t="str">
        <f>""</f>
        <v/>
      </c>
      <c r="D623" s="1" t="str">
        <f>""</f>
        <v/>
      </c>
      <c r="E623" s="1" t="str">
        <f>""</f>
        <v/>
      </c>
      <c r="F623" s="2">
        <v>4733320187.4300003</v>
      </c>
    </row>
    <row r="624" spans="1:6" x14ac:dyDescent="0.25">
      <c r="A624" s="1">
        <f>("4609")*1</f>
        <v>4609</v>
      </c>
      <c r="B624" s="1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C624" s="1" t="str">
        <f>""</f>
        <v/>
      </c>
      <c r="D624" s="1" t="str">
        <f>""</f>
        <v/>
      </c>
      <c r="E624" s="1" t="str">
        <f>""</f>
        <v/>
      </c>
      <c r="F624" s="2">
        <v>52533495.770000003</v>
      </c>
    </row>
    <row r="625" spans="1:6" x14ac:dyDescent="0.25">
      <c r="A625" s="1">
        <f>("4611")*1</f>
        <v>4611</v>
      </c>
      <c r="B625" s="1" t="str">
        <f>"Комиссионные доходы за услуги по кассовым операциям"</f>
        <v>Комиссионные доходы за услуги по кассовым операциям</v>
      </c>
      <c r="C625" s="1" t="str">
        <f>""</f>
        <v/>
      </c>
      <c r="D625" s="1" t="str">
        <f>""</f>
        <v/>
      </c>
      <c r="E625" s="1" t="str">
        <f>""</f>
        <v/>
      </c>
      <c r="F625" s="2">
        <v>782476763.09000003</v>
      </c>
    </row>
    <row r="626" spans="1:6" x14ac:dyDescent="0.25">
      <c r="A626" s="1">
        <f>("4612")*1</f>
        <v>4612</v>
      </c>
      <c r="B626" s="1" t="str">
        <f>"Комиссионные доходы по документарным расчетам"</f>
        <v>Комиссионные доходы по документарным расчетам</v>
      </c>
      <c r="C626" s="1" t="str">
        <f>""</f>
        <v/>
      </c>
      <c r="D626" s="1" t="str">
        <f>""</f>
        <v/>
      </c>
      <c r="E626" s="1" t="str">
        <f>""</f>
        <v/>
      </c>
      <c r="F626" s="2">
        <v>87621822.400000006</v>
      </c>
    </row>
    <row r="627" spans="1:6" x14ac:dyDescent="0.25">
      <c r="A627" s="1">
        <f>("4615")*1</f>
        <v>4615</v>
      </c>
      <c r="B627" s="1" t="str">
        <f>"Комиссионные доходы за услуги по инкассации"</f>
        <v>Комиссионные доходы за услуги по инкассации</v>
      </c>
      <c r="C627" s="1" t="str">
        <f>""</f>
        <v/>
      </c>
      <c r="D627" s="1" t="str">
        <f>""</f>
        <v/>
      </c>
      <c r="E627" s="1" t="str">
        <f>""</f>
        <v/>
      </c>
      <c r="F627" s="2">
        <v>11748164.17</v>
      </c>
    </row>
    <row r="628" spans="1:6" x14ac:dyDescent="0.25">
      <c r="A628" s="1">
        <f>("4617")*1</f>
        <v>4617</v>
      </c>
      <c r="B628" s="1" t="str">
        <f>"Комиссионные доходы за услуги по сейфовым операциям"</f>
        <v>Комиссионные доходы за услуги по сейфовым операциям</v>
      </c>
      <c r="C628" s="1" t="str">
        <f>""</f>
        <v/>
      </c>
      <c r="D628" s="1" t="str">
        <f>""</f>
        <v/>
      </c>
      <c r="E628" s="1" t="str">
        <f>""</f>
        <v/>
      </c>
      <c r="F628" s="2">
        <v>10617855.9</v>
      </c>
    </row>
    <row r="629" spans="1:6" x14ac:dyDescent="0.25">
      <c r="A629" s="1">
        <f>("4619")*1</f>
        <v>4619</v>
      </c>
      <c r="B629" s="1" t="str">
        <f>"Комиссионные доходы за обслуживание платежных карточек"</f>
        <v>Комиссионные доходы за обслуживание платежных карточек</v>
      </c>
      <c r="C629" s="1" t="str">
        <f>""</f>
        <v/>
      </c>
      <c r="D629" s="1" t="str">
        <f>""</f>
        <v/>
      </c>
      <c r="E629" s="1" t="str">
        <f>""</f>
        <v/>
      </c>
      <c r="F629" s="2">
        <v>660800</v>
      </c>
    </row>
    <row r="630" spans="1:6" x14ac:dyDescent="0.25">
      <c r="A630" s="1">
        <f>("4703")*1</f>
        <v>4703</v>
      </c>
      <c r="B630" s="1" t="str">
        <f>"Доход от переоценки иностранной валюты"</f>
        <v>Доход от переоценки иностранной валюты</v>
      </c>
      <c r="C630" s="1" t="str">
        <f>""</f>
        <v/>
      </c>
      <c r="D630" s="1" t="str">
        <f>""</f>
        <v/>
      </c>
      <c r="E630" s="1" t="str">
        <f>""</f>
        <v/>
      </c>
      <c r="F630" s="2">
        <v>173269272540.79001</v>
      </c>
    </row>
    <row r="631" spans="1:6" x14ac:dyDescent="0.25">
      <c r="A631" s="1">
        <f>("4704")*1</f>
        <v>4704</v>
      </c>
      <c r="B631" s="1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C631" s="1" t="str">
        <f>""</f>
        <v/>
      </c>
      <c r="D631" s="1" t="str">
        <f>""</f>
        <v/>
      </c>
      <c r="E631" s="1" t="str">
        <f>""</f>
        <v/>
      </c>
      <c r="F631" s="2">
        <v>56402979.280000001</v>
      </c>
    </row>
    <row r="632" spans="1:6" x14ac:dyDescent="0.25">
      <c r="A632" s="1">
        <f>("4714")*1</f>
        <v>4714</v>
      </c>
      <c r="B632" s="1" t="str">
        <f>"Доходы от восстановления убытка от обесценения долгосрочных активов, предназначенных для продажи"</f>
        <v>Доходы от восстановления убытка от обесценения долгосрочных активов, предназначенных для продажи</v>
      </c>
      <c r="C632" s="1" t="str">
        <f>""</f>
        <v/>
      </c>
      <c r="D632" s="1" t="str">
        <f>""</f>
        <v/>
      </c>
      <c r="E632" s="1" t="str">
        <f>""</f>
        <v/>
      </c>
      <c r="F632" s="2">
        <v>461584</v>
      </c>
    </row>
    <row r="633" spans="1:6" x14ac:dyDescent="0.25">
      <c r="A633" s="1">
        <f>("4733")*1</f>
        <v>4733</v>
      </c>
      <c r="B633" s="1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C633" s="1" t="str">
        <f>""</f>
        <v/>
      </c>
      <c r="D633" s="1" t="str">
        <f>""</f>
        <v/>
      </c>
      <c r="E633" s="1" t="str">
        <f>""</f>
        <v/>
      </c>
      <c r="F633" s="2">
        <v>2985074.2</v>
      </c>
    </row>
    <row r="634" spans="1:6" x14ac:dyDescent="0.25">
      <c r="A634" s="1">
        <f>("4852")*1</f>
        <v>4852</v>
      </c>
      <c r="B634" s="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C634" s="1" t="str">
        <f>""</f>
        <v/>
      </c>
      <c r="D634" s="1" t="str">
        <f>""</f>
        <v/>
      </c>
      <c r="E634" s="1" t="str">
        <f>""</f>
        <v/>
      </c>
      <c r="F634" s="2">
        <v>625000</v>
      </c>
    </row>
    <row r="635" spans="1:6" x14ac:dyDescent="0.25">
      <c r="A635" s="1">
        <f>("4853")*1</f>
        <v>4853</v>
      </c>
      <c r="B635" s="1" t="str">
        <f>"Доходы от реализации запасов"</f>
        <v>Доходы от реализации запасов</v>
      </c>
      <c r="C635" s="1" t="str">
        <f>""</f>
        <v/>
      </c>
      <c r="D635" s="1" t="str">
        <f>""</f>
        <v/>
      </c>
      <c r="E635" s="1" t="str">
        <f>""</f>
        <v/>
      </c>
      <c r="F635" s="2">
        <v>196339.3</v>
      </c>
    </row>
    <row r="636" spans="1:6" x14ac:dyDescent="0.25">
      <c r="A636" s="1">
        <f>("4854")*1</f>
        <v>4854</v>
      </c>
      <c r="B636" s="1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C636" s="1" t="str">
        <f>""</f>
        <v/>
      </c>
      <c r="D636" s="1" t="str">
        <f>""</f>
        <v/>
      </c>
      <c r="E636" s="1" t="str">
        <f>""</f>
        <v/>
      </c>
      <c r="F636" s="2">
        <v>88738679.040000007</v>
      </c>
    </row>
    <row r="637" spans="1:6" x14ac:dyDescent="0.25">
      <c r="A637" s="1">
        <f>("4892")*1</f>
        <v>4892</v>
      </c>
      <c r="B637" s="1" t="str">
        <f>"Доходы по операциям форвард"</f>
        <v>Доходы по операциям форвард</v>
      </c>
      <c r="C637" s="1" t="str">
        <f>""</f>
        <v/>
      </c>
      <c r="D637" s="1" t="str">
        <f>""</f>
        <v/>
      </c>
      <c r="E637" s="1" t="str">
        <f>""</f>
        <v/>
      </c>
      <c r="F637" s="2">
        <v>93169418</v>
      </c>
    </row>
    <row r="638" spans="1:6" x14ac:dyDescent="0.25">
      <c r="A638" s="1">
        <f>("4895")*1</f>
        <v>4895</v>
      </c>
      <c r="B638" s="1" t="str">
        <f>"Доходы по операциям своп"</f>
        <v>Доходы по операциям своп</v>
      </c>
      <c r="C638" s="1" t="str">
        <f>""</f>
        <v/>
      </c>
      <c r="D638" s="1" t="str">
        <f>""</f>
        <v/>
      </c>
      <c r="E638" s="1" t="str">
        <f>""</f>
        <v/>
      </c>
      <c r="F638" s="2">
        <v>507977993.66000003</v>
      </c>
    </row>
    <row r="639" spans="1:6" x14ac:dyDescent="0.25">
      <c r="A639" s="1">
        <f>("4900")*1</f>
        <v>4900</v>
      </c>
      <c r="B639" s="1" t="str">
        <f>"Неустойка (штраф, пеня)"</f>
        <v>Неустойка (штраф, пеня)</v>
      </c>
      <c r="C639" s="1" t="str">
        <f>""</f>
        <v/>
      </c>
      <c r="D639" s="1" t="str">
        <f>""</f>
        <v/>
      </c>
      <c r="E639" s="1" t="str">
        <f>""</f>
        <v/>
      </c>
      <c r="F639" s="2">
        <v>754926824.88</v>
      </c>
    </row>
    <row r="640" spans="1:6" x14ac:dyDescent="0.25">
      <c r="A640" s="1">
        <f>("4921")*1</f>
        <v>4921</v>
      </c>
      <c r="B640" s="1" t="str">
        <f>"Прочие доходы от банковской деятельности"</f>
        <v>Прочие доходы от банковской деятельности</v>
      </c>
      <c r="C640" s="1" t="str">
        <f>""</f>
        <v/>
      </c>
      <c r="D640" s="1" t="str">
        <f>""</f>
        <v/>
      </c>
      <c r="E640" s="1" t="str">
        <f>""</f>
        <v/>
      </c>
      <c r="F640" s="2">
        <v>104210030.92</v>
      </c>
    </row>
    <row r="641" spans="1:6" x14ac:dyDescent="0.25">
      <c r="A641" s="1">
        <f>("4922")*1</f>
        <v>4922</v>
      </c>
      <c r="B641" s="1" t="str">
        <f>"Прочие доходы от неосновной деятельности"</f>
        <v>Прочие доходы от неосновной деятельности</v>
      </c>
      <c r="C641" s="1" t="str">
        <f>""</f>
        <v/>
      </c>
      <c r="D641" s="1" t="str">
        <f>""</f>
        <v/>
      </c>
      <c r="E641" s="1" t="str">
        <f>""</f>
        <v/>
      </c>
      <c r="F641" s="2">
        <v>29488676.960000001</v>
      </c>
    </row>
    <row r="642" spans="1:6" x14ac:dyDescent="0.25">
      <c r="A642" s="1">
        <f>("4951")*1</f>
        <v>4951</v>
      </c>
      <c r="B642" s="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C642" s="1" t="str">
        <f>""</f>
        <v/>
      </c>
      <c r="D642" s="1" t="str">
        <f>""</f>
        <v/>
      </c>
      <c r="E642" s="1" t="str">
        <f>""</f>
        <v/>
      </c>
      <c r="F642" s="2">
        <v>9156482</v>
      </c>
    </row>
    <row r="643" spans="1:6" x14ac:dyDescent="0.25">
      <c r="A643" s="1">
        <f>("4953")*1</f>
        <v>4953</v>
      </c>
      <c r="B643" s="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C643" s="1" t="str">
        <f>""</f>
        <v/>
      </c>
      <c r="D643" s="1" t="str">
        <f>""</f>
        <v/>
      </c>
      <c r="E643" s="1" t="str">
        <f>""</f>
        <v/>
      </c>
      <c r="F643" s="2">
        <v>856051573.51999998</v>
      </c>
    </row>
    <row r="644" spans="1:6" x14ac:dyDescent="0.25">
      <c r="A644" s="1">
        <f>("4954")*1</f>
        <v>4954</v>
      </c>
      <c r="B644" s="1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C644" s="1" t="str">
        <f>""</f>
        <v/>
      </c>
      <c r="D644" s="1" t="str">
        <f>""</f>
        <v/>
      </c>
      <c r="E644" s="1" t="str">
        <f>""</f>
        <v/>
      </c>
      <c r="F644" s="2">
        <v>1329625074.99</v>
      </c>
    </row>
    <row r="645" spans="1:6" x14ac:dyDescent="0.25">
      <c r="A645" s="1">
        <f>("4955")*1</f>
        <v>4955</v>
      </c>
      <c r="B645" s="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C645" s="1" t="str">
        <f>""</f>
        <v/>
      </c>
      <c r="D645" s="1" t="str">
        <f>""</f>
        <v/>
      </c>
      <c r="E645" s="1" t="str">
        <f>""</f>
        <v/>
      </c>
      <c r="F645" s="2">
        <v>52667439405.870003</v>
      </c>
    </row>
    <row r="646" spans="1:6" x14ac:dyDescent="0.25">
      <c r="A646" s="1">
        <f>("4956")*1</f>
        <v>4956</v>
      </c>
      <c r="B646" s="1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C646" s="1" t="str">
        <f>""</f>
        <v/>
      </c>
      <c r="D646" s="1" t="str">
        <f>""</f>
        <v/>
      </c>
      <c r="E646" s="1" t="str">
        <f>""</f>
        <v/>
      </c>
      <c r="F646" s="2">
        <v>10744490.01</v>
      </c>
    </row>
    <row r="647" spans="1:6" x14ac:dyDescent="0.25">
      <c r="A647" s="1">
        <f>("4957")*1</f>
        <v>4957</v>
      </c>
      <c r="B647" s="1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C647" s="1" t="str">
        <f>""</f>
        <v/>
      </c>
      <c r="D647" s="1" t="str">
        <f>""</f>
        <v/>
      </c>
      <c r="E647" s="1" t="str">
        <f>""</f>
        <v/>
      </c>
      <c r="F647" s="2">
        <v>27661975.859999999</v>
      </c>
    </row>
    <row r="648" spans="1:6" x14ac:dyDescent="0.25">
      <c r="A648" s="1">
        <f>("4958")*1</f>
        <v>4958</v>
      </c>
      <c r="B648" s="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C648" s="1" t="str">
        <f>""</f>
        <v/>
      </c>
      <c r="D648" s="1" t="str">
        <f>""</f>
        <v/>
      </c>
      <c r="E648" s="1" t="str">
        <f>""</f>
        <v/>
      </c>
      <c r="F648" s="2">
        <v>744081942.71000004</v>
      </c>
    </row>
    <row r="649" spans="1:6" x14ac:dyDescent="0.25">
      <c r="A649" s="1">
        <f>("4959")*1</f>
        <v>4959</v>
      </c>
      <c r="B649" s="1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C649" s="1" t="str">
        <f>""</f>
        <v/>
      </c>
      <c r="D649" s="1" t="str">
        <f>""</f>
        <v/>
      </c>
      <c r="E649" s="1" t="str">
        <f>""</f>
        <v/>
      </c>
      <c r="F649" s="2">
        <v>291112.71000000002</v>
      </c>
    </row>
    <row r="650" spans="1:6" x14ac:dyDescent="0.25">
      <c r="A650" s="1">
        <f>("4963")*1</f>
        <v>4963</v>
      </c>
      <c r="B650" s="1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C650" s="1" t="str">
        <f>""</f>
        <v/>
      </c>
      <c r="D650" s="1" t="str">
        <f>""</f>
        <v/>
      </c>
      <c r="E650" s="1" t="str">
        <f>""</f>
        <v/>
      </c>
      <c r="F650" s="2">
        <v>24500917.870000001</v>
      </c>
    </row>
    <row r="651" spans="1:6" x14ac:dyDescent="0.25">
      <c r="A651" s="1">
        <f>("5036")*1</f>
        <v>5036</v>
      </c>
      <c r="B651" s="1" t="str">
        <f>"Расходы,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Казахстан"</f>
        <v>Расходы, связанные с выплатой вознаграждения по долгосрочным займам, полученным от Правительства и местных исполнительных органов Республики Казахстан</v>
      </c>
      <c r="C651" s="1" t="str">
        <f>""</f>
        <v/>
      </c>
      <c r="D651" s="1" t="str">
        <f>""</f>
        <v/>
      </c>
      <c r="E651" s="1" t="str">
        <f>""</f>
        <v/>
      </c>
      <c r="F651" s="2">
        <v>11927174.189999999</v>
      </c>
    </row>
    <row r="652" spans="1:6" x14ac:dyDescent="0.25">
      <c r="A652" s="1">
        <f>("5056")*1</f>
        <v>5056</v>
      </c>
      <c r="B652" s="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C652" s="1" t="str">
        <f>""</f>
        <v/>
      </c>
      <c r="D652" s="1" t="str">
        <f>""</f>
        <v/>
      </c>
      <c r="E652" s="1" t="str">
        <f>""</f>
        <v/>
      </c>
      <c r="F652" s="2">
        <v>104505151.59999999</v>
      </c>
    </row>
    <row r="653" spans="1:6" x14ac:dyDescent="0.25">
      <c r="A653" s="1">
        <f>("5066")*1</f>
        <v>5066</v>
      </c>
      <c r="B653" s="1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C653" s="1" t="str">
        <f>""</f>
        <v/>
      </c>
      <c r="D653" s="1" t="str">
        <f>""</f>
        <v/>
      </c>
      <c r="E653" s="1" t="str">
        <f>""</f>
        <v/>
      </c>
      <c r="F653" s="2">
        <v>235182446.44999999</v>
      </c>
    </row>
    <row r="654" spans="1:6" x14ac:dyDescent="0.25">
      <c r="A654" s="1">
        <f>("5071")*1</f>
        <v>5071</v>
      </c>
      <c r="B654" s="1" t="str">
        <f>"Расходы,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процента"</f>
        <v>Расходы, возникающие при корректировке валовой балансовой стоимости предоставленных займов в связи с их модификацией и (или) корректировке займов, предоставленных по нерыночной ставке процента</v>
      </c>
      <c r="C654" s="1" t="str">
        <f>""</f>
        <v/>
      </c>
      <c r="D654" s="1" t="str">
        <f>""</f>
        <v/>
      </c>
      <c r="E654" s="1" t="str">
        <f>""</f>
        <v/>
      </c>
      <c r="F654" s="2">
        <v>324780888.94</v>
      </c>
    </row>
    <row r="655" spans="1:6" x14ac:dyDescent="0.25">
      <c r="A655" s="1">
        <f>("5211")*1</f>
        <v>5211</v>
      </c>
      <c r="B655" s="1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C655" s="1" t="str">
        <f>""</f>
        <v/>
      </c>
      <c r="D655" s="1" t="str">
        <f>""</f>
        <v/>
      </c>
      <c r="E655" s="1" t="str">
        <f>""</f>
        <v/>
      </c>
      <c r="F655" s="2">
        <v>1225020418.3800001</v>
      </c>
    </row>
    <row r="656" spans="1:6" x14ac:dyDescent="0.25">
      <c r="A656" s="1">
        <f>("5215")*1</f>
        <v>5215</v>
      </c>
      <c r="B656" s="1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C656" s="1" t="str">
        <f>""</f>
        <v/>
      </c>
      <c r="D656" s="1" t="str">
        <f>""</f>
        <v/>
      </c>
      <c r="E656" s="1" t="str">
        <f>""</f>
        <v/>
      </c>
      <c r="F656" s="2">
        <v>10994736826.459999</v>
      </c>
    </row>
    <row r="657" spans="1:6" x14ac:dyDescent="0.25">
      <c r="A657" s="1">
        <f>("5217")*1</f>
        <v>5217</v>
      </c>
      <c r="B657" s="1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C657" s="1" t="str">
        <f>""</f>
        <v/>
      </c>
      <c r="D657" s="1" t="str">
        <f>""</f>
        <v/>
      </c>
      <c r="E657" s="1" t="str">
        <f>""</f>
        <v/>
      </c>
      <c r="F657" s="2">
        <v>9294346072.3999996</v>
      </c>
    </row>
    <row r="658" spans="1:6" x14ac:dyDescent="0.25">
      <c r="A658" s="1">
        <f>("5218")*1</f>
        <v>5218</v>
      </c>
      <c r="B658" s="1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C658" s="1" t="str">
        <f>""</f>
        <v/>
      </c>
      <c r="D658" s="1" t="str">
        <f>""</f>
        <v/>
      </c>
      <c r="E658" s="1" t="str">
        <f>""</f>
        <v/>
      </c>
      <c r="F658" s="2">
        <v>4808835535.0900002</v>
      </c>
    </row>
    <row r="659" spans="1:6" x14ac:dyDescent="0.25">
      <c r="A659" s="1">
        <f>("5219")*1</f>
        <v>5219</v>
      </c>
      <c r="B659" s="1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C659" s="1" t="str">
        <f>""</f>
        <v/>
      </c>
      <c r="D659" s="1" t="str">
        <f>""</f>
        <v/>
      </c>
      <c r="E659" s="1" t="str">
        <f>""</f>
        <v/>
      </c>
      <c r="F659" s="2">
        <v>207319.91</v>
      </c>
    </row>
    <row r="660" spans="1:6" x14ac:dyDescent="0.25">
      <c r="A660" s="1">
        <f>("5220")*1</f>
        <v>5220</v>
      </c>
      <c r="B660" s="1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C660" s="1" t="str">
        <f>""</f>
        <v/>
      </c>
      <c r="D660" s="1" t="str">
        <f>""</f>
        <v/>
      </c>
      <c r="E660" s="1" t="str">
        <f>""</f>
        <v/>
      </c>
      <c r="F660" s="2">
        <v>627792239.60000002</v>
      </c>
    </row>
    <row r="661" spans="1:6" x14ac:dyDescent="0.25">
      <c r="A661" s="1">
        <f>("5223")*1</f>
        <v>5223</v>
      </c>
      <c r="B661" s="1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C661" s="1" t="str">
        <f>""</f>
        <v/>
      </c>
      <c r="D661" s="1" t="str">
        <f>""</f>
        <v/>
      </c>
      <c r="E661" s="1" t="str">
        <f>""</f>
        <v/>
      </c>
      <c r="F661" s="2">
        <v>384486860.94999999</v>
      </c>
    </row>
    <row r="662" spans="1:6" x14ac:dyDescent="0.25">
      <c r="A662" s="1">
        <f>("5227")*1</f>
        <v>5227</v>
      </c>
      <c r="B662" s="1" t="str">
        <f>"Процентные расходы по обязательствам по аренде"</f>
        <v>Процентные расходы по обязательствам по аренде</v>
      </c>
      <c r="C662" s="1" t="str">
        <f>""</f>
        <v/>
      </c>
      <c r="D662" s="1" t="str">
        <f>""</f>
        <v/>
      </c>
      <c r="E662" s="1" t="str">
        <f>""</f>
        <v/>
      </c>
      <c r="F662" s="2">
        <v>115189601.42</v>
      </c>
    </row>
    <row r="663" spans="1:6" x14ac:dyDescent="0.25">
      <c r="A663" s="1">
        <f>("5240")*1</f>
        <v>5240</v>
      </c>
      <c r="B663" s="1" t="str">
        <f>"Расходы по амортизации премии по займам, предоставленным клиентам"</f>
        <v>Расходы по амортизации премии по займам, предоставленным клиентам</v>
      </c>
      <c r="C663" s="1" t="str">
        <f>""</f>
        <v/>
      </c>
      <c r="D663" s="1" t="str">
        <f>""</f>
        <v/>
      </c>
      <c r="E663" s="1" t="str">
        <f>""</f>
        <v/>
      </c>
      <c r="F663" s="2">
        <v>460565303.91000003</v>
      </c>
    </row>
    <row r="664" spans="1:6" x14ac:dyDescent="0.25">
      <c r="A664" s="1">
        <f>("5250")*1</f>
        <v>5250</v>
      </c>
      <c r="B664" s="1" t="str">
        <f>"Расходы, связанные с выплатой вознаграждения по операциям «РЕПО» с ценными бумагами"</f>
        <v>Расходы, связанные с выплатой вознаграждения по операциям «РЕПО» с ценными бумагами</v>
      </c>
      <c r="C664" s="1" t="str">
        <f>""</f>
        <v/>
      </c>
      <c r="D664" s="1" t="str">
        <f>""</f>
        <v/>
      </c>
      <c r="E664" s="1" t="str">
        <f>""</f>
        <v/>
      </c>
      <c r="F664" s="2">
        <v>729023834.64999998</v>
      </c>
    </row>
    <row r="665" spans="1:6" x14ac:dyDescent="0.25">
      <c r="A665" s="1">
        <f>("5301")*1</f>
        <v>5301</v>
      </c>
      <c r="B665" s="1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C665" s="1" t="str">
        <f>""</f>
        <v/>
      </c>
      <c r="D665" s="1" t="str">
        <f>""</f>
        <v/>
      </c>
      <c r="E665" s="1" t="str">
        <f>""</f>
        <v/>
      </c>
      <c r="F665" s="2">
        <v>795995897.83000004</v>
      </c>
    </row>
    <row r="666" spans="1:6" x14ac:dyDescent="0.25">
      <c r="A666" s="1">
        <f>("5306")*1</f>
        <v>5306</v>
      </c>
      <c r="B666" s="1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C666" s="1" t="str">
        <f>""</f>
        <v/>
      </c>
      <c r="D666" s="1" t="str">
        <f>""</f>
        <v/>
      </c>
      <c r="E666" s="1" t="str">
        <f>""</f>
        <v/>
      </c>
      <c r="F666" s="2">
        <v>204401264.75</v>
      </c>
    </row>
    <row r="667" spans="1:6" x14ac:dyDescent="0.25">
      <c r="A667" s="1">
        <f>("5307")*1</f>
        <v>5307</v>
      </c>
      <c r="B667" s="1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C667" s="1" t="str">
        <f>""</f>
        <v/>
      </c>
      <c r="D667" s="1" t="str">
        <f>""</f>
        <v/>
      </c>
      <c r="E667" s="1" t="str">
        <f>""</f>
        <v/>
      </c>
      <c r="F667" s="2">
        <v>57388541.649999999</v>
      </c>
    </row>
    <row r="668" spans="1:6" x14ac:dyDescent="0.25">
      <c r="A668" s="1">
        <f>("5308")*1</f>
        <v>5308</v>
      </c>
      <c r="B668" s="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C668" s="1" t="str">
        <f>""</f>
        <v/>
      </c>
      <c r="D668" s="1" t="str">
        <f>""</f>
        <v/>
      </c>
      <c r="E668" s="1" t="str">
        <f>""</f>
        <v/>
      </c>
      <c r="F668" s="2">
        <v>1632023902.0699999</v>
      </c>
    </row>
    <row r="669" spans="1:6" x14ac:dyDescent="0.25">
      <c r="A669" s="1">
        <f>("5309")*1</f>
        <v>5309</v>
      </c>
      <c r="B669" s="1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C669" s="1" t="str">
        <f>""</f>
        <v/>
      </c>
      <c r="D669" s="1" t="str">
        <f>""</f>
        <v/>
      </c>
      <c r="E669" s="1" t="str">
        <f>""</f>
        <v/>
      </c>
      <c r="F669" s="2">
        <v>149703198.13</v>
      </c>
    </row>
    <row r="670" spans="1:6" x14ac:dyDescent="0.25">
      <c r="A670" s="1">
        <f>("5404")*1</f>
        <v>5404</v>
      </c>
      <c r="B670" s="1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C670" s="1" t="str">
        <f>""</f>
        <v/>
      </c>
      <c r="D670" s="1" t="str">
        <f>""</f>
        <v/>
      </c>
      <c r="E670" s="1" t="str">
        <f>""</f>
        <v/>
      </c>
      <c r="F670" s="2">
        <v>2007690721.2</v>
      </c>
    </row>
    <row r="671" spans="1:6" x14ac:dyDescent="0.25">
      <c r="A671" s="1">
        <f>("5406")*1</f>
        <v>5406</v>
      </c>
      <c r="B671" s="1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C671" s="1" t="str">
        <f>""</f>
        <v/>
      </c>
      <c r="D671" s="1" t="str">
        <f>""</f>
        <v/>
      </c>
      <c r="E671" s="1" t="str">
        <f>""</f>
        <v/>
      </c>
      <c r="F671" s="2">
        <v>3816078850</v>
      </c>
    </row>
    <row r="672" spans="1:6" x14ac:dyDescent="0.25">
      <c r="A672" s="1">
        <f>("5451")*1</f>
        <v>5451</v>
      </c>
      <c r="B672" s="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C672" s="1" t="str">
        <f>""</f>
        <v/>
      </c>
      <c r="D672" s="1" t="str">
        <f>""</f>
        <v/>
      </c>
      <c r="E672" s="1" t="str">
        <f>""</f>
        <v/>
      </c>
      <c r="F672" s="2">
        <v>13923600.02</v>
      </c>
    </row>
    <row r="673" spans="1:6" x14ac:dyDescent="0.25">
      <c r="A673" s="1">
        <f>("5453")*1</f>
        <v>5453</v>
      </c>
      <c r="B673" s="1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C673" s="1" t="str">
        <f>""</f>
        <v/>
      </c>
      <c r="D673" s="1" t="str">
        <f>""</f>
        <v/>
      </c>
      <c r="E673" s="1" t="str">
        <f>""</f>
        <v/>
      </c>
      <c r="F673" s="2">
        <v>1662458352.96</v>
      </c>
    </row>
    <row r="674" spans="1:6" x14ac:dyDescent="0.25">
      <c r="A674" s="1">
        <f>("5455")*1</f>
        <v>5455</v>
      </c>
      <c r="B674" s="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C674" s="1" t="str">
        <f>""</f>
        <v/>
      </c>
      <c r="D674" s="1" t="str">
        <f>""</f>
        <v/>
      </c>
      <c r="E674" s="1" t="str">
        <f>""</f>
        <v/>
      </c>
      <c r="F674" s="2">
        <v>59525911791.239998</v>
      </c>
    </row>
    <row r="675" spans="1:6" x14ac:dyDescent="0.25">
      <c r="A675" s="1">
        <f>("5456")*1</f>
        <v>5456</v>
      </c>
      <c r="B675" s="1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C675" s="1" t="str">
        <f>""</f>
        <v/>
      </c>
      <c r="D675" s="1" t="str">
        <f>""</f>
        <v/>
      </c>
      <c r="E675" s="1" t="str">
        <f>""</f>
        <v/>
      </c>
      <c r="F675" s="2">
        <v>7003865.1200000001</v>
      </c>
    </row>
    <row r="676" spans="1:6" x14ac:dyDescent="0.25">
      <c r="A676" s="1">
        <f>("5457")*1</f>
        <v>5457</v>
      </c>
      <c r="B676" s="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C676" s="1" t="str">
        <f>""</f>
        <v/>
      </c>
      <c r="D676" s="1" t="str">
        <f>""</f>
        <v/>
      </c>
      <c r="E676" s="1" t="str">
        <f>""</f>
        <v/>
      </c>
      <c r="F676" s="2">
        <v>28906937.920000002</v>
      </c>
    </row>
    <row r="677" spans="1:6" x14ac:dyDescent="0.25">
      <c r="A677" s="1">
        <f>("5459")*1</f>
        <v>5459</v>
      </c>
      <c r="B677" s="1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C677" s="1" t="str">
        <f>""</f>
        <v/>
      </c>
      <c r="D677" s="1" t="str">
        <f>""</f>
        <v/>
      </c>
      <c r="E677" s="1" t="str">
        <f>""</f>
        <v/>
      </c>
      <c r="F677" s="2">
        <v>57704</v>
      </c>
    </row>
    <row r="678" spans="1:6" x14ac:dyDescent="0.25">
      <c r="A678" s="1">
        <f>("5464")*1</f>
        <v>5464</v>
      </c>
      <c r="B678" s="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C678" s="1" t="str">
        <f>""</f>
        <v/>
      </c>
      <c r="D678" s="1" t="str">
        <f>""</f>
        <v/>
      </c>
      <c r="E678" s="1" t="str">
        <f>""</f>
        <v/>
      </c>
      <c r="F678" s="2">
        <v>10528371554.540001</v>
      </c>
    </row>
    <row r="679" spans="1:6" x14ac:dyDescent="0.25">
      <c r="A679" s="1">
        <f>("5465")*1</f>
        <v>5465</v>
      </c>
      <c r="B679" s="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C679" s="1" t="str">
        <f>""</f>
        <v/>
      </c>
      <c r="D679" s="1" t="str">
        <f>""</f>
        <v/>
      </c>
      <c r="E679" s="1" t="str">
        <f>""</f>
        <v/>
      </c>
      <c r="F679" s="2">
        <v>876472147.87</v>
      </c>
    </row>
    <row r="680" spans="1:6" x14ac:dyDescent="0.25">
      <c r="A680" s="1">
        <f>("5510")*1</f>
        <v>5510</v>
      </c>
      <c r="B680" s="1" t="str">
        <f>"Расходы по купле-продаже ценных бумаг"</f>
        <v>Расходы по купле-продаже ценных бумаг</v>
      </c>
      <c r="C680" s="1" t="str">
        <f>""</f>
        <v/>
      </c>
      <c r="D680" s="1" t="str">
        <f>""</f>
        <v/>
      </c>
      <c r="E680" s="1" t="str">
        <f>""</f>
        <v/>
      </c>
      <c r="F680" s="2">
        <v>175111570.90000001</v>
      </c>
    </row>
    <row r="681" spans="1:6" x14ac:dyDescent="0.25">
      <c r="A681" s="1">
        <f>("5530")*1</f>
        <v>5530</v>
      </c>
      <c r="B681" s="1" t="str">
        <f>"Расходы по купле-продаже иностранной валюты"</f>
        <v>Расходы по купле-продаже иностранной валюты</v>
      </c>
      <c r="C681" s="1" t="str">
        <f>""</f>
        <v/>
      </c>
      <c r="D681" s="1" t="str">
        <f>""</f>
        <v/>
      </c>
      <c r="E681" s="1" t="str">
        <f>""</f>
        <v/>
      </c>
      <c r="F681" s="2">
        <v>44495626661.690002</v>
      </c>
    </row>
    <row r="682" spans="1:6" x14ac:dyDescent="0.25">
      <c r="A682" s="1">
        <f>("5540")*1</f>
        <v>5540</v>
      </c>
      <c r="B682" s="1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C682" s="1" t="str">
        <f>""</f>
        <v/>
      </c>
      <c r="D682" s="1" t="str">
        <f>""</f>
        <v/>
      </c>
      <c r="E682" s="1" t="str">
        <f>""</f>
        <v/>
      </c>
      <c r="F682" s="2">
        <v>979192.7</v>
      </c>
    </row>
    <row r="683" spans="1:6" x14ac:dyDescent="0.25">
      <c r="A683" s="1">
        <f>("5570")*1</f>
        <v>5570</v>
      </c>
      <c r="B683" s="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C683" s="1" t="str">
        <f>""</f>
        <v/>
      </c>
      <c r="D683" s="1" t="str">
        <f>""</f>
        <v/>
      </c>
      <c r="E683" s="1" t="str">
        <f>""</f>
        <v/>
      </c>
      <c r="F683" s="2">
        <v>27035847.300000001</v>
      </c>
    </row>
    <row r="684" spans="1:6" x14ac:dyDescent="0.25">
      <c r="A684" s="1">
        <f>("5593")*1</f>
        <v>5593</v>
      </c>
      <c r="B684" s="1" t="str">
        <f>"Расходы от переоценки операций своп"</f>
        <v>Расходы от переоценки операций своп</v>
      </c>
      <c r="C684" s="1" t="str">
        <f>""</f>
        <v/>
      </c>
      <c r="D684" s="1" t="str">
        <f>""</f>
        <v/>
      </c>
      <c r="E684" s="1" t="str">
        <f>""</f>
        <v/>
      </c>
      <c r="F684" s="2">
        <v>70562840</v>
      </c>
    </row>
    <row r="685" spans="1:6" x14ac:dyDescent="0.25">
      <c r="A685" s="1">
        <f>("5601")*1</f>
        <v>5601</v>
      </c>
      <c r="B685" s="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C685" s="1" t="str">
        <f>""</f>
        <v/>
      </c>
      <c r="D685" s="1" t="str">
        <f>""</f>
        <v/>
      </c>
      <c r="E685" s="1" t="str">
        <f>""</f>
        <v/>
      </c>
      <c r="F685" s="2">
        <v>219553172.15000001</v>
      </c>
    </row>
    <row r="686" spans="1:6" x14ac:dyDescent="0.25">
      <c r="A686" s="1">
        <f>("5602")*1</f>
        <v>5602</v>
      </c>
      <c r="B686" s="1" t="str">
        <f>"Комиссионные расходы по полученным агентским услугам"</f>
        <v>Комиссионные расходы по полученным агентским услугам</v>
      </c>
      <c r="C686" s="1" t="str">
        <f>""</f>
        <v/>
      </c>
      <c r="D686" s="1" t="str">
        <f>""</f>
        <v/>
      </c>
      <c r="E686" s="1" t="str">
        <f>""</f>
        <v/>
      </c>
      <c r="F686" s="2">
        <v>1282269308.3399999</v>
      </c>
    </row>
    <row r="687" spans="1:6" x14ac:dyDescent="0.25">
      <c r="A687" s="1">
        <f>("5603")*1</f>
        <v>5603</v>
      </c>
      <c r="B687" s="1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C687" s="1" t="str">
        <f>""</f>
        <v/>
      </c>
      <c r="D687" s="1" t="str">
        <f>""</f>
        <v/>
      </c>
      <c r="E687" s="1" t="str">
        <f>""</f>
        <v/>
      </c>
      <c r="F687" s="2">
        <v>2410399.19</v>
      </c>
    </row>
    <row r="688" spans="1:6" x14ac:dyDescent="0.25">
      <c r="A688" s="1">
        <f>("5607")*1</f>
        <v>5607</v>
      </c>
      <c r="B688" s="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C688" s="1" t="str">
        <f>""</f>
        <v/>
      </c>
      <c r="D688" s="1" t="str">
        <f>""</f>
        <v/>
      </c>
      <c r="E688" s="1" t="str">
        <f>""</f>
        <v/>
      </c>
      <c r="F688" s="2">
        <v>10142183.800000001</v>
      </c>
    </row>
    <row r="689" spans="1:6" x14ac:dyDescent="0.25">
      <c r="A689" s="1">
        <f>("5608")*1</f>
        <v>5608</v>
      </c>
      <c r="B689" s="1" t="str">
        <f>"Прочие комиссионные расходы"</f>
        <v>Прочие комиссионные расходы</v>
      </c>
      <c r="C689" s="1" t="str">
        <f>""</f>
        <v/>
      </c>
      <c r="D689" s="1" t="str">
        <f>""</f>
        <v/>
      </c>
      <c r="E689" s="1" t="str">
        <f>""</f>
        <v/>
      </c>
      <c r="F689" s="2">
        <v>4947904571.1800003</v>
      </c>
    </row>
    <row r="690" spans="1:6" x14ac:dyDescent="0.25">
      <c r="A690" s="1">
        <f>("5609")*1</f>
        <v>5609</v>
      </c>
      <c r="B690" s="1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C690" s="1" t="str">
        <f>""</f>
        <v/>
      </c>
      <c r="D690" s="1" t="str">
        <f>""</f>
        <v/>
      </c>
      <c r="E690" s="1" t="str">
        <f>""</f>
        <v/>
      </c>
      <c r="F690" s="2">
        <v>48074496.460000001</v>
      </c>
    </row>
    <row r="691" spans="1:6" x14ac:dyDescent="0.25">
      <c r="A691" s="1">
        <f>("5703")*1</f>
        <v>5703</v>
      </c>
      <c r="B691" s="1" t="str">
        <f>"Расходы от переоценки иностранной валюты"</f>
        <v>Расходы от переоценки иностранной валюты</v>
      </c>
      <c r="C691" s="1" t="str">
        <f>""</f>
        <v/>
      </c>
      <c r="D691" s="1" t="str">
        <f>""</f>
        <v/>
      </c>
      <c r="E691" s="1" t="str">
        <f>""</f>
        <v/>
      </c>
      <c r="F691" s="2">
        <v>173277518616.73999</v>
      </c>
    </row>
    <row r="692" spans="1:6" x14ac:dyDescent="0.25">
      <c r="A692" s="1">
        <f>("5704")*1</f>
        <v>5704</v>
      </c>
      <c r="B692" s="1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C692" s="1" t="str">
        <f>""</f>
        <v/>
      </c>
      <c r="D692" s="1" t="str">
        <f>""</f>
        <v/>
      </c>
      <c r="E692" s="1" t="str">
        <f>""</f>
        <v/>
      </c>
      <c r="F692" s="2">
        <v>37612195.840000004</v>
      </c>
    </row>
    <row r="693" spans="1:6" x14ac:dyDescent="0.25">
      <c r="A693" s="1">
        <f>("5715")*1</f>
        <v>5715</v>
      </c>
      <c r="B693" s="1" t="str">
        <f>"Расходы от обесценения долгосрочных активов, предназначенных для продажи"</f>
        <v>Расходы от обесценения долгосрочных активов, предназначенных для продажи</v>
      </c>
      <c r="C693" s="1" t="str">
        <f>""</f>
        <v/>
      </c>
      <c r="D693" s="1" t="str">
        <f>""</f>
        <v/>
      </c>
      <c r="E693" s="1" t="str">
        <f>""</f>
        <v/>
      </c>
      <c r="F693" s="2">
        <v>461584</v>
      </c>
    </row>
    <row r="694" spans="1:6" x14ac:dyDescent="0.25">
      <c r="A694" s="1">
        <f>("5721")*1</f>
        <v>5721</v>
      </c>
      <c r="B694" s="1" t="str">
        <f>"Расходы по оплате труда"</f>
        <v>Расходы по оплате труда</v>
      </c>
      <c r="C694" s="1" t="str">
        <f>""</f>
        <v/>
      </c>
      <c r="D694" s="1" t="str">
        <f>""</f>
        <v/>
      </c>
      <c r="E694" s="1" t="str">
        <f>""</f>
        <v/>
      </c>
      <c r="F694" s="2">
        <v>10339183891.459999</v>
      </c>
    </row>
    <row r="695" spans="1:6" x14ac:dyDescent="0.25">
      <c r="A695" s="1">
        <f>("5722")*1</f>
        <v>5722</v>
      </c>
      <c r="B695" s="1" t="str">
        <f>"Социальные отчисления"</f>
        <v>Социальные отчисления</v>
      </c>
      <c r="C695" s="1" t="str">
        <f>""</f>
        <v/>
      </c>
      <c r="D695" s="1" t="str">
        <f>""</f>
        <v/>
      </c>
      <c r="E695" s="1" t="str">
        <f>""</f>
        <v/>
      </c>
      <c r="F695" s="2">
        <v>485759742</v>
      </c>
    </row>
    <row r="696" spans="1:6" x14ac:dyDescent="0.25">
      <c r="A696" s="1">
        <f>("5729")*1</f>
        <v>5729</v>
      </c>
      <c r="B696" s="1" t="str">
        <f>"Прочие выплаты"</f>
        <v>Прочие выплаты</v>
      </c>
      <c r="C696" s="1" t="str">
        <f>""</f>
        <v/>
      </c>
      <c r="D696" s="1" t="str">
        <f>""</f>
        <v/>
      </c>
      <c r="E696" s="1" t="str">
        <f>""</f>
        <v/>
      </c>
      <c r="F696" s="2">
        <v>437666238.12</v>
      </c>
    </row>
    <row r="697" spans="1:6" x14ac:dyDescent="0.25">
      <c r="A697" s="1">
        <f>("5733")*1</f>
        <v>5733</v>
      </c>
      <c r="B697" s="1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C697" s="1" t="str">
        <f>""</f>
        <v/>
      </c>
      <c r="D697" s="1" t="str">
        <f>""</f>
        <v/>
      </c>
      <c r="E697" s="1" t="str">
        <f>""</f>
        <v/>
      </c>
      <c r="F697" s="2">
        <v>199587.55</v>
      </c>
    </row>
    <row r="698" spans="1:6" x14ac:dyDescent="0.25">
      <c r="A698" s="1">
        <f>("5741")*1</f>
        <v>5741</v>
      </c>
      <c r="B698" s="1" t="str">
        <f>"Транспортные расходы"</f>
        <v>Транспортные расходы</v>
      </c>
      <c r="C698" s="1" t="str">
        <f>""</f>
        <v/>
      </c>
      <c r="D698" s="1" t="str">
        <f>""</f>
        <v/>
      </c>
      <c r="E698" s="1" t="str">
        <f>""</f>
        <v/>
      </c>
      <c r="F698" s="2">
        <v>26954401.73</v>
      </c>
    </row>
    <row r="699" spans="1:6" x14ac:dyDescent="0.25">
      <c r="A699" s="1">
        <f>("5742")*1</f>
        <v>5742</v>
      </c>
      <c r="B699" s="1" t="str">
        <f>"Административные расходы"</f>
        <v>Административные расходы</v>
      </c>
      <c r="C699" s="1" t="str">
        <f>""</f>
        <v/>
      </c>
      <c r="D699" s="1" t="str">
        <f>""</f>
        <v/>
      </c>
      <c r="E699" s="1" t="str">
        <f>""</f>
        <v/>
      </c>
      <c r="F699" s="2">
        <v>2674212306.73</v>
      </c>
    </row>
    <row r="700" spans="1:6" x14ac:dyDescent="0.25">
      <c r="A700" s="1">
        <f>("5743")*1</f>
        <v>5743</v>
      </c>
      <c r="B700" s="1" t="str">
        <f>"Расходы на инкассацию"</f>
        <v>Расходы на инкассацию</v>
      </c>
      <c r="C700" s="1" t="str">
        <f>""</f>
        <v/>
      </c>
      <c r="D700" s="1" t="str">
        <f>""</f>
        <v/>
      </c>
      <c r="E700" s="1" t="str">
        <f>""</f>
        <v/>
      </c>
      <c r="F700" s="2">
        <v>145747311.31999999</v>
      </c>
    </row>
    <row r="701" spans="1:6" x14ac:dyDescent="0.25">
      <c r="A701" s="1">
        <f>("5744")*1</f>
        <v>5744</v>
      </c>
      <c r="B701" s="1" t="str">
        <f>"Расходы на ремонт"</f>
        <v>Расходы на ремонт</v>
      </c>
      <c r="C701" s="1" t="str">
        <f>""</f>
        <v/>
      </c>
      <c r="D701" s="1" t="str">
        <f>""</f>
        <v/>
      </c>
      <c r="E701" s="1" t="str">
        <f>""</f>
        <v/>
      </c>
      <c r="F701" s="2">
        <v>101981982.88</v>
      </c>
    </row>
    <row r="702" spans="1:6" x14ac:dyDescent="0.25">
      <c r="A702" s="1">
        <f>("5745")*1</f>
        <v>5745</v>
      </c>
      <c r="B702" s="1" t="str">
        <f>"Расходы на рекламу"</f>
        <v>Расходы на рекламу</v>
      </c>
      <c r="C702" s="1" t="str">
        <f>""</f>
        <v/>
      </c>
      <c r="D702" s="1" t="str">
        <f>""</f>
        <v/>
      </c>
      <c r="E702" s="1" t="str">
        <f>""</f>
        <v/>
      </c>
      <c r="F702" s="2">
        <v>118337694.06999999</v>
      </c>
    </row>
    <row r="703" spans="1:6" x14ac:dyDescent="0.25">
      <c r="A703" s="1">
        <f>("5746")*1</f>
        <v>5746</v>
      </c>
      <c r="B703" s="1" t="str">
        <f>"Расходы на охрану и сигнализацию"</f>
        <v>Расходы на охрану и сигнализацию</v>
      </c>
      <c r="C703" s="1" t="str">
        <f>""</f>
        <v/>
      </c>
      <c r="D703" s="1" t="str">
        <f>""</f>
        <v/>
      </c>
      <c r="E703" s="1" t="str">
        <f>""</f>
        <v/>
      </c>
      <c r="F703" s="2">
        <v>580290122.75</v>
      </c>
    </row>
    <row r="704" spans="1:6" x14ac:dyDescent="0.25">
      <c r="A704" s="1">
        <f>("5747")*1</f>
        <v>5747</v>
      </c>
      <c r="B704" s="1" t="str">
        <f>"Представительские расходы"</f>
        <v>Представительские расходы</v>
      </c>
      <c r="C704" s="1" t="str">
        <f>""</f>
        <v/>
      </c>
      <c r="D704" s="1" t="str">
        <f>""</f>
        <v/>
      </c>
      <c r="E704" s="1" t="str">
        <f>""</f>
        <v/>
      </c>
      <c r="F704" s="2">
        <v>501145</v>
      </c>
    </row>
    <row r="705" spans="1:6" x14ac:dyDescent="0.25">
      <c r="A705" s="1">
        <f>("5748")*1</f>
        <v>5748</v>
      </c>
      <c r="B705" s="1" t="str">
        <f>"Прочие общехозяйственные расходы"</f>
        <v>Прочие общехозяйственные расходы</v>
      </c>
      <c r="C705" s="1" t="str">
        <f>""</f>
        <v/>
      </c>
      <c r="D705" s="1" t="str">
        <f>""</f>
        <v/>
      </c>
      <c r="E705" s="1" t="str">
        <f>""</f>
        <v/>
      </c>
      <c r="F705" s="2">
        <v>1014829.14</v>
      </c>
    </row>
    <row r="706" spans="1:6" x14ac:dyDescent="0.25">
      <c r="A706" s="1">
        <f>("5749")*1</f>
        <v>5749</v>
      </c>
      <c r="B706" s="1" t="str">
        <f>"Расходы на служебные командировки"</f>
        <v>Расходы на служебные командировки</v>
      </c>
      <c r="C706" s="1" t="str">
        <f>""</f>
        <v/>
      </c>
      <c r="D706" s="1" t="str">
        <f>""</f>
        <v/>
      </c>
      <c r="E706" s="1" t="str">
        <f>""</f>
        <v/>
      </c>
      <c r="F706" s="2">
        <v>109454803.7</v>
      </c>
    </row>
    <row r="707" spans="1:6" x14ac:dyDescent="0.25">
      <c r="A707" s="1">
        <f>("5750")*1</f>
        <v>5750</v>
      </c>
      <c r="B707" s="1" t="str">
        <f>"Расходы по аудиту и консультационным услугам"</f>
        <v>Расходы по аудиту и консультационным услугам</v>
      </c>
      <c r="C707" s="1" t="str">
        <f>""</f>
        <v/>
      </c>
      <c r="D707" s="1" t="str">
        <f>""</f>
        <v/>
      </c>
      <c r="E707" s="1" t="str">
        <f>""</f>
        <v/>
      </c>
      <c r="F707" s="2">
        <v>77235591.709999993</v>
      </c>
    </row>
    <row r="708" spans="1:6" x14ac:dyDescent="0.25">
      <c r="A708" s="1">
        <f>("5752")*1</f>
        <v>5752</v>
      </c>
      <c r="B708" s="1" t="str">
        <f>"Расходы по страхованию"</f>
        <v>Расходы по страхованию</v>
      </c>
      <c r="C708" s="1" t="str">
        <f>""</f>
        <v/>
      </c>
      <c r="D708" s="1" t="str">
        <f>""</f>
        <v/>
      </c>
      <c r="E708" s="1" t="str">
        <f>""</f>
        <v/>
      </c>
      <c r="F708" s="2">
        <v>30979161.219999999</v>
      </c>
    </row>
    <row r="709" spans="1:6" x14ac:dyDescent="0.25">
      <c r="A709" s="1">
        <f>("5753")*1</f>
        <v>5753</v>
      </c>
      <c r="B709" s="1" t="str">
        <f>"Расходы по услугам связи"</f>
        <v>Расходы по услугам связи</v>
      </c>
      <c r="C709" s="1" t="str">
        <f>""</f>
        <v/>
      </c>
      <c r="D709" s="1" t="str">
        <f>""</f>
        <v/>
      </c>
      <c r="E709" s="1" t="str">
        <f>""</f>
        <v/>
      </c>
      <c r="F709" s="2">
        <v>698155866.45000005</v>
      </c>
    </row>
    <row r="710" spans="1:6" x14ac:dyDescent="0.25">
      <c r="A710" s="1">
        <f>("5754")*1</f>
        <v>5754</v>
      </c>
      <c r="B710" s="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C710" s="1" t="str">
        <f>""</f>
        <v/>
      </c>
      <c r="D710" s="1" t="str">
        <f>""</f>
        <v/>
      </c>
      <c r="E710" s="1" t="str">
        <f>""</f>
        <v/>
      </c>
      <c r="F710" s="2">
        <v>993906074.02999997</v>
      </c>
    </row>
    <row r="711" spans="1:6" x14ac:dyDescent="0.25">
      <c r="A711" s="1">
        <f>("5761")*1</f>
        <v>5761</v>
      </c>
      <c r="B711" s="1" t="str">
        <f>"Налог на добавленную стоимость"</f>
        <v>Налог на добавленную стоимость</v>
      </c>
      <c r="C711" s="1" t="str">
        <f>""</f>
        <v/>
      </c>
      <c r="D711" s="1" t="str">
        <f>""</f>
        <v/>
      </c>
      <c r="E711" s="1" t="str">
        <f>""</f>
        <v/>
      </c>
      <c r="F711" s="2">
        <v>481893909.82999998</v>
      </c>
    </row>
    <row r="712" spans="1:6" x14ac:dyDescent="0.25">
      <c r="A712" s="1">
        <f>("5763")*1</f>
        <v>5763</v>
      </c>
      <c r="B712" s="1" t="str">
        <f>"Социальный налог"</f>
        <v>Социальный налог</v>
      </c>
      <c r="C712" s="1" t="str">
        <f>""</f>
        <v/>
      </c>
      <c r="D712" s="1" t="str">
        <f>""</f>
        <v/>
      </c>
      <c r="E712" s="1" t="str">
        <f>""</f>
        <v/>
      </c>
      <c r="F712" s="2">
        <v>755272984.13</v>
      </c>
    </row>
    <row r="713" spans="1:6" x14ac:dyDescent="0.25">
      <c r="A713" s="1">
        <f>("5764")*1</f>
        <v>5764</v>
      </c>
      <c r="B713" s="1" t="str">
        <f>"Земельный налог"</f>
        <v>Земельный налог</v>
      </c>
      <c r="C713" s="1" t="str">
        <f>""</f>
        <v/>
      </c>
      <c r="D713" s="1" t="str">
        <f>""</f>
        <v/>
      </c>
      <c r="E713" s="1" t="str">
        <f>""</f>
        <v/>
      </c>
      <c r="F713" s="2">
        <v>773770.4</v>
      </c>
    </row>
    <row r="714" spans="1:6" x14ac:dyDescent="0.25">
      <c r="A714" s="1">
        <f>("5765")*1</f>
        <v>5765</v>
      </c>
      <c r="B714" s="1" t="str">
        <f>"Налог на имущество юридических лиц"</f>
        <v>Налог на имущество юридических лиц</v>
      </c>
      <c r="C714" s="1" t="str">
        <f>""</f>
        <v/>
      </c>
      <c r="D714" s="1" t="str">
        <f>""</f>
        <v/>
      </c>
      <c r="E714" s="1" t="str">
        <f>""</f>
        <v/>
      </c>
      <c r="F714" s="2">
        <v>74609668.200000003</v>
      </c>
    </row>
    <row r="715" spans="1:6" x14ac:dyDescent="0.25">
      <c r="A715" s="1">
        <f>("5766")*1</f>
        <v>5766</v>
      </c>
      <c r="B715" s="1" t="str">
        <f>"Налог на транспортные средства"</f>
        <v>Налог на транспортные средства</v>
      </c>
      <c r="C715" s="1" t="str">
        <f>""</f>
        <v/>
      </c>
      <c r="D715" s="1" t="str">
        <f>""</f>
        <v/>
      </c>
      <c r="E715" s="1" t="str">
        <f>""</f>
        <v/>
      </c>
      <c r="F715" s="2">
        <v>3485486</v>
      </c>
    </row>
    <row r="716" spans="1:6" x14ac:dyDescent="0.25">
      <c r="A716" s="1">
        <f>("5768")*1</f>
        <v>5768</v>
      </c>
      <c r="B716" s="1" t="str">
        <f>"Прочие налоги и обязательные платежи в бюджет"</f>
        <v>Прочие налоги и обязательные платежи в бюджет</v>
      </c>
      <c r="C716" s="1" t="str">
        <f>""</f>
        <v/>
      </c>
      <c r="D716" s="1" t="str">
        <f>""</f>
        <v/>
      </c>
      <c r="E716" s="1" t="str">
        <f>""</f>
        <v/>
      </c>
      <c r="F716" s="2">
        <v>5794655.9500000002</v>
      </c>
    </row>
    <row r="717" spans="1:6" x14ac:dyDescent="0.25">
      <c r="A717" s="1">
        <f>("5781")*1</f>
        <v>5781</v>
      </c>
      <c r="B717" s="1" t="str">
        <f>"Расходы по амортизации зданий и сооружений"</f>
        <v>Расходы по амортизации зданий и сооружений</v>
      </c>
      <c r="C717" s="1" t="str">
        <f>""</f>
        <v/>
      </c>
      <c r="D717" s="1" t="str">
        <f>""</f>
        <v/>
      </c>
      <c r="E717" s="1" t="str">
        <f>""</f>
        <v/>
      </c>
      <c r="F717" s="2">
        <v>74335386</v>
      </c>
    </row>
    <row r="718" spans="1:6" x14ac:dyDescent="0.25">
      <c r="A718" s="1">
        <f>("5782")*1</f>
        <v>5782</v>
      </c>
      <c r="B718" s="1" t="str">
        <f>"Расходы по амортизации компьютерного оборудования"</f>
        <v>Расходы по амортизации компьютерного оборудования</v>
      </c>
      <c r="C718" s="1" t="str">
        <f>""</f>
        <v/>
      </c>
      <c r="D718" s="1" t="str">
        <f>""</f>
        <v/>
      </c>
      <c r="E718" s="1" t="str">
        <f>""</f>
        <v/>
      </c>
      <c r="F718" s="2">
        <v>348740140.25999999</v>
      </c>
    </row>
    <row r="719" spans="1:6" x14ac:dyDescent="0.25">
      <c r="A719" s="1">
        <f>("5783")*1</f>
        <v>5783</v>
      </c>
      <c r="B719" s="1" t="str">
        <f>"Расходы по амортизации прочих основных средств"</f>
        <v>Расходы по амортизации прочих основных средств</v>
      </c>
      <c r="C719" s="1" t="str">
        <f>""</f>
        <v/>
      </c>
      <c r="D719" s="1" t="str">
        <f>""</f>
        <v/>
      </c>
      <c r="E719" s="1" t="str">
        <f>""</f>
        <v/>
      </c>
      <c r="F719" s="2">
        <v>291369502.20999998</v>
      </c>
    </row>
    <row r="720" spans="1:6" x14ac:dyDescent="0.25">
      <c r="A720" s="1">
        <f>("5784")*1</f>
        <v>5784</v>
      </c>
      <c r="B720" s="1" t="str">
        <f>"Расходы по амортизации активов в форме права пользования"</f>
        <v>Расходы по амортизации активов в форме права пользования</v>
      </c>
      <c r="C720" s="1" t="str">
        <f>""</f>
        <v/>
      </c>
      <c r="D720" s="1" t="str">
        <f>""</f>
        <v/>
      </c>
      <c r="E720" s="1" t="str">
        <f>""</f>
        <v/>
      </c>
      <c r="F720" s="2">
        <v>587919232.88</v>
      </c>
    </row>
    <row r="721" spans="1:6" x14ac:dyDescent="0.25">
      <c r="A721" s="1">
        <f>("5786")*1</f>
        <v>5786</v>
      </c>
      <c r="B721" s="1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C721" s="1" t="str">
        <f>""</f>
        <v/>
      </c>
      <c r="D721" s="1" t="str">
        <f>""</f>
        <v/>
      </c>
      <c r="E721" s="1" t="str">
        <f>""</f>
        <v/>
      </c>
      <c r="F721" s="2">
        <v>447304</v>
      </c>
    </row>
    <row r="722" spans="1:6" x14ac:dyDescent="0.25">
      <c r="A722" s="1">
        <f>("5787")*1</f>
        <v>5787</v>
      </c>
      <c r="B722" s="1" t="str">
        <f>"Расходы по амортизации транспортных средств"</f>
        <v>Расходы по амортизации транспортных средств</v>
      </c>
      <c r="C722" s="1" t="str">
        <f>""</f>
        <v/>
      </c>
      <c r="D722" s="1" t="str">
        <f>""</f>
        <v/>
      </c>
      <c r="E722" s="1" t="str">
        <f>""</f>
        <v/>
      </c>
      <c r="F722" s="2">
        <v>13966156.710000001</v>
      </c>
    </row>
    <row r="723" spans="1:6" x14ac:dyDescent="0.25">
      <c r="A723" s="1">
        <f>("5788")*1</f>
        <v>5788</v>
      </c>
      <c r="B723" s="1" t="str">
        <f>"Расходы по амортизации нематериальных активов"</f>
        <v>Расходы по амортизации нематериальных активов</v>
      </c>
      <c r="C723" s="1" t="str">
        <f>""</f>
        <v/>
      </c>
      <c r="D723" s="1" t="str">
        <f>""</f>
        <v/>
      </c>
      <c r="E723" s="1" t="str">
        <f>""</f>
        <v/>
      </c>
      <c r="F723" s="2">
        <v>617921457.37</v>
      </c>
    </row>
    <row r="724" spans="1:6" x14ac:dyDescent="0.25">
      <c r="A724" s="1">
        <f>("5854")*1</f>
        <v>5854</v>
      </c>
      <c r="B724" s="1" t="str">
        <f>"Расходы от реализации запасов"</f>
        <v>Расходы от реализации запасов</v>
      </c>
      <c r="C724" s="1" t="str">
        <f>""</f>
        <v/>
      </c>
      <c r="D724" s="1" t="str">
        <f>""</f>
        <v/>
      </c>
      <c r="E724" s="1" t="str">
        <f>""</f>
        <v/>
      </c>
      <c r="F724" s="2">
        <v>219062.96</v>
      </c>
    </row>
    <row r="725" spans="1:6" x14ac:dyDescent="0.25">
      <c r="A725" s="1">
        <f>("5892")*1</f>
        <v>5892</v>
      </c>
      <c r="B725" s="1" t="str">
        <f>"Расходы по операциям форвард"</f>
        <v>Расходы по операциям форвард</v>
      </c>
      <c r="C725" s="1" t="str">
        <f>""</f>
        <v/>
      </c>
      <c r="D725" s="1" t="str">
        <f>""</f>
        <v/>
      </c>
      <c r="E725" s="1" t="str">
        <f>""</f>
        <v/>
      </c>
      <c r="F725" s="2">
        <v>34302577.329999998</v>
      </c>
    </row>
    <row r="726" spans="1:6" x14ac:dyDescent="0.25">
      <c r="A726" s="1">
        <f>("5895")*1</f>
        <v>5895</v>
      </c>
      <c r="B726" s="1" t="str">
        <f>"Расходы по операциям своп"</f>
        <v>Расходы по операциям своп</v>
      </c>
      <c r="C726" s="1" t="str">
        <f>""</f>
        <v/>
      </c>
      <c r="D726" s="1" t="str">
        <f>""</f>
        <v/>
      </c>
      <c r="E726" s="1" t="str">
        <f>""</f>
        <v/>
      </c>
      <c r="F726" s="2">
        <v>2969989824.3800001</v>
      </c>
    </row>
    <row r="727" spans="1:6" x14ac:dyDescent="0.25">
      <c r="A727" s="1">
        <f>("5900")*1</f>
        <v>5900</v>
      </c>
      <c r="B727" s="1" t="str">
        <f>"Неустойка (штраф, пеня)"</f>
        <v>Неустойка (штраф, пеня)</v>
      </c>
      <c r="C727" s="1" t="str">
        <f>""</f>
        <v/>
      </c>
      <c r="D727" s="1" t="str">
        <f>""</f>
        <v/>
      </c>
      <c r="E727" s="1" t="str">
        <f>""</f>
        <v/>
      </c>
      <c r="F727" s="2">
        <v>2854075.85</v>
      </c>
    </row>
    <row r="728" spans="1:6" x14ac:dyDescent="0.25">
      <c r="A728" s="1">
        <f>("5921")*1</f>
        <v>5921</v>
      </c>
      <c r="B728" s="1" t="str">
        <f>"Прочие расходы от банковской деятельности"</f>
        <v>Прочие расходы от банковской деятельности</v>
      </c>
      <c r="C728" s="1" t="str">
        <f>""</f>
        <v/>
      </c>
      <c r="D728" s="1" t="str">
        <f>""</f>
        <v/>
      </c>
      <c r="E728" s="1" t="str">
        <f>""</f>
        <v/>
      </c>
      <c r="F728" s="2">
        <v>2266908354.3800001</v>
      </c>
    </row>
    <row r="729" spans="1:6" x14ac:dyDescent="0.25">
      <c r="A729" s="1">
        <f>("5922")*1</f>
        <v>5922</v>
      </c>
      <c r="B729" s="1" t="str">
        <f>"Прочие расходы от неосновной деятельности"</f>
        <v>Прочие расходы от неосновной деятельности</v>
      </c>
      <c r="C729" s="1" t="str">
        <f>""</f>
        <v/>
      </c>
      <c r="D729" s="1" t="str">
        <f>""</f>
        <v/>
      </c>
      <c r="E729" s="1" t="str">
        <f>""</f>
        <v/>
      </c>
      <c r="F729" s="2">
        <v>15937885.939999999</v>
      </c>
    </row>
    <row r="730" spans="1:6" x14ac:dyDescent="0.25">
      <c r="A730" s="1">
        <f>("5923")*1</f>
        <v>5923</v>
      </c>
      <c r="B730" s="1" t="str">
        <f>"Расходы по аренде"</f>
        <v>Расходы по аренде</v>
      </c>
      <c r="C730" s="1" t="str">
        <f>""</f>
        <v/>
      </c>
      <c r="D730" s="1" t="str">
        <f>""</f>
        <v/>
      </c>
      <c r="E730" s="1" t="str">
        <f>""</f>
        <v/>
      </c>
      <c r="F730" s="2">
        <v>207052315.34999999</v>
      </c>
    </row>
    <row r="731" spans="1:6" x14ac:dyDescent="0.25">
      <c r="A731" s="1">
        <f>("5999")*1</f>
        <v>5999</v>
      </c>
      <c r="B731" s="1" t="str">
        <f>"Корпоративный подоходный налог"</f>
        <v>Корпоративный подоходный налог</v>
      </c>
      <c r="C731" s="1" t="str">
        <f>""</f>
        <v/>
      </c>
      <c r="D731" s="1" t="str">
        <f>""</f>
        <v/>
      </c>
      <c r="E731" s="1" t="str">
        <f>""</f>
        <v/>
      </c>
      <c r="F731" s="2">
        <v>8800597000</v>
      </c>
    </row>
    <row r="732" spans="1:6" x14ac:dyDescent="0.25">
      <c r="A732" s="1">
        <f>("6005")*1</f>
        <v>6005</v>
      </c>
      <c r="B732" s="1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C732" s="1" t="str">
        <f>""</f>
        <v/>
      </c>
      <c r="D732" s="1" t="str">
        <f>""</f>
        <v/>
      </c>
      <c r="E732" s="1" t="str">
        <f>""</f>
        <v/>
      </c>
      <c r="F732" s="2">
        <v>2218619178.3600001</v>
      </c>
    </row>
    <row r="733" spans="1:6" x14ac:dyDescent="0.25">
      <c r="A733" s="1">
        <f>("6010")*1</f>
        <v>6010</v>
      </c>
      <c r="B733" s="1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C733" s="1" t="str">
        <f>""</f>
        <v/>
      </c>
      <c r="D733" s="1" t="str">
        <f>""</f>
        <v/>
      </c>
      <c r="E733" s="1" t="str">
        <f>""</f>
        <v/>
      </c>
      <c r="F733" s="2">
        <v>1128816000</v>
      </c>
    </row>
    <row r="734" spans="1:6" x14ac:dyDescent="0.25">
      <c r="A734" s="1">
        <f>("6020")*1</f>
        <v>6020</v>
      </c>
      <c r="B734" s="1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C734" s="1" t="str">
        <f>""</f>
        <v/>
      </c>
      <c r="D734" s="1" t="str">
        <f>""</f>
        <v/>
      </c>
      <c r="E734" s="1" t="str">
        <f>""</f>
        <v/>
      </c>
      <c r="F734" s="2">
        <v>1545538654.8599999</v>
      </c>
    </row>
    <row r="735" spans="1:6" x14ac:dyDescent="0.25">
      <c r="A735" s="1">
        <f>("6055")*1</f>
        <v>6055</v>
      </c>
      <c r="B735" s="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C735" s="1" t="str">
        <f>""</f>
        <v/>
      </c>
      <c r="D735" s="1" t="str">
        <f>""</f>
        <v/>
      </c>
      <c r="E735" s="1" t="str">
        <f>""</f>
        <v/>
      </c>
      <c r="F735" s="2">
        <v>19493770553.959999</v>
      </c>
    </row>
    <row r="736" spans="1:6" x14ac:dyDescent="0.25">
      <c r="A736" s="1">
        <f>("6075")*1</f>
        <v>6075</v>
      </c>
      <c r="B736" s="1" t="str">
        <f>"Возможные требования по принятым гарантиям"</f>
        <v>Возможные требования по принятым гарантиям</v>
      </c>
      <c r="C736" s="1" t="str">
        <f>""</f>
        <v/>
      </c>
      <c r="D736" s="1" t="str">
        <f>""</f>
        <v/>
      </c>
      <c r="E736" s="1" t="str">
        <f>""</f>
        <v/>
      </c>
      <c r="F736" s="2">
        <v>1866934830929</v>
      </c>
    </row>
    <row r="737" spans="1:6" x14ac:dyDescent="0.25">
      <c r="A737" s="1">
        <f>("6125")*1</f>
        <v>6125</v>
      </c>
      <c r="B737" s="1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C737" s="1" t="str">
        <f>""</f>
        <v/>
      </c>
      <c r="D737" s="1" t="str">
        <f>""</f>
        <v/>
      </c>
      <c r="E737" s="1" t="str">
        <f>""</f>
        <v/>
      </c>
      <c r="F737" s="2">
        <v>229199777.09</v>
      </c>
    </row>
    <row r="738" spans="1:6" x14ac:dyDescent="0.25">
      <c r="A738" s="1">
        <f>("6126")*1</f>
        <v>6126</v>
      </c>
      <c r="B738" s="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C738" s="1" t="str">
        <f>""</f>
        <v/>
      </c>
      <c r="D738" s="1" t="str">
        <f>""</f>
        <v/>
      </c>
      <c r="E738" s="1" t="str">
        <f>""</f>
        <v/>
      </c>
      <c r="F738" s="2">
        <v>115900610305.03999</v>
      </c>
    </row>
    <row r="739" spans="1:6" x14ac:dyDescent="0.25">
      <c r="A739" s="1">
        <f>("6130")*1</f>
        <v>6130</v>
      </c>
      <c r="B739" s="1" t="str">
        <f>"Неподвижные вклады клиентов"</f>
        <v>Неподвижные вклады клиентов</v>
      </c>
      <c r="C739" s="1" t="str">
        <f>""</f>
        <v/>
      </c>
      <c r="D739" s="1" t="str">
        <f>""</f>
        <v/>
      </c>
      <c r="E739" s="1" t="str">
        <f>""</f>
        <v/>
      </c>
      <c r="F739" s="2">
        <v>41602942.43</v>
      </c>
    </row>
    <row r="740" spans="1:6" x14ac:dyDescent="0.25">
      <c r="A740" s="1">
        <f>("6155")*1</f>
        <v>6155</v>
      </c>
      <c r="B740" s="1" t="str">
        <f>"Условные требования по получению вкладов в будущем"</f>
        <v>Условные требования по получению вкладов в будущем</v>
      </c>
      <c r="C740" s="1" t="str">
        <f>""</f>
        <v/>
      </c>
      <c r="D740" s="1" t="str">
        <f>""</f>
        <v/>
      </c>
      <c r="E740" s="1" t="str">
        <f>""</f>
        <v/>
      </c>
      <c r="F740" s="2">
        <v>8472561744.3500004</v>
      </c>
    </row>
    <row r="741" spans="1:6" x14ac:dyDescent="0.25">
      <c r="A741" s="1">
        <f>("6175")*1</f>
        <v>6175</v>
      </c>
      <c r="B741" s="1" t="str">
        <f>"Условные требования по получению займов в будущем"</f>
        <v>Условные требования по получению займов в будущем</v>
      </c>
      <c r="C741" s="1" t="str">
        <f>""</f>
        <v/>
      </c>
      <c r="D741" s="1" t="str">
        <f>""</f>
        <v/>
      </c>
      <c r="E741" s="1" t="str">
        <f>""</f>
        <v/>
      </c>
      <c r="F741" s="2">
        <v>10068209995</v>
      </c>
    </row>
    <row r="742" spans="1:6" x14ac:dyDescent="0.25">
      <c r="A742" s="1">
        <f>("6177")*1</f>
        <v>6177</v>
      </c>
      <c r="B742" s="1" t="str">
        <f>"Условные требования по предоставленным займам"</f>
        <v>Условные требования по предоставленным займам</v>
      </c>
      <c r="C742" s="1" t="str">
        <f>""</f>
        <v/>
      </c>
      <c r="D742" s="1" t="str">
        <f>""</f>
        <v/>
      </c>
      <c r="E742" s="1" t="str">
        <f>""</f>
        <v/>
      </c>
      <c r="F742" s="2">
        <v>7082910.5199999996</v>
      </c>
    </row>
    <row r="743" spans="1:6" x14ac:dyDescent="0.25">
      <c r="A743" s="1">
        <f>("6405")*1</f>
        <v>6405</v>
      </c>
      <c r="B743" s="1" t="str">
        <f>"Условные требования по купле-продаже иностранной валюты"</f>
        <v>Условные требования по купле-продаже иностранной валюты</v>
      </c>
      <c r="C743" s="1" t="str">
        <f>""</f>
        <v/>
      </c>
      <c r="D743" s="1" t="str">
        <f>""</f>
        <v/>
      </c>
      <c r="E743" s="1" t="str">
        <f>""</f>
        <v/>
      </c>
      <c r="F743" s="2">
        <v>4310266000</v>
      </c>
    </row>
    <row r="744" spans="1:6" x14ac:dyDescent="0.25">
      <c r="A744" s="1">
        <f>("6505")*1</f>
        <v>6505</v>
      </c>
      <c r="B744" s="1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C744" s="1" t="str">
        <f>""</f>
        <v/>
      </c>
      <c r="D744" s="1" t="str">
        <f>""</f>
        <v/>
      </c>
      <c r="E744" s="1" t="str">
        <f>""</f>
        <v/>
      </c>
      <c r="F744" s="2">
        <v>2218619178.3600001</v>
      </c>
    </row>
    <row r="745" spans="1:6" x14ac:dyDescent="0.25">
      <c r="A745" s="1">
        <f>("6510")*1</f>
        <v>6510</v>
      </c>
      <c r="B745" s="1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C745" s="1" t="str">
        <f>""</f>
        <v/>
      </c>
      <c r="D745" s="1" t="str">
        <f>""</f>
        <v/>
      </c>
      <c r="E745" s="1" t="str">
        <f>""</f>
        <v/>
      </c>
      <c r="F745" s="2">
        <v>1128816000</v>
      </c>
    </row>
    <row r="746" spans="1:6" x14ac:dyDescent="0.25">
      <c r="A746" s="1">
        <f>("6520")*1</f>
        <v>6520</v>
      </c>
      <c r="B746" s="1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C746" s="1" t="str">
        <f>""</f>
        <v/>
      </c>
      <c r="D746" s="1" t="str">
        <f>""</f>
        <v/>
      </c>
      <c r="E746" s="1" t="str">
        <f>""</f>
        <v/>
      </c>
      <c r="F746" s="2">
        <v>1545538654.8599999</v>
      </c>
    </row>
    <row r="747" spans="1:6" x14ac:dyDescent="0.25">
      <c r="A747" s="1">
        <f>("6555")*1</f>
        <v>6555</v>
      </c>
      <c r="B747" s="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C747" s="1" t="str">
        <f>""</f>
        <v/>
      </c>
      <c r="D747" s="1" t="str">
        <f>""</f>
        <v/>
      </c>
      <c r="E747" s="1" t="str">
        <f>""</f>
        <v/>
      </c>
      <c r="F747" s="2">
        <v>19493770553.959999</v>
      </c>
    </row>
    <row r="748" spans="1:6" x14ac:dyDescent="0.25">
      <c r="A748" s="1">
        <f>("6575")*1</f>
        <v>6575</v>
      </c>
      <c r="B748" s="1" t="str">
        <f>"Возможное уменьшение требований по принятым гарантиям"</f>
        <v>Возможное уменьшение требований по принятым гарантиям</v>
      </c>
      <c r="C748" s="1" t="str">
        <f>""</f>
        <v/>
      </c>
      <c r="D748" s="1" t="str">
        <f>""</f>
        <v/>
      </c>
      <c r="E748" s="1" t="str">
        <f>""</f>
        <v/>
      </c>
      <c r="F748" s="2">
        <v>1866934830929</v>
      </c>
    </row>
    <row r="749" spans="1:6" x14ac:dyDescent="0.25">
      <c r="A749" s="1">
        <f>("6625")*1</f>
        <v>6625</v>
      </c>
      <c r="B749" s="1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C749" s="1" t="str">
        <f>""</f>
        <v/>
      </c>
      <c r="D749" s="1" t="str">
        <f>""</f>
        <v/>
      </c>
      <c r="E749" s="1" t="str">
        <f>""</f>
        <v/>
      </c>
      <c r="F749" s="2">
        <v>229199777.09</v>
      </c>
    </row>
    <row r="750" spans="1:6" x14ac:dyDescent="0.25">
      <c r="A750" s="1">
        <f>("6626")*1</f>
        <v>6626</v>
      </c>
      <c r="B750" s="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C750" s="1" t="str">
        <f>""</f>
        <v/>
      </c>
      <c r="D750" s="1" t="str">
        <f>""</f>
        <v/>
      </c>
      <c r="E750" s="1" t="str">
        <f>""</f>
        <v/>
      </c>
      <c r="F750" s="2">
        <v>115900610305.03999</v>
      </c>
    </row>
    <row r="751" spans="1:6" x14ac:dyDescent="0.25">
      <c r="A751" s="1">
        <f>("6630")*1</f>
        <v>6630</v>
      </c>
      <c r="B751" s="1" t="str">
        <f>"Обязательства по неподвижным вкладам клиентов"</f>
        <v>Обязательства по неподвижным вкладам клиентов</v>
      </c>
      <c r="C751" s="1" t="str">
        <f>""</f>
        <v/>
      </c>
      <c r="D751" s="1" t="str">
        <f>""</f>
        <v/>
      </c>
      <c r="E751" s="1" t="str">
        <f>""</f>
        <v/>
      </c>
      <c r="F751" s="2">
        <v>41602942.43</v>
      </c>
    </row>
    <row r="752" spans="1:6" x14ac:dyDescent="0.25">
      <c r="A752" s="1">
        <f>("6655")*1</f>
        <v>6655</v>
      </c>
      <c r="B752" s="1" t="str">
        <f>"Будущие обязательства по получаемым вкладам"</f>
        <v>Будущие обязательства по получаемым вкладам</v>
      </c>
      <c r="C752" s="1" t="str">
        <f>""</f>
        <v/>
      </c>
      <c r="D752" s="1" t="str">
        <f>""</f>
        <v/>
      </c>
      <c r="E752" s="1" t="str">
        <f>""</f>
        <v/>
      </c>
      <c r="F752" s="2">
        <v>8472561744.3500004</v>
      </c>
    </row>
    <row r="753" spans="1:6" x14ac:dyDescent="0.25">
      <c r="A753" s="1">
        <f>("6675")*1</f>
        <v>6675</v>
      </c>
      <c r="B753" s="1" t="str">
        <f>"Будущие обязательства по получаемым займам"</f>
        <v>Будущие обязательства по получаемым займам</v>
      </c>
      <c r="C753" s="1" t="str">
        <f>""</f>
        <v/>
      </c>
      <c r="D753" s="1" t="str">
        <f>""</f>
        <v/>
      </c>
      <c r="E753" s="1" t="str">
        <f>""</f>
        <v/>
      </c>
      <c r="F753" s="2">
        <v>10068209995</v>
      </c>
    </row>
    <row r="754" spans="1:6" x14ac:dyDescent="0.25">
      <c r="A754" s="1">
        <f>("6677")*1</f>
        <v>6677</v>
      </c>
      <c r="B754" s="1" t="str">
        <f>"Условные обязательства по предоставленным займам"</f>
        <v>Условные обязательства по предоставленным займам</v>
      </c>
      <c r="C754" s="1" t="str">
        <f>""</f>
        <v/>
      </c>
      <c r="D754" s="1" t="str">
        <f>""</f>
        <v/>
      </c>
      <c r="E754" s="1" t="str">
        <f>""</f>
        <v/>
      </c>
      <c r="F754" s="2">
        <v>7082910.5199999996</v>
      </c>
    </row>
    <row r="755" spans="1:6" x14ac:dyDescent="0.25">
      <c r="A755" s="1">
        <f>("6905")*1</f>
        <v>6905</v>
      </c>
      <c r="B755" s="1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C755" s="1" t="str">
        <f>""</f>
        <v/>
      </c>
      <c r="D755" s="1" t="str">
        <f>""</f>
        <v/>
      </c>
      <c r="E755" s="1" t="str">
        <f>""</f>
        <v/>
      </c>
      <c r="F755" s="2">
        <v>4301080243.3999996</v>
      </c>
    </row>
    <row r="756" spans="1:6" x14ac:dyDescent="0.25">
      <c r="A756" s="1">
        <f>("6999")*1</f>
        <v>6999</v>
      </c>
      <c r="B756" s="1" t="str">
        <f>"Позиция по сделкам с иностранной валютой"</f>
        <v>Позиция по сделкам с иностранной валютой</v>
      </c>
      <c r="C756" s="1" t="str">
        <f>""</f>
        <v/>
      </c>
      <c r="D756" s="1" t="str">
        <f>""</f>
        <v/>
      </c>
      <c r="E756" s="1" t="str">
        <f>""</f>
        <v/>
      </c>
      <c r="F756" s="2">
        <v>9185756.5999999996</v>
      </c>
    </row>
    <row r="757" spans="1:6" x14ac:dyDescent="0.25">
      <c r="A757" s="1">
        <f>("7150")*1</f>
        <v>7150</v>
      </c>
      <c r="B757" s="1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C757" s="1" t="str">
        <f>""</f>
        <v/>
      </c>
      <c r="D757" s="1" t="str">
        <f>""</f>
        <v/>
      </c>
      <c r="E757" s="1" t="str">
        <f>""</f>
        <v/>
      </c>
      <c r="F757" s="2">
        <v>1288414</v>
      </c>
    </row>
    <row r="758" spans="1:6" x14ac:dyDescent="0.25">
      <c r="A758" s="1">
        <f>("7160")*1</f>
        <v>7160</v>
      </c>
      <c r="B758" s="1" t="str">
        <f>"Имущество, переданное в обеспечение (залог) обязательств"</f>
        <v>Имущество, переданное в обеспечение (залог) обязательств</v>
      </c>
      <c r="C758" s="1" t="str">
        <f>""</f>
        <v/>
      </c>
      <c r="D758" s="1" t="str">
        <f>""</f>
        <v/>
      </c>
      <c r="E758" s="1" t="str">
        <f>""</f>
        <v/>
      </c>
      <c r="F758" s="2">
        <v>3353935507</v>
      </c>
    </row>
    <row r="759" spans="1:6" x14ac:dyDescent="0.25">
      <c r="A759" s="1">
        <f>("7220")*1</f>
        <v>7220</v>
      </c>
      <c r="B759" s="1" t="str">
        <f>"Арендованные активы"</f>
        <v>Арендованные активы</v>
      </c>
      <c r="C759" s="1" t="str">
        <f>""</f>
        <v/>
      </c>
      <c r="D759" s="1" t="str">
        <f>""</f>
        <v/>
      </c>
      <c r="E759" s="1" t="str">
        <f>""</f>
        <v/>
      </c>
      <c r="F759" s="2">
        <v>196880088.78</v>
      </c>
    </row>
    <row r="760" spans="1:6" x14ac:dyDescent="0.25">
      <c r="A760" s="1">
        <f>("7240")*1</f>
        <v>7240</v>
      </c>
      <c r="B760" s="1" t="str">
        <f>"Документы и ценности, принятые на инкассо"</f>
        <v>Документы и ценности, принятые на инкассо</v>
      </c>
      <c r="C760" s="1" t="str">
        <f>""</f>
        <v/>
      </c>
      <c r="D760" s="1" t="str">
        <f>""</f>
        <v/>
      </c>
      <c r="E760" s="1" t="str">
        <f>""</f>
        <v/>
      </c>
      <c r="F760" s="2">
        <v>60255351</v>
      </c>
    </row>
    <row r="761" spans="1:6" x14ac:dyDescent="0.25">
      <c r="A761" s="1">
        <f>("7250")*1</f>
        <v>7250</v>
      </c>
      <c r="B761" s="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C761" s="1" t="str">
        <f>""</f>
        <v/>
      </c>
      <c r="D761" s="1" t="str">
        <f>""</f>
        <v/>
      </c>
      <c r="E761" s="1" t="str">
        <f>""</f>
        <v/>
      </c>
      <c r="F761" s="2">
        <v>741261793229.76001</v>
      </c>
    </row>
    <row r="762" spans="1:6" x14ac:dyDescent="0.25">
      <c r="A762" s="1">
        <f>("7303")*1</f>
        <v>7303</v>
      </c>
      <c r="B762" s="1" t="str">
        <f>"Платежные документы, не оплаченные в срок"</f>
        <v>Платежные документы, не оплаченные в срок</v>
      </c>
      <c r="C762" s="1" t="str">
        <f>""</f>
        <v/>
      </c>
      <c r="D762" s="1" t="str">
        <f>""</f>
        <v/>
      </c>
      <c r="E762" s="1" t="str">
        <f>""</f>
        <v/>
      </c>
      <c r="F762" s="2">
        <v>700593257313.401</v>
      </c>
    </row>
    <row r="763" spans="1:6" x14ac:dyDescent="0.25">
      <c r="A763" s="1">
        <f>("7339")*1</f>
        <v>7339</v>
      </c>
      <c r="B763" s="1" t="str">
        <f>"Разные ценности и документы"</f>
        <v>Разные ценности и документы</v>
      </c>
      <c r="C763" s="1" t="str">
        <f>""</f>
        <v/>
      </c>
      <c r="D763" s="1" t="str">
        <f>""</f>
        <v/>
      </c>
      <c r="E763" s="1" t="str">
        <f>""</f>
        <v/>
      </c>
      <c r="F763" s="2">
        <v>148101</v>
      </c>
    </row>
    <row r="764" spans="1:6" x14ac:dyDescent="0.25">
      <c r="A764" s="1">
        <f>("7342")*1</f>
        <v>7342</v>
      </c>
      <c r="B764" s="1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C764" s="1" t="str">
        <f>""</f>
        <v/>
      </c>
      <c r="D764" s="1" t="str">
        <f>""</f>
        <v/>
      </c>
      <c r="E764" s="1" t="str">
        <f>""</f>
        <v/>
      </c>
      <c r="F764" s="2">
        <v>1932283</v>
      </c>
    </row>
    <row r="765" spans="1:6" x14ac:dyDescent="0.25">
      <c r="A765" s="1">
        <f>("7363")*1</f>
        <v>7363</v>
      </c>
      <c r="B765" s="1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C765" s="1" t="str">
        <f>""</f>
        <v/>
      </c>
      <c r="D765" s="1" t="str">
        <f>""</f>
        <v/>
      </c>
      <c r="E765" s="1" t="str">
        <f>""</f>
        <v/>
      </c>
      <c r="F765" s="2">
        <v>50894136279.370003</v>
      </c>
    </row>
    <row r="766" spans="1:6" x14ac:dyDescent="0.25">
      <c r="A766" s="1">
        <f>("7535")*1</f>
        <v>7535</v>
      </c>
      <c r="B766" s="1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C766" s="1" t="str">
        <f>""</f>
        <v/>
      </c>
      <c r="D766" s="1" t="str">
        <f>""</f>
        <v/>
      </c>
      <c r="E766" s="1" t="str">
        <f>""</f>
        <v/>
      </c>
      <c r="F766" s="2">
        <v>3495452689.7600002</v>
      </c>
    </row>
    <row r="767" spans="1:6" x14ac:dyDescent="0.25">
      <c r="A767" s="1">
        <f>("7536")*1</f>
        <v>7536</v>
      </c>
      <c r="B767" s="1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C767" s="1" t="str">
        <f>""</f>
        <v/>
      </c>
      <c r="D767" s="1" t="str">
        <f>""</f>
        <v/>
      </c>
      <c r="E767" s="1" t="str">
        <f>""</f>
        <v/>
      </c>
      <c r="F767" s="2">
        <v>482600.76</v>
      </c>
    </row>
    <row r="768" spans="1:6" x14ac:dyDescent="0.25">
      <c r="A768" s="1">
        <f>("7542")*1</f>
        <v>7542</v>
      </c>
      <c r="B768" s="1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C768" s="1" t="str">
        <f>""</f>
        <v/>
      </c>
      <c r="D768" s="1" t="str">
        <f>""</f>
        <v/>
      </c>
      <c r="E768" s="1" t="str">
        <f>""</f>
        <v/>
      </c>
      <c r="F768" s="2">
        <v>19634106.120000001</v>
      </c>
    </row>
    <row r="769" spans="1:6" x14ac:dyDescent="0.25">
      <c r="A769" s="1">
        <f>("7544")*1</f>
        <v>7544</v>
      </c>
      <c r="B769" s="1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C769" s="1" t="str">
        <f>""</f>
        <v/>
      </c>
      <c r="D769" s="1" t="str">
        <f>""</f>
        <v/>
      </c>
      <c r="E769" s="1" t="str">
        <f>""</f>
        <v/>
      </c>
      <c r="F769" s="2">
        <v>745441.28000000003</v>
      </c>
    </row>
    <row r="770" spans="1:6" x14ac:dyDescent="0.25">
      <c r="A770" s="1">
        <f>("7701")*1</f>
        <v>7701</v>
      </c>
      <c r="B770" s="1" t="str">
        <f>"Ценные бумаги"</f>
        <v>Ценные бумаги</v>
      </c>
      <c r="C770" s="1" t="str">
        <f>""</f>
        <v/>
      </c>
      <c r="D770" s="1" t="str">
        <f>""</f>
        <v/>
      </c>
      <c r="E770" s="1" t="str">
        <f>""</f>
        <v/>
      </c>
      <c r="F770" s="2">
        <v>79965557057.039993</v>
      </c>
    </row>
    <row r="771" spans="1:6" x14ac:dyDescent="0.25">
      <c r="A771" s="1">
        <f>("7704")*1</f>
        <v>7704</v>
      </c>
      <c r="B771" s="1" t="str">
        <f>"Операции «обратное РЕПО»"</f>
        <v>Операции «обратное РЕПО»</v>
      </c>
      <c r="C771" s="1" t="str">
        <f>""</f>
        <v/>
      </c>
      <c r="D771" s="1" t="str">
        <f>""</f>
        <v/>
      </c>
      <c r="E771" s="1" t="str">
        <f>""</f>
        <v/>
      </c>
      <c r="F771" s="2">
        <v>712646597.55999994</v>
      </c>
    </row>
    <row r="772" spans="1:6" x14ac:dyDescent="0.25">
      <c r="A772" s="1">
        <f>("7707")*1</f>
        <v>7707</v>
      </c>
      <c r="B772" s="1" t="str">
        <f>"Инвестиции в капитал"</f>
        <v>Инвестиции в капитал</v>
      </c>
      <c r="C772" s="1" t="str">
        <f>""</f>
        <v/>
      </c>
      <c r="D772" s="1" t="str">
        <f>""</f>
        <v/>
      </c>
      <c r="E772" s="1" t="str">
        <f>""</f>
        <v/>
      </c>
      <c r="F772" s="2">
        <v>4811507776.8100004</v>
      </c>
    </row>
    <row r="773" spans="1:6" x14ac:dyDescent="0.25">
      <c r="A773" s="1">
        <f>("7708")*1</f>
        <v>7708</v>
      </c>
      <c r="B773" s="1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C773" s="1" t="str">
        <f>""</f>
        <v/>
      </c>
      <c r="D773" s="1" t="str">
        <f>""</f>
        <v/>
      </c>
      <c r="E773" s="1" t="str">
        <f>""</f>
        <v/>
      </c>
      <c r="F773" s="2">
        <v>29687680392</v>
      </c>
    </row>
    <row r="774" spans="1:6" x14ac:dyDescent="0.25">
      <c r="A774" s="1">
        <f>("7711")*1</f>
        <v>7711</v>
      </c>
      <c r="B774" s="1" t="str">
        <f>"Вознаграждение"</f>
        <v>Вознаграждение</v>
      </c>
      <c r="C774" s="1" t="str">
        <f>""</f>
        <v/>
      </c>
      <c r="D774" s="1" t="str">
        <f>""</f>
        <v/>
      </c>
      <c r="E774" s="1" t="str">
        <f>""</f>
        <v/>
      </c>
      <c r="F774" s="2">
        <v>730801300.19000006</v>
      </c>
    </row>
    <row r="775" spans="1:6" x14ac:dyDescent="0.25">
      <c r="A775" s="1">
        <f>("7713")*1</f>
        <v>7713</v>
      </c>
      <c r="B775" s="1" t="str">
        <f>"Прочие требования"</f>
        <v>Прочие требования</v>
      </c>
      <c r="C775" s="1" t="str">
        <f>""</f>
        <v/>
      </c>
      <c r="D775" s="1" t="str">
        <f>""</f>
        <v/>
      </c>
      <c r="E775" s="1" t="str">
        <f>""</f>
        <v/>
      </c>
      <c r="F775" s="2">
        <v>2014498123.77</v>
      </c>
    </row>
    <row r="792" spans="10:10" x14ac:dyDescent="0.25">
      <c r="J792" s="4"/>
    </row>
    <row r="793" spans="10:10" x14ac:dyDescent="0.25">
      <c r="J793" s="4"/>
    </row>
    <row r="794" spans="10:10" x14ac:dyDescent="0.25">
      <c r="J794" s="4"/>
    </row>
    <row r="795" spans="10:10" x14ac:dyDescent="0.25">
      <c r="J795" s="4"/>
    </row>
    <row r="796" spans="10:10" x14ac:dyDescent="0.25">
      <c r="J796" s="4"/>
    </row>
    <row r="808" spans="8:8" x14ac:dyDescent="0.25">
      <c r="H808" s="3"/>
    </row>
    <row r="809" spans="8:8" x14ac:dyDescent="0.25">
      <c r="H809" s="3"/>
    </row>
    <row r="810" spans="8:8" x14ac:dyDescent="0.25">
      <c r="H810" s="3"/>
    </row>
    <row r="811" spans="8:8" x14ac:dyDescent="0.25">
      <c r="H811" s="3"/>
    </row>
    <row r="812" spans="8:8" x14ac:dyDescent="0.25">
      <c r="H812" s="3"/>
    </row>
    <row r="813" spans="8:8" x14ac:dyDescent="0.25">
      <c r="H813" s="3"/>
    </row>
    <row r="814" spans="8:8" x14ac:dyDescent="0.25">
      <c r="H814" s="3"/>
    </row>
    <row r="815" spans="8:8" x14ac:dyDescent="0.25">
      <c r="H815" s="3"/>
    </row>
    <row r="816" spans="8:8" x14ac:dyDescent="0.25">
      <c r="H816" s="3"/>
    </row>
    <row r="817" spans="8:8" x14ac:dyDescent="0.25">
      <c r="H817" s="3"/>
    </row>
    <row r="818" spans="8:8" x14ac:dyDescent="0.25">
      <c r="H818" s="3"/>
    </row>
    <row r="819" spans="8:8" x14ac:dyDescent="0.25">
      <c r="H819" s="3"/>
    </row>
    <row r="820" spans="8:8" x14ac:dyDescent="0.25">
      <c r="H820" s="3"/>
    </row>
    <row r="821" spans="8:8" x14ac:dyDescent="0.25">
      <c r="H821" s="3"/>
    </row>
    <row r="822" spans="8:8" x14ac:dyDescent="0.25">
      <c r="H822" s="3"/>
    </row>
    <row r="823" spans="8:8" x14ac:dyDescent="0.25">
      <c r="H823" s="3"/>
    </row>
    <row r="824" spans="8:8" x14ac:dyDescent="0.25">
      <c r="H824" s="3"/>
    </row>
    <row r="825" spans="8:8" x14ac:dyDescent="0.25">
      <c r="H825" s="3"/>
    </row>
    <row r="826" spans="8:8" x14ac:dyDescent="0.25">
      <c r="H826" s="3"/>
    </row>
    <row r="827" spans="8:8" x14ac:dyDescent="0.25">
      <c r="H827" s="3"/>
    </row>
    <row r="828" spans="8:8" x14ac:dyDescent="0.25">
      <c r="H828" s="3"/>
    </row>
    <row r="829" spans="8:8" x14ac:dyDescent="0.25">
      <c r="H829" s="3"/>
    </row>
    <row r="830" spans="8:8" x14ac:dyDescent="0.25">
      <c r="H830" s="3"/>
    </row>
    <row r="831" spans="8:8" x14ac:dyDescent="0.25">
      <c r="H831" s="3"/>
    </row>
    <row r="832" spans="8:8" x14ac:dyDescent="0.25">
      <c r="H832" s="3"/>
    </row>
    <row r="833" spans="8:8" x14ac:dyDescent="0.25">
      <c r="H833" s="3"/>
    </row>
    <row r="834" spans="8:8" x14ac:dyDescent="0.25">
      <c r="H834" s="3"/>
    </row>
    <row r="835" spans="8:8" x14ac:dyDescent="0.25">
      <c r="H835" s="3"/>
    </row>
    <row r="836" spans="8:8" x14ac:dyDescent="0.25">
      <c r="H836" s="3"/>
    </row>
    <row r="837" spans="8:8" x14ac:dyDescent="0.25">
      <c r="H837" s="3"/>
    </row>
    <row r="838" spans="8:8" x14ac:dyDescent="0.25">
      <c r="H838" s="3"/>
    </row>
    <row r="839" spans="8:8" x14ac:dyDescent="0.25">
      <c r="H839" s="3"/>
    </row>
    <row r="840" spans="8:8" x14ac:dyDescent="0.25">
      <c r="H840" s="3"/>
    </row>
    <row r="841" spans="8:8" x14ac:dyDescent="0.25">
      <c r="H841" s="3"/>
    </row>
    <row r="842" spans="8:8" x14ac:dyDescent="0.25">
      <c r="H842" s="3"/>
    </row>
    <row r="843" spans="8:8" x14ac:dyDescent="0.25">
      <c r="H843" s="3"/>
    </row>
    <row r="844" spans="8:8" x14ac:dyDescent="0.25">
      <c r="H844" s="3"/>
    </row>
    <row r="845" spans="8:8" x14ac:dyDescent="0.25">
      <c r="H845" s="3"/>
    </row>
    <row r="846" spans="8:8" x14ac:dyDescent="0.25">
      <c r="H846" s="3"/>
    </row>
    <row r="847" spans="8:8" x14ac:dyDescent="0.25">
      <c r="H847" s="3"/>
    </row>
  </sheetData>
  <mergeCells count="5">
    <mergeCell ref="A3:F3"/>
    <mergeCell ref="A4:F4"/>
    <mergeCell ref="A5:F5"/>
    <mergeCell ref="A6:F6"/>
    <mergeCell ref="A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700_ND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Жұманова Арайлым Бауыржанқызы</dc:creator>
  <cp:lastModifiedBy>Ахметжанов Валихан Динмухамедович</cp:lastModifiedBy>
  <dcterms:created xsi:type="dcterms:W3CDTF">2021-07-26T05:34:31Z</dcterms:created>
  <dcterms:modified xsi:type="dcterms:W3CDTF">2022-07-14T11:47:08Z</dcterms:modified>
</cp:coreProperties>
</file>