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aribay\Desktop\KASE 010923\01.10.2023\"/>
    </mc:Choice>
  </mc:AlternateContent>
  <xr:revisionPtr revIDLastSave="0" documentId="13_ncr:1_{69771FB4-A46B-43B3-B7A7-1A620DBBB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B14" i="1"/>
  <c r="C14" i="1"/>
  <c r="D14" i="1"/>
  <c r="E14" i="1"/>
  <c r="A6" i="1"/>
  <c r="B6" i="1"/>
  <c r="C6" i="1"/>
  <c r="D6" i="1"/>
  <c r="E6" i="1"/>
  <c r="A12" i="1"/>
  <c r="B12" i="1"/>
  <c r="C12" i="1"/>
  <c r="D12" i="1"/>
  <c r="E12" i="1"/>
  <c r="A7" i="1"/>
  <c r="B7" i="1"/>
  <c r="C7" i="1"/>
  <c r="D7" i="1"/>
  <c r="E7" i="1"/>
  <c r="A9" i="1"/>
  <c r="B9" i="1"/>
  <c r="C9" i="1"/>
  <c r="D9" i="1"/>
  <c r="E9" i="1"/>
  <c r="A8" i="1"/>
  <c r="B8" i="1"/>
  <c r="C8" i="1"/>
  <c r="D8" i="1"/>
  <c r="E8" i="1"/>
  <c r="A15" i="1"/>
  <c r="B15" i="1"/>
  <c r="C15" i="1"/>
  <c r="D15" i="1"/>
  <c r="E15" i="1"/>
  <c r="A18" i="1"/>
  <c r="B18" i="1"/>
  <c r="C18" i="1"/>
  <c r="D18" i="1"/>
  <c r="E18" i="1"/>
  <c r="A10" i="1"/>
  <c r="B10" i="1"/>
  <c r="C10" i="1"/>
  <c r="D10" i="1"/>
  <c r="E10" i="1"/>
  <c r="A16" i="1"/>
  <c r="B16" i="1"/>
  <c r="C16" i="1"/>
  <c r="D16" i="1"/>
  <c r="E16" i="1"/>
  <c r="A11" i="1"/>
  <c r="B11" i="1"/>
  <c r="C11" i="1"/>
  <c r="D11" i="1"/>
  <c r="E11" i="1"/>
  <c r="A19" i="1"/>
  <c r="B19" i="1"/>
  <c r="C19" i="1"/>
  <c r="D19" i="1"/>
  <c r="E19" i="1"/>
  <c r="A17" i="1"/>
  <c r="B17" i="1"/>
  <c r="C17" i="1"/>
  <c r="D17" i="1"/>
  <c r="E17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8" i="1"/>
  <c r="B28" i="1"/>
  <c r="C28" i="1"/>
  <c r="D28" i="1"/>
  <c r="E28" i="1"/>
  <c r="A29" i="1"/>
  <c r="B29" i="1"/>
  <c r="C29" i="1"/>
  <c r="D29" i="1"/>
  <c r="E29" i="1"/>
  <c r="A13" i="1"/>
  <c r="B13" i="1"/>
  <c r="C13" i="1"/>
  <c r="D13" i="1"/>
  <c r="E13" i="1"/>
  <c r="A24" i="1"/>
  <c r="B24" i="1"/>
  <c r="C24" i="1"/>
  <c r="D24" i="1"/>
  <c r="E24" i="1"/>
  <c r="A25" i="1"/>
  <c r="B25" i="1"/>
  <c r="C25" i="1"/>
  <c r="D25" i="1"/>
  <c r="E25" i="1"/>
  <c r="A35" i="1"/>
  <c r="B35" i="1"/>
  <c r="C35" i="1"/>
  <c r="D35" i="1"/>
  <c r="E35" i="1"/>
  <c r="A38" i="1"/>
  <c r="B38" i="1"/>
  <c r="C38" i="1"/>
  <c r="D38" i="1"/>
  <c r="E38" i="1"/>
  <c r="A26" i="1"/>
  <c r="B26" i="1"/>
  <c r="C26" i="1"/>
  <c r="D26" i="1"/>
  <c r="E26" i="1"/>
  <c r="A30" i="1"/>
  <c r="B30" i="1"/>
  <c r="C30" i="1"/>
  <c r="D30" i="1"/>
  <c r="E30" i="1"/>
  <c r="A31" i="1"/>
  <c r="B31" i="1"/>
  <c r="C31" i="1"/>
  <c r="D31" i="1"/>
  <c r="E31" i="1"/>
  <c r="A39" i="1"/>
  <c r="B39" i="1"/>
  <c r="C39" i="1"/>
  <c r="D39" i="1"/>
  <c r="E39" i="1"/>
  <c r="A33" i="1"/>
  <c r="B33" i="1"/>
  <c r="C33" i="1"/>
  <c r="D33" i="1"/>
  <c r="E33" i="1"/>
  <c r="A27" i="1"/>
  <c r="B27" i="1"/>
  <c r="C27" i="1"/>
  <c r="D27" i="1"/>
  <c r="E27" i="1"/>
  <c r="A34" i="1"/>
  <c r="B34" i="1"/>
  <c r="C34" i="1"/>
  <c r="D34" i="1"/>
  <c r="E34" i="1"/>
  <c r="A40" i="1"/>
  <c r="B40" i="1"/>
  <c r="C40" i="1"/>
  <c r="D40" i="1"/>
  <c r="E40" i="1"/>
  <c r="A32" i="1"/>
  <c r="B32" i="1"/>
  <c r="C32" i="1"/>
  <c r="D32" i="1"/>
  <c r="E32" i="1"/>
  <c r="A41" i="1"/>
  <c r="B41" i="1"/>
  <c r="C41" i="1"/>
  <c r="D41" i="1"/>
  <c r="E41" i="1"/>
  <c r="A36" i="1"/>
  <c r="B36" i="1"/>
  <c r="C36" i="1"/>
  <c r="D36" i="1"/>
  <c r="E36" i="1"/>
  <c r="A47" i="1"/>
  <c r="B47" i="1"/>
  <c r="C47" i="1"/>
  <c r="D47" i="1"/>
  <c r="E47" i="1"/>
  <c r="A42" i="1"/>
  <c r="B42" i="1"/>
  <c r="C42" i="1"/>
  <c r="D42" i="1"/>
  <c r="E42" i="1"/>
  <c r="A37" i="1"/>
  <c r="B37" i="1"/>
  <c r="C37" i="1"/>
  <c r="D37" i="1"/>
  <c r="E37" i="1"/>
  <c r="A52" i="1"/>
  <c r="B52" i="1"/>
  <c r="C52" i="1"/>
  <c r="D52" i="1"/>
  <c r="E52" i="1"/>
  <c r="A43" i="1"/>
  <c r="B43" i="1"/>
  <c r="C43" i="1"/>
  <c r="D43" i="1"/>
  <c r="E43" i="1"/>
  <c r="A44" i="1"/>
  <c r="B44" i="1"/>
  <c r="C44" i="1"/>
  <c r="D44" i="1"/>
  <c r="E44" i="1"/>
  <c r="A48" i="1"/>
  <c r="B48" i="1"/>
  <c r="C48" i="1"/>
  <c r="D48" i="1"/>
  <c r="E48" i="1"/>
  <c r="A50" i="1"/>
  <c r="B50" i="1"/>
  <c r="C50" i="1"/>
  <c r="D50" i="1"/>
  <c r="E50" i="1"/>
  <c r="A45" i="1"/>
  <c r="B45" i="1"/>
  <c r="C45" i="1"/>
  <c r="D45" i="1"/>
  <c r="E45" i="1"/>
  <c r="A53" i="1"/>
  <c r="B53" i="1"/>
  <c r="C53" i="1"/>
  <c r="D53" i="1"/>
  <c r="E53" i="1"/>
  <c r="A51" i="1"/>
  <c r="B51" i="1"/>
  <c r="C51" i="1"/>
  <c r="D51" i="1"/>
  <c r="E51" i="1"/>
  <c r="A54" i="1"/>
  <c r="B54" i="1"/>
  <c r="C54" i="1"/>
  <c r="D54" i="1"/>
  <c r="E54" i="1"/>
  <c r="A46" i="1"/>
  <c r="B46" i="1"/>
  <c r="C46" i="1"/>
  <c r="D46" i="1"/>
  <c r="E46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5" i="1"/>
  <c r="B65" i="1"/>
  <c r="C65" i="1"/>
  <c r="D65" i="1"/>
  <c r="E65" i="1"/>
  <c r="A62" i="1"/>
  <c r="B62" i="1"/>
  <c r="C62" i="1"/>
  <c r="D62" i="1"/>
  <c r="E62" i="1"/>
  <c r="A69" i="1"/>
  <c r="B69" i="1"/>
  <c r="C69" i="1"/>
  <c r="D69" i="1"/>
  <c r="E69" i="1"/>
  <c r="A63" i="1"/>
  <c r="B63" i="1"/>
  <c r="C63" i="1"/>
  <c r="D63" i="1"/>
  <c r="E63" i="1"/>
  <c r="A49" i="1"/>
  <c r="B49" i="1"/>
  <c r="C49" i="1"/>
  <c r="D49" i="1"/>
  <c r="E49" i="1"/>
  <c r="A70" i="1"/>
  <c r="B70" i="1"/>
  <c r="C70" i="1"/>
  <c r="D70" i="1"/>
  <c r="E70" i="1"/>
  <c r="A66" i="1"/>
  <c r="B66" i="1"/>
  <c r="C66" i="1"/>
  <c r="D66" i="1"/>
  <c r="E66" i="1"/>
  <c r="A67" i="1"/>
  <c r="B67" i="1"/>
  <c r="C67" i="1"/>
  <c r="D67" i="1"/>
  <c r="E67" i="1"/>
  <c r="A71" i="1"/>
  <c r="B71" i="1"/>
  <c r="C71" i="1"/>
  <c r="D71" i="1"/>
  <c r="E71" i="1"/>
  <c r="A68" i="1"/>
  <c r="B68" i="1"/>
  <c r="C68" i="1"/>
  <c r="D68" i="1"/>
  <c r="E68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64" i="1"/>
  <c r="B64" i="1"/>
  <c r="C64" i="1"/>
  <c r="D64" i="1"/>
  <c r="E64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92" i="1"/>
  <c r="B92" i="1"/>
  <c r="C92" i="1"/>
  <c r="D92" i="1"/>
  <c r="E92" i="1"/>
  <c r="A89" i="1"/>
  <c r="B89" i="1"/>
  <c r="C89" i="1"/>
  <c r="D89" i="1"/>
  <c r="E89" i="1"/>
  <c r="A90" i="1"/>
  <c r="B90" i="1"/>
  <c r="C90" i="1"/>
  <c r="D90" i="1"/>
  <c r="E90" i="1"/>
  <c r="A97" i="1"/>
  <c r="B97" i="1"/>
  <c r="C97" i="1"/>
  <c r="D97" i="1"/>
  <c r="E97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8" i="1"/>
  <c r="B98" i="1"/>
  <c r="C98" i="1"/>
  <c r="D98" i="1"/>
  <c r="E98" i="1"/>
  <c r="A96" i="1"/>
  <c r="B96" i="1"/>
  <c r="C96" i="1"/>
  <c r="D96" i="1"/>
  <c r="E96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4" i="1"/>
  <c r="B104" i="1"/>
  <c r="C104" i="1"/>
  <c r="D104" i="1"/>
  <c r="E104" i="1"/>
  <c r="A102" i="1"/>
  <c r="B102" i="1"/>
  <c r="C102" i="1"/>
  <c r="D102" i="1"/>
  <c r="E102" i="1"/>
  <c r="A103" i="1"/>
  <c r="B103" i="1"/>
  <c r="C103" i="1"/>
  <c r="D103" i="1"/>
  <c r="E103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91" i="1"/>
  <c r="B91" i="1"/>
  <c r="C91" i="1"/>
  <c r="D91" i="1"/>
  <c r="E91" i="1"/>
  <c r="A126" i="1"/>
  <c r="B126" i="1"/>
  <c r="C126" i="1"/>
  <c r="D126" i="1"/>
  <c r="E126" i="1"/>
  <c r="A127" i="1"/>
  <c r="B127" i="1"/>
  <c r="C127" i="1"/>
  <c r="D127" i="1"/>
  <c r="E127" i="1"/>
  <c r="A131" i="1"/>
  <c r="B131" i="1"/>
  <c r="C131" i="1"/>
  <c r="D131" i="1"/>
  <c r="E131" i="1"/>
  <c r="A128" i="1"/>
  <c r="B128" i="1"/>
  <c r="C128" i="1"/>
  <c r="D128" i="1"/>
  <c r="E128" i="1"/>
  <c r="A132" i="1"/>
  <c r="B132" i="1"/>
  <c r="C132" i="1"/>
  <c r="D132" i="1"/>
  <c r="E132" i="1"/>
  <c r="A130" i="1"/>
  <c r="B130" i="1"/>
  <c r="C130" i="1"/>
  <c r="D130" i="1"/>
  <c r="E130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29" i="1"/>
  <c r="B129" i="1"/>
  <c r="C129" i="1"/>
  <c r="D129" i="1"/>
  <c r="E129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3" i="1"/>
  <c r="B143" i="1"/>
  <c r="C143" i="1"/>
  <c r="D143" i="1"/>
  <c r="E143" i="1"/>
  <c r="A144" i="1"/>
  <c r="B144" i="1"/>
  <c r="C144" i="1"/>
  <c r="D144" i="1"/>
  <c r="E144" i="1"/>
  <c r="A141" i="1"/>
  <c r="B141" i="1"/>
  <c r="C141" i="1"/>
  <c r="D141" i="1"/>
  <c r="E141" i="1"/>
  <c r="A142" i="1"/>
  <c r="B142" i="1"/>
  <c r="C142" i="1"/>
  <c r="D142" i="1"/>
  <c r="E142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50" i="1"/>
  <c r="B150" i="1"/>
  <c r="C150" i="1"/>
  <c r="D150" i="1"/>
  <c r="E150" i="1"/>
  <c r="A148" i="1"/>
  <c r="B148" i="1"/>
  <c r="C148" i="1"/>
  <c r="D148" i="1"/>
  <c r="E148" i="1"/>
  <c r="A149" i="1"/>
  <c r="B149" i="1"/>
  <c r="C149" i="1"/>
  <c r="D149" i="1"/>
  <c r="E149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6" i="1"/>
  <c r="B156" i="1"/>
  <c r="C156" i="1"/>
  <c r="D156" i="1"/>
  <c r="E156" i="1"/>
  <c r="A157" i="1"/>
  <c r="B157" i="1"/>
  <c r="C157" i="1"/>
  <c r="D157" i="1"/>
  <c r="E157" i="1"/>
  <c r="A159" i="1"/>
  <c r="B159" i="1"/>
  <c r="C159" i="1"/>
  <c r="D159" i="1"/>
  <c r="E159" i="1"/>
  <c r="A155" i="1"/>
  <c r="B155" i="1"/>
  <c r="C155" i="1"/>
  <c r="D155" i="1"/>
  <c r="E155" i="1"/>
  <c r="A162" i="1"/>
  <c r="B162" i="1"/>
  <c r="C162" i="1"/>
  <c r="D162" i="1"/>
  <c r="E162" i="1"/>
  <c r="A161" i="1"/>
  <c r="B161" i="1"/>
  <c r="C161" i="1"/>
  <c r="D161" i="1"/>
  <c r="E161" i="1"/>
  <c r="A160" i="1"/>
  <c r="B160" i="1"/>
  <c r="C160" i="1"/>
  <c r="D160" i="1"/>
  <c r="E160" i="1"/>
  <c r="A163" i="1"/>
  <c r="B163" i="1"/>
  <c r="C163" i="1"/>
  <c r="D163" i="1"/>
  <c r="E163" i="1"/>
  <c r="A158" i="1"/>
  <c r="B158" i="1"/>
  <c r="C158" i="1"/>
  <c r="D158" i="1"/>
  <c r="E158" i="1"/>
  <c r="A166" i="1"/>
  <c r="B166" i="1"/>
  <c r="C166" i="1"/>
  <c r="D166" i="1"/>
  <c r="E166" i="1"/>
  <c r="A164" i="1"/>
  <c r="B164" i="1"/>
  <c r="C164" i="1"/>
  <c r="D164" i="1"/>
  <c r="E164" i="1"/>
  <c r="A168" i="1"/>
  <c r="B168" i="1"/>
  <c r="C168" i="1"/>
  <c r="D168" i="1"/>
  <c r="E168" i="1"/>
  <c r="A169" i="1"/>
  <c r="B169" i="1"/>
  <c r="C169" i="1"/>
  <c r="D169" i="1"/>
  <c r="E169" i="1"/>
  <c r="A167" i="1"/>
  <c r="B167" i="1"/>
  <c r="C167" i="1"/>
  <c r="D167" i="1"/>
  <c r="E167" i="1"/>
  <c r="A165" i="1"/>
  <c r="B165" i="1"/>
  <c r="C165" i="1"/>
  <c r="D165" i="1"/>
  <c r="E165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0" i="1"/>
  <c r="B170" i="1"/>
  <c r="C170" i="1"/>
  <c r="D170" i="1"/>
  <c r="E170" i="1"/>
  <c r="A174" i="1"/>
  <c r="B174" i="1"/>
  <c r="C174" i="1"/>
  <c r="D174" i="1"/>
  <c r="E174" i="1"/>
  <c r="A176" i="1"/>
  <c r="B176" i="1"/>
  <c r="C176" i="1"/>
  <c r="D176" i="1"/>
  <c r="E176" i="1"/>
  <c r="A178" i="1"/>
  <c r="B178" i="1"/>
  <c r="C178" i="1"/>
  <c r="D178" i="1"/>
  <c r="E178" i="1"/>
  <c r="A179" i="1"/>
  <c r="B179" i="1"/>
  <c r="C179" i="1"/>
  <c r="D179" i="1"/>
  <c r="E179" i="1"/>
  <c r="A175" i="1"/>
  <c r="B175" i="1"/>
  <c r="C175" i="1"/>
  <c r="D175" i="1"/>
  <c r="E175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2" i="1"/>
  <c r="B192" i="1"/>
  <c r="C192" i="1"/>
  <c r="D192" i="1"/>
  <c r="E192" i="1"/>
  <c r="A190" i="1"/>
  <c r="B190" i="1"/>
  <c r="C190" i="1"/>
  <c r="D190" i="1"/>
  <c r="E190" i="1"/>
  <c r="A191" i="1"/>
  <c r="B191" i="1"/>
  <c r="C191" i="1"/>
  <c r="D191" i="1"/>
  <c r="E191" i="1"/>
  <c r="A197" i="1"/>
  <c r="B197" i="1"/>
  <c r="C197" i="1"/>
  <c r="D197" i="1"/>
  <c r="E197" i="1"/>
  <c r="A193" i="1"/>
  <c r="B193" i="1"/>
  <c r="C193" i="1"/>
  <c r="D193" i="1"/>
  <c r="E193" i="1"/>
  <c r="A194" i="1"/>
  <c r="B194" i="1"/>
  <c r="C194" i="1"/>
  <c r="D194" i="1"/>
  <c r="E194" i="1"/>
  <c r="A198" i="1"/>
  <c r="B198" i="1"/>
  <c r="C198" i="1"/>
  <c r="D198" i="1"/>
  <c r="E198" i="1"/>
  <c r="A195" i="1"/>
  <c r="B195" i="1"/>
  <c r="C195" i="1"/>
  <c r="D195" i="1"/>
  <c r="E195" i="1"/>
  <c r="A196" i="1"/>
  <c r="B196" i="1"/>
  <c r="C196" i="1"/>
  <c r="D196" i="1"/>
  <c r="E196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4" i="1"/>
  <c r="B204" i="1"/>
  <c r="C204" i="1"/>
  <c r="D204" i="1"/>
  <c r="E204" i="1"/>
  <c r="A205" i="1"/>
  <c r="B205" i="1"/>
  <c r="C205" i="1"/>
  <c r="D205" i="1"/>
  <c r="E205" i="1"/>
  <c r="A202" i="1"/>
  <c r="B202" i="1"/>
  <c r="C202" i="1"/>
  <c r="D202" i="1"/>
  <c r="E202" i="1"/>
  <c r="A203" i="1"/>
  <c r="B203" i="1"/>
  <c r="C203" i="1"/>
  <c r="D203" i="1"/>
  <c r="E203" i="1"/>
  <c r="A177" i="1"/>
  <c r="B177" i="1"/>
  <c r="C177" i="1"/>
  <c r="D177" i="1"/>
  <c r="E177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0" i="1"/>
  <c r="B210" i="1"/>
  <c r="C210" i="1"/>
  <c r="D210" i="1"/>
  <c r="E210" i="1"/>
  <c r="A215" i="1"/>
  <c r="B215" i="1"/>
  <c r="C215" i="1"/>
  <c r="D215" i="1"/>
  <c r="E215" i="1"/>
  <c r="A218" i="1"/>
  <c r="B218" i="1"/>
  <c r="C218" i="1"/>
  <c r="D218" i="1"/>
  <c r="E218" i="1"/>
  <c r="A219" i="1"/>
  <c r="B219" i="1"/>
  <c r="C219" i="1"/>
  <c r="D219" i="1"/>
  <c r="E219" i="1"/>
  <c r="A216" i="1"/>
  <c r="B216" i="1"/>
  <c r="C216" i="1"/>
  <c r="D216" i="1"/>
  <c r="E216" i="1"/>
  <c r="A217" i="1"/>
  <c r="B217" i="1"/>
  <c r="C217" i="1"/>
  <c r="D217" i="1"/>
  <c r="E217" i="1"/>
  <c r="A220" i="1"/>
  <c r="B220" i="1"/>
  <c r="C220" i="1"/>
  <c r="D220" i="1"/>
  <c r="E220" i="1"/>
  <c r="A222" i="1"/>
  <c r="B222" i="1"/>
  <c r="C222" i="1"/>
  <c r="D222" i="1"/>
  <c r="E222" i="1"/>
  <c r="A221" i="1"/>
  <c r="B221" i="1"/>
  <c r="C221" i="1"/>
  <c r="D221" i="1"/>
  <c r="E221" i="1"/>
  <c r="A223" i="1"/>
  <c r="B223" i="1"/>
  <c r="C223" i="1"/>
  <c r="D223" i="1"/>
  <c r="E223" i="1"/>
  <c r="A225" i="1"/>
  <c r="B225" i="1"/>
  <c r="C225" i="1"/>
  <c r="D225" i="1"/>
  <c r="E225" i="1"/>
  <c r="A224" i="1"/>
  <c r="B224" i="1"/>
  <c r="C224" i="1"/>
  <c r="D224" i="1"/>
  <c r="E224" i="1"/>
  <c r="A227" i="1"/>
  <c r="B227" i="1"/>
  <c r="C227" i="1"/>
  <c r="D227" i="1"/>
  <c r="E227" i="1"/>
  <c r="A226" i="1"/>
  <c r="B226" i="1"/>
  <c r="C226" i="1"/>
  <c r="D226" i="1"/>
  <c r="E226" i="1"/>
  <c r="A231" i="1"/>
  <c r="B231" i="1"/>
  <c r="C231" i="1"/>
  <c r="D231" i="1"/>
  <c r="E231" i="1"/>
  <c r="A228" i="1"/>
  <c r="B228" i="1"/>
  <c r="C228" i="1"/>
  <c r="D228" i="1"/>
  <c r="E228" i="1"/>
  <c r="A232" i="1"/>
  <c r="B232" i="1"/>
  <c r="C232" i="1"/>
  <c r="D232" i="1"/>
  <c r="E232" i="1"/>
  <c r="A229" i="1"/>
  <c r="B229" i="1"/>
  <c r="C229" i="1"/>
  <c r="D229" i="1"/>
  <c r="E229" i="1"/>
  <c r="A230" i="1"/>
  <c r="B230" i="1"/>
  <c r="C230" i="1"/>
  <c r="D230" i="1"/>
  <c r="E230" i="1"/>
  <c r="A234" i="1"/>
  <c r="B234" i="1"/>
  <c r="C234" i="1"/>
  <c r="D234" i="1"/>
  <c r="E234" i="1"/>
  <c r="A233" i="1"/>
  <c r="B233" i="1"/>
  <c r="C233" i="1"/>
  <c r="D233" i="1"/>
  <c r="E233" i="1"/>
  <c r="A235" i="1"/>
  <c r="B235" i="1"/>
  <c r="C235" i="1"/>
  <c r="D235" i="1"/>
  <c r="E235" i="1"/>
  <c r="A238" i="1"/>
  <c r="B238" i="1"/>
  <c r="C238" i="1"/>
  <c r="D238" i="1"/>
  <c r="E238" i="1"/>
  <c r="A236" i="1"/>
  <c r="B236" i="1"/>
  <c r="C236" i="1"/>
  <c r="D236" i="1"/>
  <c r="E236" i="1"/>
  <c r="A237" i="1"/>
  <c r="B237" i="1"/>
  <c r="C237" i="1"/>
  <c r="D237" i="1"/>
  <c r="E237" i="1"/>
  <c r="A239" i="1"/>
  <c r="B239" i="1"/>
  <c r="C239" i="1"/>
  <c r="D239" i="1"/>
  <c r="E239" i="1"/>
  <c r="A241" i="1"/>
  <c r="B241" i="1"/>
  <c r="C241" i="1"/>
  <c r="D241" i="1"/>
  <c r="E241" i="1"/>
  <c r="A240" i="1"/>
  <c r="B240" i="1"/>
  <c r="C240" i="1"/>
  <c r="D240" i="1"/>
  <c r="E240" i="1"/>
  <c r="A242" i="1"/>
  <c r="B242" i="1"/>
  <c r="C242" i="1"/>
  <c r="D242" i="1"/>
  <c r="E242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A248" i="1"/>
  <c r="B248" i="1"/>
  <c r="C248" i="1"/>
  <c r="D248" i="1"/>
  <c r="E248" i="1"/>
  <c r="A249" i="1"/>
  <c r="B249" i="1"/>
  <c r="C249" i="1"/>
  <c r="D249" i="1"/>
  <c r="E249" i="1"/>
  <c r="A253" i="1"/>
  <c r="B253" i="1"/>
  <c r="C253" i="1"/>
  <c r="D253" i="1"/>
  <c r="E253" i="1"/>
  <c r="A250" i="1"/>
  <c r="B250" i="1"/>
  <c r="C250" i="1"/>
  <c r="D250" i="1"/>
  <c r="E250" i="1"/>
  <c r="A257" i="1"/>
  <c r="B257" i="1"/>
  <c r="C257" i="1"/>
  <c r="D257" i="1"/>
  <c r="E257" i="1"/>
  <c r="A252" i="1"/>
  <c r="B252" i="1"/>
  <c r="C252" i="1"/>
  <c r="D252" i="1"/>
  <c r="E252" i="1"/>
  <c r="A254" i="1"/>
  <c r="B254" i="1"/>
  <c r="C254" i="1"/>
  <c r="D254" i="1"/>
  <c r="E254" i="1"/>
  <c r="A251" i="1"/>
  <c r="B251" i="1"/>
  <c r="C251" i="1"/>
  <c r="D251" i="1"/>
  <c r="E251" i="1"/>
  <c r="A255" i="1"/>
  <c r="B255" i="1"/>
  <c r="C255" i="1"/>
  <c r="D255" i="1"/>
  <c r="E255" i="1"/>
  <c r="A258" i="1"/>
  <c r="B258" i="1"/>
  <c r="C258" i="1"/>
  <c r="D258" i="1"/>
  <c r="E258" i="1"/>
  <c r="A259" i="1"/>
  <c r="B259" i="1"/>
  <c r="C259" i="1"/>
  <c r="D259" i="1"/>
  <c r="E259" i="1"/>
  <c r="A260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56" i="1"/>
  <c r="B256" i="1"/>
  <c r="C256" i="1"/>
  <c r="D256" i="1"/>
  <c r="E256" i="1"/>
  <c r="A264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5" i="1"/>
  <c r="B275" i="1"/>
  <c r="C275" i="1"/>
  <c r="D275" i="1"/>
  <c r="E275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274" i="1"/>
  <c r="B274" i="1"/>
  <c r="C274" i="1"/>
  <c r="D274" i="1"/>
  <c r="E274" i="1"/>
  <c r="A279" i="1"/>
  <c r="B279" i="1"/>
  <c r="C279" i="1"/>
  <c r="D279" i="1"/>
  <c r="E279" i="1"/>
  <c r="A280" i="1"/>
  <c r="B280" i="1"/>
  <c r="C280" i="1"/>
  <c r="D280" i="1"/>
  <c r="E280" i="1"/>
  <c r="A281" i="1"/>
  <c r="B281" i="1"/>
  <c r="C281" i="1"/>
  <c r="D281" i="1"/>
  <c r="E281" i="1"/>
  <c r="A282" i="1"/>
  <c r="B282" i="1"/>
  <c r="C282" i="1"/>
  <c r="D282" i="1"/>
  <c r="E282" i="1"/>
  <c r="A283" i="1"/>
  <c r="B283" i="1"/>
  <c r="C283" i="1"/>
  <c r="D283" i="1"/>
  <c r="E283" i="1"/>
  <c r="A284" i="1"/>
  <c r="B284" i="1"/>
  <c r="C284" i="1"/>
  <c r="D284" i="1"/>
  <c r="E284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289" i="1"/>
  <c r="B289" i="1"/>
  <c r="C289" i="1"/>
  <c r="D289" i="1"/>
  <c r="E289" i="1"/>
  <c r="A290" i="1"/>
  <c r="B290" i="1"/>
  <c r="C290" i="1"/>
  <c r="D290" i="1"/>
  <c r="E290" i="1"/>
  <c r="A291" i="1"/>
  <c r="B291" i="1"/>
  <c r="C291" i="1"/>
  <c r="D291" i="1"/>
  <c r="E291" i="1"/>
  <c r="A292" i="1"/>
  <c r="B292" i="1"/>
  <c r="C292" i="1"/>
  <c r="D292" i="1"/>
  <c r="E292" i="1"/>
  <c r="A293" i="1"/>
  <c r="B293" i="1"/>
  <c r="C293" i="1"/>
  <c r="D293" i="1"/>
  <c r="E293" i="1"/>
  <c r="A288" i="1"/>
  <c r="B288" i="1"/>
  <c r="C288" i="1"/>
  <c r="D288" i="1"/>
  <c r="E288" i="1"/>
  <c r="A294" i="1"/>
  <c r="B294" i="1"/>
  <c r="C294" i="1"/>
  <c r="D294" i="1"/>
  <c r="E294" i="1"/>
  <c r="A295" i="1"/>
  <c r="B295" i="1"/>
  <c r="C295" i="1"/>
  <c r="D295" i="1"/>
  <c r="E295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299" i="1"/>
  <c r="B299" i="1"/>
  <c r="C299" i="1"/>
  <c r="D299" i="1"/>
  <c r="E299" i="1"/>
  <c r="A301" i="1"/>
  <c r="B301" i="1"/>
  <c r="C301" i="1"/>
  <c r="D301" i="1"/>
  <c r="E301" i="1"/>
  <c r="A305" i="1"/>
  <c r="B305" i="1"/>
  <c r="C305" i="1"/>
  <c r="D305" i="1"/>
  <c r="E305" i="1"/>
  <c r="A302" i="1"/>
  <c r="B302" i="1"/>
  <c r="C302" i="1"/>
  <c r="D302" i="1"/>
  <c r="E302" i="1"/>
  <c r="A300" i="1"/>
  <c r="B300" i="1"/>
  <c r="C300" i="1"/>
  <c r="D300" i="1"/>
  <c r="E300" i="1"/>
  <c r="A303" i="1"/>
  <c r="B303" i="1"/>
  <c r="C303" i="1"/>
  <c r="D303" i="1"/>
  <c r="E303" i="1"/>
  <c r="A304" i="1"/>
  <c r="B304" i="1"/>
  <c r="C304" i="1"/>
  <c r="D304" i="1"/>
  <c r="E304" i="1"/>
  <c r="A306" i="1"/>
  <c r="B306" i="1"/>
  <c r="C306" i="1"/>
  <c r="D306" i="1"/>
  <c r="E306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312" i="1"/>
  <c r="B312" i="1"/>
  <c r="C312" i="1"/>
  <c r="D312" i="1"/>
  <c r="E312" i="1"/>
  <c r="A313" i="1"/>
  <c r="B313" i="1"/>
  <c r="C313" i="1"/>
  <c r="D313" i="1"/>
  <c r="E313" i="1"/>
  <c r="A314" i="1"/>
  <c r="B314" i="1"/>
  <c r="C314" i="1"/>
  <c r="D314" i="1"/>
  <c r="E314" i="1"/>
  <c r="A316" i="1"/>
  <c r="B316" i="1"/>
  <c r="C316" i="1"/>
  <c r="D316" i="1"/>
  <c r="E316" i="1"/>
  <c r="A317" i="1"/>
  <c r="B317" i="1"/>
  <c r="C317" i="1"/>
  <c r="D317" i="1"/>
  <c r="E317" i="1"/>
  <c r="A318" i="1"/>
  <c r="B318" i="1"/>
  <c r="C318" i="1"/>
  <c r="D318" i="1"/>
  <c r="E318" i="1"/>
  <c r="A319" i="1"/>
  <c r="B319" i="1"/>
  <c r="C319" i="1"/>
  <c r="D319" i="1"/>
  <c r="E319" i="1"/>
  <c r="A320" i="1"/>
  <c r="B320" i="1"/>
  <c r="C320" i="1"/>
  <c r="D320" i="1"/>
  <c r="E320" i="1"/>
  <c r="A322" i="1"/>
  <c r="B322" i="1"/>
  <c r="C322" i="1"/>
  <c r="D322" i="1"/>
  <c r="E322" i="1"/>
  <c r="A321" i="1"/>
  <c r="B321" i="1"/>
  <c r="C321" i="1"/>
  <c r="D321" i="1"/>
  <c r="E321" i="1"/>
  <c r="A325" i="1"/>
  <c r="B325" i="1"/>
  <c r="C325" i="1"/>
  <c r="D325" i="1"/>
  <c r="E325" i="1"/>
  <c r="A324" i="1"/>
  <c r="B324" i="1"/>
  <c r="C324" i="1"/>
  <c r="D324" i="1"/>
  <c r="E324" i="1"/>
  <c r="A326" i="1"/>
  <c r="B326" i="1"/>
  <c r="C326" i="1"/>
  <c r="D326" i="1"/>
  <c r="E326" i="1"/>
  <c r="A329" i="1"/>
  <c r="B329" i="1"/>
  <c r="C329" i="1"/>
  <c r="D329" i="1"/>
  <c r="E329" i="1"/>
  <c r="A327" i="1"/>
  <c r="B327" i="1"/>
  <c r="C327" i="1"/>
  <c r="D327" i="1"/>
  <c r="E327" i="1"/>
  <c r="A323" i="1"/>
  <c r="B323" i="1"/>
  <c r="C323" i="1"/>
  <c r="D323" i="1"/>
  <c r="E323" i="1"/>
  <c r="A331" i="1"/>
  <c r="B331" i="1"/>
  <c r="C331" i="1"/>
  <c r="D331" i="1"/>
  <c r="E331" i="1"/>
  <c r="A332" i="1"/>
  <c r="B332" i="1"/>
  <c r="C332" i="1"/>
  <c r="D332" i="1"/>
  <c r="E332" i="1"/>
  <c r="A330" i="1"/>
  <c r="B330" i="1"/>
  <c r="C330" i="1"/>
  <c r="D330" i="1"/>
  <c r="E330" i="1"/>
  <c r="A315" i="1"/>
  <c r="B315" i="1"/>
  <c r="C315" i="1"/>
  <c r="D315" i="1"/>
  <c r="E315" i="1"/>
  <c r="A333" i="1"/>
  <c r="B333" i="1"/>
  <c r="C333" i="1"/>
  <c r="D333" i="1"/>
  <c r="E333" i="1"/>
  <c r="A328" i="1"/>
  <c r="B328" i="1"/>
  <c r="C328" i="1"/>
  <c r="D328" i="1"/>
  <c r="E328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A348" i="1"/>
  <c r="B348" i="1"/>
  <c r="C348" i="1"/>
  <c r="D348" i="1"/>
  <c r="E348" i="1"/>
  <c r="A349" i="1"/>
  <c r="B349" i="1"/>
  <c r="C349" i="1"/>
  <c r="D349" i="1"/>
  <c r="E349" i="1"/>
  <c r="A350" i="1"/>
  <c r="B350" i="1"/>
  <c r="C350" i="1"/>
  <c r="D350" i="1"/>
  <c r="E350" i="1"/>
  <c r="A354" i="1"/>
  <c r="B354" i="1"/>
  <c r="C354" i="1"/>
  <c r="D354" i="1"/>
  <c r="E354" i="1"/>
  <c r="A351" i="1"/>
  <c r="B351" i="1"/>
  <c r="C351" i="1"/>
  <c r="D351" i="1"/>
  <c r="E351" i="1"/>
  <c r="A352" i="1"/>
  <c r="B352" i="1"/>
  <c r="C352" i="1"/>
  <c r="D352" i="1"/>
  <c r="E352" i="1"/>
  <c r="A355" i="1"/>
  <c r="B355" i="1"/>
  <c r="C355" i="1"/>
  <c r="D355" i="1"/>
  <c r="E355" i="1"/>
  <c r="A353" i="1"/>
  <c r="B353" i="1"/>
  <c r="C353" i="1"/>
  <c r="D353" i="1"/>
  <c r="E353" i="1"/>
  <c r="A356" i="1"/>
  <c r="B356" i="1"/>
  <c r="C356" i="1"/>
  <c r="D356" i="1"/>
  <c r="E356" i="1"/>
  <c r="A360" i="1"/>
  <c r="B360" i="1"/>
  <c r="C360" i="1"/>
  <c r="D360" i="1"/>
  <c r="E360" i="1"/>
  <c r="A357" i="1"/>
  <c r="B357" i="1"/>
  <c r="C357" i="1"/>
  <c r="D357" i="1"/>
  <c r="E357" i="1"/>
  <c r="A358" i="1"/>
  <c r="B358" i="1"/>
  <c r="C358" i="1"/>
  <c r="D358" i="1"/>
  <c r="E358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6" i="1"/>
  <c r="B366" i="1"/>
  <c r="C366" i="1"/>
  <c r="D366" i="1"/>
  <c r="E366" i="1"/>
  <c r="A364" i="1"/>
  <c r="B364" i="1"/>
  <c r="C364" i="1"/>
  <c r="D364" i="1"/>
  <c r="E364" i="1"/>
  <c r="A365" i="1"/>
  <c r="B365" i="1"/>
  <c r="C365" i="1"/>
  <c r="D365" i="1"/>
  <c r="E365" i="1"/>
  <c r="A367" i="1"/>
  <c r="B367" i="1"/>
  <c r="C367" i="1"/>
  <c r="D367" i="1"/>
  <c r="E367" i="1"/>
  <c r="A368" i="1"/>
  <c r="B368" i="1"/>
  <c r="C368" i="1"/>
  <c r="D368" i="1"/>
  <c r="E368" i="1"/>
  <c r="A359" i="1"/>
  <c r="B359" i="1"/>
  <c r="C359" i="1"/>
  <c r="D359" i="1"/>
  <c r="E359" i="1"/>
  <c r="A369" i="1"/>
  <c r="B369" i="1"/>
  <c r="C369" i="1"/>
  <c r="D369" i="1"/>
  <c r="E369" i="1"/>
  <c r="A370" i="1"/>
  <c r="B370" i="1"/>
  <c r="C370" i="1"/>
  <c r="D370" i="1"/>
  <c r="E370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1" i="1"/>
  <c r="B371" i="1"/>
  <c r="C371" i="1"/>
  <c r="D371" i="1"/>
  <c r="E371" i="1"/>
  <c r="A375" i="1"/>
  <c r="B375" i="1"/>
  <c r="C375" i="1"/>
  <c r="D375" i="1"/>
  <c r="E375" i="1"/>
  <c r="A378" i="1"/>
  <c r="B378" i="1"/>
  <c r="C378" i="1"/>
  <c r="D378" i="1"/>
  <c r="E378" i="1"/>
  <c r="A376" i="1"/>
  <c r="B376" i="1"/>
  <c r="C376" i="1"/>
  <c r="D376" i="1"/>
  <c r="E376" i="1"/>
  <c r="A377" i="1"/>
  <c r="B377" i="1"/>
  <c r="C377" i="1"/>
  <c r="D377" i="1"/>
  <c r="E377" i="1"/>
  <c r="A380" i="1"/>
  <c r="B380" i="1"/>
  <c r="C380" i="1"/>
  <c r="D380" i="1"/>
  <c r="E380" i="1"/>
  <c r="A379" i="1"/>
  <c r="B379" i="1"/>
  <c r="C379" i="1"/>
  <c r="D379" i="1"/>
  <c r="E379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7" i="1"/>
  <c r="B387" i="1"/>
  <c r="C387" i="1"/>
  <c r="D387" i="1"/>
  <c r="E387" i="1"/>
  <c r="A384" i="1"/>
  <c r="B384" i="1"/>
  <c r="C384" i="1"/>
  <c r="D384" i="1"/>
  <c r="E384" i="1"/>
  <c r="A385" i="1"/>
  <c r="B385" i="1"/>
  <c r="C385" i="1"/>
  <c r="D385" i="1"/>
  <c r="E385" i="1"/>
  <c r="A386" i="1"/>
  <c r="B386" i="1"/>
  <c r="C386" i="1"/>
  <c r="D386" i="1"/>
  <c r="E386" i="1"/>
  <c r="A388" i="1"/>
  <c r="B388" i="1"/>
  <c r="C388" i="1"/>
  <c r="D388" i="1"/>
  <c r="E388" i="1"/>
  <c r="A389" i="1"/>
  <c r="B389" i="1"/>
  <c r="C389" i="1"/>
  <c r="D389" i="1"/>
  <c r="E389" i="1"/>
  <c r="A390" i="1"/>
  <c r="B390" i="1"/>
  <c r="C390" i="1"/>
  <c r="D390" i="1"/>
  <c r="E390" i="1"/>
  <c r="A391" i="1"/>
  <c r="B391" i="1"/>
  <c r="C391" i="1"/>
  <c r="D391" i="1"/>
  <c r="E391" i="1"/>
  <c r="A392" i="1"/>
  <c r="B392" i="1"/>
  <c r="C392" i="1"/>
  <c r="D392" i="1"/>
  <c r="E392" i="1"/>
  <c r="A393" i="1"/>
  <c r="B393" i="1"/>
  <c r="C393" i="1"/>
  <c r="D393" i="1"/>
  <c r="E393" i="1"/>
  <c r="A394" i="1"/>
  <c r="B394" i="1"/>
  <c r="C394" i="1"/>
  <c r="D394" i="1"/>
  <c r="E394" i="1"/>
  <c r="A395" i="1"/>
  <c r="B395" i="1"/>
  <c r="C395" i="1"/>
  <c r="D395" i="1"/>
  <c r="E395" i="1"/>
  <c r="A396" i="1"/>
  <c r="B396" i="1"/>
  <c r="C396" i="1"/>
  <c r="D396" i="1"/>
  <c r="E396" i="1"/>
  <c r="A397" i="1"/>
  <c r="B397" i="1"/>
  <c r="C397" i="1"/>
  <c r="D397" i="1"/>
  <c r="E397" i="1"/>
  <c r="A398" i="1"/>
  <c r="B398" i="1"/>
  <c r="C398" i="1"/>
  <c r="D398" i="1"/>
  <c r="E398" i="1"/>
  <c r="A399" i="1"/>
  <c r="B399" i="1"/>
  <c r="C399" i="1"/>
  <c r="D399" i="1"/>
  <c r="E399" i="1"/>
  <c r="A400" i="1"/>
  <c r="B400" i="1"/>
  <c r="C400" i="1"/>
  <c r="D400" i="1"/>
  <c r="E400" i="1"/>
  <c r="A401" i="1"/>
  <c r="B401" i="1"/>
  <c r="C401" i="1"/>
  <c r="D401" i="1"/>
  <c r="E401" i="1"/>
  <c r="A402" i="1"/>
  <c r="B402" i="1"/>
  <c r="C402" i="1"/>
  <c r="D402" i="1"/>
  <c r="E402" i="1"/>
  <c r="A403" i="1"/>
  <c r="B403" i="1"/>
  <c r="C403" i="1"/>
  <c r="D403" i="1"/>
  <c r="E403" i="1"/>
  <c r="A404" i="1"/>
  <c r="B404" i="1"/>
  <c r="C404" i="1"/>
  <c r="D404" i="1"/>
  <c r="E404" i="1"/>
  <c r="A405" i="1"/>
  <c r="B405" i="1"/>
  <c r="C405" i="1"/>
  <c r="D405" i="1"/>
  <c r="E405" i="1"/>
  <c r="A406" i="1"/>
  <c r="B406" i="1"/>
  <c r="C406" i="1"/>
  <c r="D406" i="1"/>
  <c r="E406" i="1"/>
  <c r="A407" i="1"/>
  <c r="B407" i="1"/>
  <c r="C407" i="1"/>
  <c r="D407" i="1"/>
  <c r="E407" i="1"/>
  <c r="A408" i="1"/>
  <c r="B408" i="1"/>
  <c r="C408" i="1"/>
  <c r="D408" i="1"/>
  <c r="E408" i="1"/>
  <c r="A409" i="1"/>
  <c r="B409" i="1"/>
  <c r="C409" i="1"/>
  <c r="D409" i="1"/>
  <c r="E409" i="1"/>
  <c r="A410" i="1"/>
  <c r="B410" i="1"/>
  <c r="C410" i="1"/>
  <c r="D410" i="1"/>
  <c r="E410" i="1"/>
  <c r="A411" i="1"/>
  <c r="B411" i="1"/>
  <c r="C411" i="1"/>
  <c r="D411" i="1"/>
  <c r="E411" i="1"/>
  <c r="A412" i="1"/>
  <c r="B412" i="1"/>
  <c r="C412" i="1"/>
  <c r="D412" i="1"/>
  <c r="E412" i="1"/>
  <c r="A416" i="1"/>
  <c r="B416" i="1"/>
  <c r="C416" i="1"/>
  <c r="D416" i="1"/>
  <c r="E416" i="1"/>
  <c r="A413" i="1"/>
  <c r="B413" i="1"/>
  <c r="C413" i="1"/>
  <c r="D413" i="1"/>
  <c r="E413" i="1"/>
  <c r="A417" i="1"/>
  <c r="B417" i="1"/>
  <c r="C417" i="1"/>
  <c r="D417" i="1"/>
  <c r="E417" i="1"/>
  <c r="A414" i="1"/>
  <c r="B414" i="1"/>
  <c r="C414" i="1"/>
  <c r="D414" i="1"/>
  <c r="E414" i="1"/>
  <c r="A415" i="1"/>
  <c r="B415" i="1"/>
  <c r="C415" i="1"/>
  <c r="D415" i="1"/>
  <c r="E415" i="1"/>
  <c r="A418" i="1"/>
  <c r="B418" i="1"/>
  <c r="C418" i="1"/>
  <c r="D418" i="1"/>
  <c r="E418" i="1"/>
  <c r="A419" i="1"/>
  <c r="B419" i="1"/>
  <c r="C419" i="1"/>
  <c r="D419" i="1"/>
  <c r="E419" i="1"/>
  <c r="A420" i="1"/>
  <c r="B420" i="1"/>
  <c r="C420" i="1"/>
  <c r="D420" i="1"/>
  <c r="E420" i="1"/>
  <c r="A422" i="1"/>
  <c r="B422" i="1"/>
  <c r="C422" i="1"/>
  <c r="D422" i="1"/>
  <c r="E422" i="1"/>
  <c r="A421" i="1"/>
  <c r="B421" i="1"/>
  <c r="C421" i="1"/>
  <c r="D421" i="1"/>
  <c r="E421" i="1"/>
  <c r="A423" i="1"/>
  <c r="B423" i="1"/>
  <c r="C423" i="1"/>
  <c r="D423" i="1"/>
  <c r="E423" i="1"/>
  <c r="A424" i="1"/>
  <c r="B424" i="1"/>
  <c r="C424" i="1"/>
  <c r="D424" i="1"/>
  <c r="E424" i="1"/>
  <c r="A425" i="1"/>
  <c r="B425" i="1"/>
  <c r="C425" i="1"/>
  <c r="D425" i="1"/>
  <c r="E425" i="1"/>
  <c r="A426" i="1"/>
  <c r="B426" i="1"/>
  <c r="C426" i="1"/>
  <c r="D426" i="1"/>
  <c r="E426" i="1"/>
  <c r="A429" i="1"/>
  <c r="B429" i="1"/>
  <c r="C429" i="1"/>
  <c r="D429" i="1"/>
  <c r="E429" i="1"/>
  <c r="A427" i="1"/>
  <c r="B427" i="1"/>
  <c r="C427" i="1"/>
  <c r="D427" i="1"/>
  <c r="E427" i="1"/>
  <c r="A428" i="1"/>
  <c r="B428" i="1"/>
  <c r="C428" i="1"/>
  <c r="D428" i="1"/>
  <c r="E428" i="1"/>
  <c r="A430" i="1"/>
  <c r="B430" i="1"/>
  <c r="C430" i="1"/>
  <c r="D430" i="1"/>
  <c r="E430" i="1"/>
  <c r="A431" i="1"/>
  <c r="B431" i="1"/>
  <c r="C431" i="1"/>
  <c r="D431" i="1"/>
  <c r="E431" i="1"/>
  <c r="A432" i="1"/>
  <c r="B432" i="1"/>
  <c r="C432" i="1"/>
  <c r="D432" i="1"/>
  <c r="E432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36" i="1"/>
  <c r="B436" i="1"/>
  <c r="C436" i="1"/>
  <c r="D436" i="1"/>
  <c r="E436" i="1"/>
  <c r="A437" i="1"/>
  <c r="B437" i="1"/>
  <c r="C437" i="1"/>
  <c r="D437" i="1"/>
  <c r="E437" i="1"/>
  <c r="A438" i="1"/>
  <c r="B438" i="1"/>
  <c r="C438" i="1"/>
  <c r="D438" i="1"/>
  <c r="E438" i="1"/>
  <c r="A439" i="1"/>
  <c r="B439" i="1"/>
  <c r="C439" i="1"/>
  <c r="D439" i="1"/>
  <c r="E439" i="1"/>
  <c r="A440" i="1"/>
  <c r="B440" i="1"/>
  <c r="C440" i="1"/>
  <c r="D440" i="1"/>
  <c r="E440" i="1"/>
  <c r="A441" i="1"/>
  <c r="B441" i="1"/>
  <c r="C441" i="1"/>
  <c r="D441" i="1"/>
  <c r="E441" i="1"/>
  <c r="A442" i="1"/>
  <c r="B442" i="1"/>
  <c r="C442" i="1"/>
  <c r="D442" i="1"/>
  <c r="E442" i="1"/>
  <c r="A443" i="1"/>
  <c r="B443" i="1"/>
  <c r="C443" i="1"/>
  <c r="D443" i="1"/>
  <c r="E443" i="1"/>
  <c r="A444" i="1"/>
  <c r="B444" i="1"/>
  <c r="C444" i="1"/>
  <c r="D444" i="1"/>
  <c r="E444" i="1"/>
  <c r="A445" i="1"/>
  <c r="B445" i="1"/>
  <c r="C445" i="1"/>
  <c r="D445" i="1"/>
  <c r="E445" i="1"/>
  <c r="A452" i="1"/>
  <c r="B452" i="1"/>
  <c r="C452" i="1"/>
  <c r="D452" i="1"/>
  <c r="E452" i="1"/>
  <c r="A446" i="1"/>
  <c r="B446" i="1"/>
  <c r="C446" i="1"/>
  <c r="D446" i="1"/>
  <c r="E446" i="1"/>
  <c r="A447" i="1"/>
  <c r="B447" i="1"/>
  <c r="C447" i="1"/>
  <c r="D447" i="1"/>
  <c r="E447" i="1"/>
  <c r="A453" i="1"/>
  <c r="B453" i="1"/>
  <c r="C453" i="1"/>
  <c r="D453" i="1"/>
  <c r="E453" i="1"/>
  <c r="A454" i="1"/>
  <c r="B454" i="1"/>
  <c r="C454" i="1"/>
  <c r="D454" i="1"/>
  <c r="E454" i="1"/>
  <c r="A455" i="1"/>
  <c r="B455" i="1"/>
  <c r="C455" i="1"/>
  <c r="D455" i="1"/>
  <c r="E455" i="1"/>
  <c r="A456" i="1"/>
  <c r="B456" i="1"/>
  <c r="C456" i="1"/>
  <c r="D456" i="1"/>
  <c r="E456" i="1"/>
  <c r="A458" i="1"/>
  <c r="B458" i="1"/>
  <c r="C458" i="1"/>
  <c r="D458" i="1"/>
  <c r="E458" i="1"/>
  <c r="A460" i="1"/>
  <c r="B460" i="1"/>
  <c r="C460" i="1"/>
  <c r="D460" i="1"/>
  <c r="E460" i="1"/>
  <c r="A459" i="1"/>
  <c r="B459" i="1"/>
  <c r="C459" i="1"/>
  <c r="D459" i="1"/>
  <c r="E459" i="1"/>
  <c r="A464" i="1"/>
  <c r="B464" i="1"/>
  <c r="C464" i="1"/>
  <c r="D464" i="1"/>
  <c r="E464" i="1"/>
  <c r="A465" i="1"/>
  <c r="B465" i="1"/>
  <c r="C465" i="1"/>
  <c r="D465" i="1"/>
  <c r="E465" i="1"/>
  <c r="A461" i="1"/>
  <c r="B461" i="1"/>
  <c r="C461" i="1"/>
  <c r="D461" i="1"/>
  <c r="E461" i="1"/>
  <c r="A462" i="1"/>
  <c r="B462" i="1"/>
  <c r="C462" i="1"/>
  <c r="D462" i="1"/>
  <c r="E462" i="1"/>
  <c r="A457" i="1"/>
  <c r="B457" i="1"/>
  <c r="C457" i="1"/>
  <c r="D457" i="1"/>
  <c r="E457" i="1"/>
  <c r="A463" i="1"/>
  <c r="B463" i="1"/>
  <c r="C463" i="1"/>
  <c r="D463" i="1"/>
  <c r="E463" i="1"/>
  <c r="A466" i="1"/>
  <c r="B466" i="1"/>
  <c r="C466" i="1"/>
  <c r="D466" i="1"/>
  <c r="E466" i="1"/>
  <c r="A468" i="1"/>
  <c r="B468" i="1"/>
  <c r="C468" i="1"/>
  <c r="D468" i="1"/>
  <c r="E468" i="1"/>
  <c r="A469" i="1"/>
  <c r="B469" i="1"/>
  <c r="C469" i="1"/>
  <c r="D469" i="1"/>
  <c r="E469" i="1"/>
  <c r="A470" i="1"/>
  <c r="B470" i="1"/>
  <c r="C470" i="1"/>
  <c r="D470" i="1"/>
  <c r="E470" i="1"/>
  <c r="A467" i="1"/>
  <c r="B467" i="1"/>
  <c r="C467" i="1"/>
  <c r="D467" i="1"/>
  <c r="E467" i="1"/>
  <c r="A474" i="1"/>
  <c r="B474" i="1"/>
  <c r="C474" i="1"/>
  <c r="D474" i="1"/>
  <c r="E474" i="1"/>
  <c r="A471" i="1"/>
  <c r="B471" i="1"/>
  <c r="C471" i="1"/>
  <c r="D471" i="1"/>
  <c r="E471" i="1"/>
  <c r="A472" i="1"/>
  <c r="B472" i="1"/>
  <c r="C472" i="1"/>
  <c r="D472" i="1"/>
  <c r="E472" i="1"/>
  <c r="A475" i="1"/>
  <c r="B475" i="1"/>
  <c r="C475" i="1"/>
  <c r="D475" i="1"/>
  <c r="E475" i="1"/>
  <c r="A478" i="1"/>
  <c r="B478" i="1"/>
  <c r="C478" i="1"/>
  <c r="D478" i="1"/>
  <c r="E478" i="1"/>
  <c r="A479" i="1"/>
  <c r="B479" i="1"/>
  <c r="C479" i="1"/>
  <c r="D479" i="1"/>
  <c r="E479" i="1"/>
  <c r="A476" i="1"/>
  <c r="B476" i="1"/>
  <c r="C476" i="1"/>
  <c r="D476" i="1"/>
  <c r="E476" i="1"/>
  <c r="A477" i="1"/>
  <c r="B477" i="1"/>
  <c r="C477" i="1"/>
  <c r="D477" i="1"/>
  <c r="E477" i="1"/>
  <c r="A473" i="1"/>
  <c r="B473" i="1"/>
  <c r="C473" i="1"/>
  <c r="D473" i="1"/>
  <c r="E473" i="1"/>
  <c r="A480" i="1"/>
  <c r="B480" i="1"/>
  <c r="C480" i="1"/>
  <c r="D480" i="1"/>
  <c r="E480" i="1"/>
  <c r="A481" i="1"/>
  <c r="B481" i="1"/>
  <c r="C481" i="1"/>
  <c r="D481" i="1"/>
  <c r="E481" i="1"/>
  <c r="A482" i="1"/>
  <c r="B482" i="1"/>
  <c r="C482" i="1"/>
  <c r="D482" i="1"/>
  <c r="E482" i="1"/>
  <c r="A484" i="1"/>
  <c r="B484" i="1"/>
  <c r="C484" i="1"/>
  <c r="D484" i="1"/>
  <c r="E484" i="1"/>
  <c r="A483" i="1"/>
  <c r="B483" i="1"/>
  <c r="C483" i="1"/>
  <c r="D483" i="1"/>
  <c r="E483" i="1"/>
  <c r="A485" i="1"/>
  <c r="B485" i="1"/>
  <c r="C485" i="1"/>
  <c r="D485" i="1"/>
  <c r="E485" i="1"/>
  <c r="A486" i="1"/>
  <c r="B486" i="1"/>
  <c r="C486" i="1"/>
  <c r="D486" i="1"/>
  <c r="E486" i="1"/>
  <c r="A487" i="1"/>
  <c r="B487" i="1"/>
  <c r="C487" i="1"/>
  <c r="D487" i="1"/>
  <c r="E487" i="1"/>
  <c r="A488" i="1"/>
  <c r="B488" i="1"/>
  <c r="C488" i="1"/>
  <c r="D488" i="1"/>
  <c r="E488" i="1"/>
  <c r="A489" i="1"/>
  <c r="B489" i="1"/>
  <c r="C489" i="1"/>
  <c r="D489" i="1"/>
  <c r="E489" i="1"/>
  <c r="A490" i="1"/>
  <c r="B490" i="1"/>
  <c r="C490" i="1"/>
  <c r="D490" i="1"/>
  <c r="E490" i="1"/>
  <c r="A491" i="1"/>
  <c r="B491" i="1"/>
  <c r="C491" i="1"/>
  <c r="D491" i="1"/>
  <c r="E491" i="1"/>
  <c r="A492" i="1"/>
  <c r="B492" i="1"/>
  <c r="C492" i="1"/>
  <c r="D492" i="1"/>
  <c r="E492" i="1"/>
  <c r="A493" i="1"/>
  <c r="B493" i="1"/>
  <c r="C493" i="1"/>
  <c r="D493" i="1"/>
  <c r="E493" i="1"/>
  <c r="A494" i="1"/>
  <c r="B494" i="1"/>
  <c r="C494" i="1"/>
  <c r="D494" i="1"/>
  <c r="E494" i="1"/>
  <c r="A495" i="1"/>
  <c r="B495" i="1"/>
  <c r="C495" i="1"/>
  <c r="D495" i="1"/>
  <c r="E495" i="1"/>
  <c r="A496" i="1"/>
  <c r="B496" i="1"/>
  <c r="C496" i="1"/>
  <c r="D496" i="1"/>
  <c r="E496" i="1"/>
  <c r="A497" i="1"/>
  <c r="B497" i="1"/>
  <c r="C497" i="1"/>
  <c r="D497" i="1"/>
  <c r="E497" i="1"/>
  <c r="A498" i="1"/>
  <c r="B498" i="1"/>
  <c r="C498" i="1"/>
  <c r="D498" i="1"/>
  <c r="E498" i="1"/>
  <c r="A499" i="1"/>
  <c r="B499" i="1"/>
  <c r="C499" i="1"/>
  <c r="D499" i="1"/>
  <c r="E499" i="1"/>
  <c r="A500" i="1"/>
  <c r="B500" i="1"/>
  <c r="C500" i="1"/>
  <c r="D500" i="1"/>
  <c r="E500" i="1"/>
  <c r="A501" i="1"/>
  <c r="B501" i="1"/>
  <c r="C501" i="1"/>
  <c r="D501" i="1"/>
  <c r="E501" i="1"/>
  <c r="A502" i="1"/>
  <c r="B502" i="1"/>
  <c r="C502" i="1"/>
  <c r="D502" i="1"/>
  <c r="E502" i="1"/>
  <c r="A503" i="1"/>
  <c r="B503" i="1"/>
  <c r="C503" i="1"/>
  <c r="D503" i="1"/>
  <c r="E503" i="1"/>
  <c r="A504" i="1"/>
  <c r="B504" i="1"/>
  <c r="C504" i="1"/>
  <c r="D504" i="1"/>
  <c r="E504" i="1"/>
  <c r="A505" i="1"/>
  <c r="B505" i="1"/>
  <c r="C505" i="1"/>
  <c r="D505" i="1"/>
  <c r="E505" i="1"/>
  <c r="A506" i="1"/>
  <c r="B506" i="1"/>
  <c r="C506" i="1"/>
  <c r="D506" i="1"/>
  <c r="E506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10" i="1"/>
  <c r="B510" i="1"/>
  <c r="C510" i="1"/>
  <c r="D510" i="1"/>
  <c r="E510" i="1"/>
  <c r="A511" i="1"/>
  <c r="B511" i="1"/>
  <c r="C511" i="1"/>
  <c r="D511" i="1"/>
  <c r="E511" i="1"/>
  <c r="A514" i="1"/>
  <c r="B514" i="1"/>
  <c r="C514" i="1"/>
  <c r="D514" i="1"/>
  <c r="E514" i="1"/>
  <c r="A515" i="1"/>
  <c r="B515" i="1"/>
  <c r="C515" i="1"/>
  <c r="D515" i="1"/>
  <c r="E515" i="1"/>
  <c r="A512" i="1"/>
  <c r="B512" i="1"/>
  <c r="C512" i="1"/>
  <c r="D512" i="1"/>
  <c r="E512" i="1"/>
  <c r="A513" i="1"/>
  <c r="B513" i="1"/>
  <c r="C513" i="1"/>
  <c r="D513" i="1"/>
  <c r="E513" i="1"/>
  <c r="A516" i="1"/>
  <c r="B516" i="1"/>
  <c r="C516" i="1"/>
  <c r="D516" i="1"/>
  <c r="E516" i="1"/>
  <c r="A517" i="1"/>
  <c r="B517" i="1"/>
  <c r="C517" i="1"/>
  <c r="D517" i="1"/>
  <c r="E517" i="1"/>
  <c r="A518" i="1"/>
  <c r="B518" i="1"/>
  <c r="C518" i="1"/>
  <c r="D518" i="1"/>
  <c r="E518" i="1"/>
  <c r="A519" i="1"/>
  <c r="B519" i="1"/>
  <c r="C519" i="1"/>
  <c r="D519" i="1"/>
  <c r="E519" i="1"/>
  <c r="A521" i="1"/>
  <c r="B521" i="1"/>
  <c r="C521" i="1"/>
  <c r="D521" i="1"/>
  <c r="E521" i="1"/>
  <c r="A522" i="1"/>
  <c r="B522" i="1"/>
  <c r="C522" i="1"/>
  <c r="D522" i="1"/>
  <c r="E522" i="1"/>
  <c r="A520" i="1"/>
  <c r="B520" i="1"/>
  <c r="C520" i="1"/>
  <c r="D520" i="1"/>
  <c r="E520" i="1"/>
  <c r="A527" i="1"/>
  <c r="B527" i="1"/>
  <c r="C527" i="1"/>
  <c r="D527" i="1"/>
  <c r="E527" i="1"/>
  <c r="A523" i="1"/>
  <c r="B523" i="1"/>
  <c r="C523" i="1"/>
  <c r="D523" i="1"/>
  <c r="E523" i="1"/>
  <c r="A524" i="1"/>
  <c r="B524" i="1"/>
  <c r="C524" i="1"/>
  <c r="D524" i="1"/>
  <c r="E524" i="1"/>
  <c r="A525" i="1"/>
  <c r="B525" i="1"/>
  <c r="C525" i="1"/>
  <c r="D525" i="1"/>
  <c r="E525" i="1"/>
  <c r="A529" i="1"/>
  <c r="B529" i="1"/>
  <c r="C529" i="1"/>
  <c r="D529" i="1"/>
  <c r="E529" i="1"/>
  <c r="A526" i="1"/>
  <c r="B526" i="1"/>
  <c r="C526" i="1"/>
  <c r="D526" i="1"/>
  <c r="E526" i="1"/>
  <c r="A528" i="1"/>
  <c r="B528" i="1"/>
  <c r="C528" i="1"/>
  <c r="D528" i="1"/>
  <c r="E528" i="1"/>
  <c r="A530" i="1"/>
  <c r="B530" i="1"/>
  <c r="C530" i="1"/>
  <c r="D530" i="1"/>
  <c r="E530" i="1"/>
  <c r="A531" i="1"/>
  <c r="B531" i="1"/>
  <c r="C531" i="1"/>
  <c r="D531" i="1"/>
  <c r="E531" i="1"/>
  <c r="A532" i="1"/>
  <c r="B532" i="1"/>
  <c r="C532" i="1"/>
  <c r="D532" i="1"/>
  <c r="E532" i="1"/>
  <c r="A533" i="1"/>
  <c r="B533" i="1"/>
  <c r="C533" i="1"/>
  <c r="D533" i="1"/>
  <c r="E533" i="1"/>
  <c r="A535" i="1"/>
  <c r="B535" i="1"/>
  <c r="C535" i="1"/>
  <c r="D535" i="1"/>
  <c r="E535" i="1"/>
  <c r="A536" i="1"/>
  <c r="B536" i="1"/>
  <c r="C536" i="1"/>
  <c r="D536" i="1"/>
  <c r="E536" i="1"/>
  <c r="A537" i="1"/>
  <c r="B537" i="1"/>
  <c r="C537" i="1"/>
  <c r="D537" i="1"/>
  <c r="E537" i="1"/>
  <c r="A538" i="1"/>
  <c r="B538" i="1"/>
  <c r="C538" i="1"/>
  <c r="D538" i="1"/>
  <c r="E538" i="1"/>
  <c r="A534" i="1"/>
  <c r="B534" i="1"/>
  <c r="C534" i="1"/>
  <c r="D534" i="1"/>
  <c r="E534" i="1"/>
  <c r="A539" i="1"/>
  <c r="B539" i="1"/>
  <c r="C539" i="1"/>
  <c r="D539" i="1"/>
  <c r="E539" i="1"/>
  <c r="A543" i="1"/>
  <c r="B543" i="1"/>
  <c r="C543" i="1"/>
  <c r="D543" i="1"/>
  <c r="E543" i="1"/>
  <c r="A544" i="1"/>
  <c r="B544" i="1"/>
  <c r="C544" i="1"/>
  <c r="D544" i="1"/>
  <c r="E544" i="1"/>
  <c r="A541" i="1"/>
  <c r="B541" i="1"/>
  <c r="C541" i="1"/>
  <c r="D541" i="1"/>
  <c r="E541" i="1"/>
  <c r="A545" i="1"/>
  <c r="B545" i="1"/>
  <c r="C545" i="1"/>
  <c r="D545" i="1"/>
  <c r="E545" i="1"/>
  <c r="A540" i="1"/>
  <c r="B540" i="1"/>
  <c r="C540" i="1"/>
  <c r="D540" i="1"/>
  <c r="E540" i="1"/>
  <c r="A542" i="1"/>
  <c r="B542" i="1"/>
  <c r="C542" i="1"/>
  <c r="D542" i="1"/>
  <c r="E542" i="1"/>
  <c r="A546" i="1"/>
  <c r="B546" i="1"/>
  <c r="C546" i="1"/>
  <c r="D546" i="1"/>
  <c r="E546" i="1"/>
  <c r="A547" i="1"/>
  <c r="B547" i="1"/>
  <c r="C547" i="1"/>
  <c r="D547" i="1"/>
  <c r="E547" i="1"/>
  <c r="A553" i="1"/>
  <c r="B553" i="1"/>
  <c r="C553" i="1"/>
  <c r="D553" i="1"/>
  <c r="E553" i="1"/>
  <c r="A548" i="1"/>
  <c r="B548" i="1"/>
  <c r="C548" i="1"/>
  <c r="D548" i="1"/>
  <c r="E548" i="1"/>
  <c r="A551" i="1"/>
  <c r="B551" i="1"/>
  <c r="C551" i="1"/>
  <c r="D551" i="1"/>
  <c r="E551" i="1"/>
  <c r="A549" i="1"/>
  <c r="B549" i="1"/>
  <c r="C549" i="1"/>
  <c r="D549" i="1"/>
  <c r="E549" i="1"/>
  <c r="A550" i="1"/>
  <c r="B550" i="1"/>
  <c r="C550" i="1"/>
  <c r="D550" i="1"/>
  <c r="E550" i="1"/>
  <c r="A552" i="1"/>
  <c r="B552" i="1"/>
  <c r="C552" i="1"/>
  <c r="D552" i="1"/>
  <c r="E552" i="1"/>
  <c r="A554" i="1"/>
  <c r="B554" i="1"/>
  <c r="C554" i="1"/>
  <c r="D554" i="1"/>
  <c r="E554" i="1"/>
  <c r="A555" i="1"/>
  <c r="B555" i="1"/>
  <c r="C555" i="1"/>
  <c r="D555" i="1"/>
  <c r="E555" i="1"/>
  <c r="A556" i="1"/>
  <c r="B556" i="1"/>
  <c r="C556" i="1"/>
  <c r="D556" i="1"/>
  <c r="E556" i="1"/>
  <c r="A557" i="1"/>
  <c r="B557" i="1"/>
  <c r="C557" i="1"/>
  <c r="D557" i="1"/>
  <c r="E557" i="1"/>
  <c r="A558" i="1"/>
  <c r="B558" i="1"/>
  <c r="C558" i="1"/>
  <c r="D558" i="1"/>
  <c r="E558" i="1"/>
  <c r="A559" i="1"/>
  <c r="B559" i="1"/>
  <c r="C559" i="1"/>
  <c r="D559" i="1"/>
  <c r="E559" i="1"/>
  <c r="A560" i="1"/>
  <c r="B560" i="1"/>
  <c r="C560" i="1"/>
  <c r="D560" i="1"/>
  <c r="E560" i="1"/>
  <c r="A563" i="1"/>
  <c r="B563" i="1"/>
  <c r="C563" i="1"/>
  <c r="D563" i="1"/>
  <c r="E563" i="1"/>
  <c r="A564" i="1"/>
  <c r="B564" i="1"/>
  <c r="C564" i="1"/>
  <c r="D564" i="1"/>
  <c r="E564" i="1"/>
  <c r="A561" i="1"/>
  <c r="B561" i="1"/>
  <c r="C561" i="1"/>
  <c r="D561" i="1"/>
  <c r="E561" i="1"/>
  <c r="A562" i="1"/>
  <c r="B562" i="1"/>
  <c r="C562" i="1"/>
  <c r="D562" i="1"/>
  <c r="E562" i="1"/>
  <c r="A571" i="1"/>
  <c r="B571" i="1"/>
  <c r="C571" i="1"/>
  <c r="D571" i="1"/>
  <c r="E571" i="1"/>
  <c r="A565" i="1"/>
  <c r="B565" i="1"/>
  <c r="C565" i="1"/>
  <c r="D565" i="1"/>
  <c r="E565" i="1"/>
  <c r="A568" i="1"/>
  <c r="B568" i="1"/>
  <c r="C568" i="1"/>
  <c r="D568" i="1"/>
  <c r="E568" i="1"/>
  <c r="A569" i="1"/>
  <c r="B569" i="1"/>
  <c r="C569" i="1"/>
  <c r="D569" i="1"/>
  <c r="E569" i="1"/>
  <c r="A566" i="1"/>
  <c r="B566" i="1"/>
  <c r="C566" i="1"/>
  <c r="D566" i="1"/>
  <c r="E566" i="1"/>
  <c r="A570" i="1"/>
  <c r="B570" i="1"/>
  <c r="C570" i="1"/>
  <c r="D570" i="1"/>
  <c r="E570" i="1"/>
  <c r="A572" i="1"/>
  <c r="B572" i="1"/>
  <c r="C572" i="1"/>
  <c r="D572" i="1"/>
  <c r="E572" i="1"/>
  <c r="A573" i="1"/>
  <c r="B573" i="1"/>
  <c r="C573" i="1"/>
  <c r="D573" i="1"/>
  <c r="E573" i="1"/>
  <c r="A574" i="1"/>
  <c r="B574" i="1"/>
  <c r="C574" i="1"/>
  <c r="D574" i="1"/>
  <c r="E574" i="1"/>
  <c r="A575" i="1"/>
  <c r="B575" i="1"/>
  <c r="C575" i="1"/>
  <c r="D575" i="1"/>
  <c r="E575" i="1"/>
  <c r="A576" i="1"/>
  <c r="B576" i="1"/>
  <c r="C576" i="1"/>
  <c r="D576" i="1"/>
  <c r="E576" i="1"/>
  <c r="A577" i="1"/>
  <c r="B577" i="1"/>
  <c r="C577" i="1"/>
  <c r="D577" i="1"/>
  <c r="E577" i="1"/>
  <c r="A578" i="1"/>
  <c r="B578" i="1"/>
  <c r="C578" i="1"/>
  <c r="D578" i="1"/>
  <c r="E578" i="1"/>
  <c r="A579" i="1"/>
  <c r="B579" i="1"/>
  <c r="C579" i="1"/>
  <c r="D579" i="1"/>
  <c r="E579" i="1"/>
  <c r="A580" i="1"/>
  <c r="B580" i="1"/>
  <c r="C580" i="1"/>
  <c r="D580" i="1"/>
  <c r="E580" i="1"/>
  <c r="A588" i="1"/>
  <c r="B588" i="1"/>
  <c r="C588" i="1"/>
  <c r="D588" i="1"/>
  <c r="E588" i="1"/>
  <c r="A581" i="1"/>
  <c r="B581" i="1"/>
  <c r="C581" i="1"/>
  <c r="D581" i="1"/>
  <c r="E581" i="1"/>
  <c r="A582" i="1"/>
  <c r="B582" i="1"/>
  <c r="C582" i="1"/>
  <c r="D582" i="1"/>
  <c r="E582" i="1"/>
  <c r="A583" i="1"/>
  <c r="B583" i="1"/>
  <c r="C583" i="1"/>
  <c r="D583" i="1"/>
  <c r="E583" i="1"/>
  <c r="A584" i="1"/>
  <c r="B584" i="1"/>
  <c r="C584" i="1"/>
  <c r="D584" i="1"/>
  <c r="E584" i="1"/>
  <c r="A585" i="1"/>
  <c r="B585" i="1"/>
  <c r="C585" i="1"/>
  <c r="D585" i="1"/>
  <c r="E585" i="1"/>
  <c r="A586" i="1"/>
  <c r="B586" i="1"/>
  <c r="C586" i="1"/>
  <c r="D586" i="1"/>
  <c r="E586" i="1"/>
  <c r="A587" i="1"/>
  <c r="B587" i="1"/>
  <c r="C587" i="1"/>
  <c r="D587" i="1"/>
  <c r="E587" i="1"/>
  <c r="A589" i="1"/>
  <c r="B589" i="1"/>
  <c r="C589" i="1"/>
  <c r="D589" i="1"/>
  <c r="E589" i="1"/>
  <c r="A590" i="1"/>
  <c r="B590" i="1"/>
  <c r="C590" i="1"/>
  <c r="D590" i="1"/>
  <c r="E590" i="1"/>
  <c r="A567" i="1"/>
  <c r="B567" i="1"/>
  <c r="C567" i="1"/>
  <c r="D567" i="1"/>
  <c r="E567" i="1"/>
  <c r="A591" i="1"/>
  <c r="B591" i="1"/>
  <c r="C591" i="1"/>
  <c r="D591" i="1"/>
  <c r="E591" i="1"/>
  <c r="A592" i="1"/>
  <c r="B592" i="1"/>
  <c r="C592" i="1"/>
  <c r="D592" i="1"/>
  <c r="E592" i="1"/>
  <c r="A593" i="1"/>
  <c r="B593" i="1"/>
  <c r="C593" i="1"/>
  <c r="D593" i="1"/>
  <c r="E593" i="1"/>
  <c r="A594" i="1"/>
  <c r="B594" i="1"/>
  <c r="C594" i="1"/>
  <c r="D594" i="1"/>
  <c r="E594" i="1"/>
  <c r="A595" i="1"/>
  <c r="B595" i="1"/>
  <c r="C595" i="1"/>
  <c r="D595" i="1"/>
  <c r="E595" i="1"/>
  <c r="A596" i="1"/>
  <c r="B596" i="1"/>
  <c r="C596" i="1"/>
  <c r="D596" i="1"/>
  <c r="E596" i="1"/>
  <c r="A597" i="1"/>
  <c r="B597" i="1"/>
  <c r="C597" i="1"/>
  <c r="D597" i="1"/>
  <c r="E597" i="1"/>
  <c r="A598" i="1"/>
  <c r="B598" i="1"/>
  <c r="C598" i="1"/>
  <c r="D598" i="1"/>
  <c r="E598" i="1"/>
  <c r="A599" i="1"/>
  <c r="B599" i="1"/>
  <c r="C599" i="1"/>
  <c r="D599" i="1"/>
  <c r="E599" i="1"/>
  <c r="A600" i="1"/>
  <c r="B600" i="1"/>
  <c r="C600" i="1"/>
  <c r="D600" i="1"/>
  <c r="E600" i="1"/>
  <c r="A601" i="1"/>
  <c r="B601" i="1"/>
  <c r="C601" i="1"/>
  <c r="D601" i="1"/>
  <c r="E601" i="1"/>
  <c r="A602" i="1"/>
  <c r="B602" i="1"/>
  <c r="C602" i="1"/>
  <c r="D602" i="1"/>
  <c r="E602" i="1"/>
  <c r="A603" i="1"/>
  <c r="B603" i="1"/>
  <c r="C603" i="1"/>
  <c r="D603" i="1"/>
  <c r="E603" i="1"/>
  <c r="A604" i="1"/>
  <c r="B604" i="1"/>
  <c r="C604" i="1"/>
  <c r="D604" i="1"/>
  <c r="E604" i="1"/>
  <c r="A606" i="1"/>
  <c r="B606" i="1"/>
  <c r="C606" i="1"/>
  <c r="D606" i="1"/>
  <c r="E606" i="1"/>
  <c r="A607" i="1"/>
  <c r="B607" i="1"/>
  <c r="C607" i="1"/>
  <c r="D607" i="1"/>
  <c r="E607" i="1"/>
  <c r="A608" i="1"/>
  <c r="B608" i="1"/>
  <c r="C608" i="1"/>
  <c r="D608" i="1"/>
  <c r="E608" i="1"/>
  <c r="A609" i="1"/>
  <c r="B609" i="1"/>
  <c r="C609" i="1"/>
  <c r="D609" i="1"/>
  <c r="E609" i="1"/>
  <c r="A605" i="1"/>
  <c r="B605" i="1"/>
  <c r="C605" i="1"/>
  <c r="D605" i="1"/>
  <c r="E605" i="1"/>
  <c r="A610" i="1"/>
  <c r="B610" i="1"/>
  <c r="C610" i="1"/>
  <c r="D610" i="1"/>
  <c r="E610" i="1"/>
  <c r="A615" i="1"/>
  <c r="B615" i="1"/>
  <c r="C615" i="1"/>
  <c r="D615" i="1"/>
  <c r="E615" i="1"/>
  <c r="A611" i="1"/>
  <c r="B611" i="1"/>
  <c r="C611" i="1"/>
  <c r="D611" i="1"/>
  <c r="E611" i="1"/>
  <c r="A612" i="1"/>
  <c r="B612" i="1"/>
  <c r="C612" i="1"/>
  <c r="D612" i="1"/>
  <c r="E612" i="1"/>
  <c r="A613" i="1"/>
  <c r="B613" i="1"/>
  <c r="C613" i="1"/>
  <c r="D613" i="1"/>
  <c r="E613" i="1"/>
  <c r="A614" i="1"/>
  <c r="B614" i="1"/>
  <c r="C614" i="1"/>
  <c r="D614" i="1"/>
  <c r="E614" i="1"/>
  <c r="A617" i="1"/>
  <c r="B617" i="1"/>
  <c r="C617" i="1"/>
  <c r="D617" i="1"/>
  <c r="E617" i="1"/>
  <c r="A616" i="1"/>
  <c r="B616" i="1"/>
  <c r="C616" i="1"/>
  <c r="D616" i="1"/>
  <c r="E616" i="1"/>
  <c r="A618" i="1"/>
  <c r="B618" i="1"/>
  <c r="C618" i="1"/>
  <c r="D618" i="1"/>
  <c r="E618" i="1"/>
  <c r="A619" i="1"/>
  <c r="B619" i="1"/>
  <c r="C619" i="1"/>
  <c r="D619" i="1"/>
  <c r="E619" i="1"/>
  <c r="A620" i="1"/>
  <c r="B620" i="1"/>
  <c r="C620" i="1"/>
  <c r="D620" i="1"/>
  <c r="E620" i="1"/>
  <c r="A629" i="1"/>
  <c r="B629" i="1"/>
  <c r="C629" i="1"/>
  <c r="D629" i="1"/>
  <c r="E629" i="1"/>
  <c r="A621" i="1"/>
  <c r="B621" i="1"/>
  <c r="C621" i="1"/>
  <c r="D621" i="1"/>
  <c r="E621" i="1"/>
  <c r="A622" i="1"/>
  <c r="B622" i="1"/>
  <c r="C622" i="1"/>
  <c r="D622" i="1"/>
  <c r="E622" i="1"/>
  <c r="A623" i="1"/>
  <c r="B623" i="1"/>
  <c r="C623" i="1"/>
  <c r="D623" i="1"/>
  <c r="E623" i="1"/>
  <c r="A631" i="1"/>
  <c r="B631" i="1"/>
  <c r="C631" i="1"/>
  <c r="D631" i="1"/>
  <c r="E631" i="1"/>
  <c r="A630" i="1"/>
  <c r="B630" i="1"/>
  <c r="C630" i="1"/>
  <c r="D630" i="1"/>
  <c r="E630" i="1"/>
  <c r="A624" i="1"/>
  <c r="B624" i="1"/>
  <c r="C624" i="1"/>
  <c r="D624" i="1"/>
  <c r="E624" i="1"/>
  <c r="A625" i="1"/>
  <c r="B625" i="1"/>
  <c r="C625" i="1"/>
  <c r="D625" i="1"/>
  <c r="E625" i="1"/>
  <c r="A632" i="1"/>
  <c r="B632" i="1"/>
  <c r="C632" i="1"/>
  <c r="D632" i="1"/>
  <c r="E632" i="1"/>
  <c r="A637" i="1"/>
  <c r="B637" i="1"/>
  <c r="C637" i="1"/>
  <c r="D637" i="1"/>
  <c r="E637" i="1"/>
  <c r="A638" i="1"/>
  <c r="B638" i="1"/>
  <c r="C638" i="1"/>
  <c r="D638" i="1"/>
  <c r="E638" i="1"/>
  <c r="A633" i="1"/>
  <c r="B633" i="1"/>
  <c r="C633" i="1"/>
  <c r="D633" i="1"/>
  <c r="E633" i="1"/>
  <c r="A628" i="1"/>
  <c r="B628" i="1"/>
  <c r="C628" i="1"/>
  <c r="D628" i="1"/>
  <c r="E628" i="1"/>
  <c r="A639" i="1"/>
  <c r="B639" i="1"/>
  <c r="C639" i="1"/>
  <c r="D639" i="1"/>
  <c r="E639" i="1"/>
  <c r="A635" i="1"/>
  <c r="B635" i="1"/>
  <c r="C635" i="1"/>
  <c r="D635" i="1"/>
  <c r="E635" i="1"/>
  <c r="A626" i="1"/>
  <c r="B626" i="1"/>
  <c r="C626" i="1"/>
  <c r="D626" i="1"/>
  <c r="E626" i="1"/>
  <c r="A641" i="1"/>
  <c r="B641" i="1"/>
  <c r="C641" i="1"/>
  <c r="D641" i="1"/>
  <c r="E641" i="1"/>
  <c r="A643" i="1"/>
  <c r="B643" i="1"/>
  <c r="C643" i="1"/>
  <c r="D643" i="1"/>
  <c r="E643" i="1"/>
  <c r="A636" i="1"/>
  <c r="B636" i="1"/>
  <c r="C636" i="1"/>
  <c r="D636" i="1"/>
  <c r="E636" i="1"/>
  <c r="A640" i="1"/>
  <c r="B640" i="1"/>
  <c r="C640" i="1"/>
  <c r="D640" i="1"/>
  <c r="E640" i="1"/>
  <c r="A634" i="1"/>
  <c r="B634" i="1"/>
  <c r="C634" i="1"/>
  <c r="D634" i="1"/>
  <c r="E634" i="1"/>
  <c r="A627" i="1"/>
  <c r="B627" i="1"/>
  <c r="C627" i="1"/>
  <c r="D627" i="1"/>
  <c r="E627" i="1"/>
  <c r="A644" i="1"/>
  <c r="B644" i="1"/>
  <c r="C644" i="1"/>
  <c r="D644" i="1"/>
  <c r="E644" i="1"/>
  <c r="A642" i="1"/>
  <c r="B642" i="1"/>
  <c r="C642" i="1"/>
  <c r="D642" i="1"/>
  <c r="E642" i="1"/>
  <c r="A645" i="1"/>
  <c r="B645" i="1"/>
  <c r="C645" i="1"/>
  <c r="D645" i="1"/>
  <c r="E645" i="1"/>
  <c r="A646" i="1"/>
  <c r="B646" i="1"/>
  <c r="C646" i="1"/>
  <c r="D646" i="1"/>
  <c r="E646" i="1"/>
  <c r="A648" i="1"/>
  <c r="B648" i="1"/>
  <c r="C648" i="1"/>
  <c r="D648" i="1"/>
  <c r="E648" i="1"/>
  <c r="A647" i="1"/>
  <c r="B647" i="1"/>
  <c r="C647" i="1"/>
  <c r="D647" i="1"/>
  <c r="E647" i="1"/>
  <c r="A649" i="1"/>
  <c r="B649" i="1"/>
  <c r="C649" i="1"/>
  <c r="D649" i="1"/>
  <c r="E649" i="1"/>
  <c r="A650" i="1"/>
  <c r="B650" i="1"/>
  <c r="C650" i="1"/>
  <c r="D650" i="1"/>
  <c r="E650" i="1"/>
  <c r="A652" i="1"/>
  <c r="B652" i="1"/>
  <c r="C652" i="1"/>
  <c r="D652" i="1"/>
  <c r="E652" i="1"/>
  <c r="A651" i="1"/>
  <c r="B651" i="1"/>
  <c r="C651" i="1"/>
  <c r="D651" i="1"/>
  <c r="E651" i="1"/>
  <c r="A653" i="1"/>
  <c r="B653" i="1"/>
  <c r="C653" i="1"/>
  <c r="D653" i="1"/>
  <c r="E653" i="1"/>
  <c r="A654" i="1"/>
  <c r="B654" i="1"/>
  <c r="C654" i="1"/>
  <c r="D654" i="1"/>
  <c r="E654" i="1"/>
  <c r="A655" i="1"/>
  <c r="B655" i="1"/>
  <c r="C655" i="1"/>
  <c r="D655" i="1"/>
  <c r="E655" i="1"/>
  <c r="A660" i="1"/>
  <c r="B660" i="1"/>
  <c r="C660" i="1"/>
  <c r="D660" i="1"/>
  <c r="E660" i="1"/>
  <c r="A656" i="1"/>
  <c r="B656" i="1"/>
  <c r="C656" i="1"/>
  <c r="D656" i="1"/>
  <c r="E656" i="1"/>
  <c r="A659" i="1"/>
  <c r="B659" i="1"/>
  <c r="C659" i="1"/>
  <c r="D659" i="1"/>
  <c r="E659" i="1"/>
  <c r="A658" i="1"/>
  <c r="C658" i="1"/>
  <c r="D658" i="1"/>
  <c r="E658" i="1"/>
  <c r="A662" i="1"/>
  <c r="B662" i="1"/>
  <c r="C662" i="1"/>
  <c r="D662" i="1"/>
  <c r="E662" i="1"/>
  <c r="A661" i="1"/>
  <c r="B661" i="1"/>
  <c r="C661" i="1"/>
  <c r="D661" i="1"/>
  <c r="E661" i="1"/>
  <c r="A663" i="1"/>
  <c r="B663" i="1"/>
  <c r="C663" i="1"/>
  <c r="D663" i="1"/>
  <c r="E663" i="1"/>
  <c r="A657" i="1"/>
  <c r="B657" i="1"/>
  <c r="C657" i="1"/>
  <c r="D657" i="1"/>
  <c r="E657" i="1"/>
  <c r="A664" i="1"/>
  <c r="B664" i="1"/>
  <c r="C664" i="1"/>
  <c r="D664" i="1"/>
  <c r="E664" i="1"/>
  <c r="A666" i="1"/>
  <c r="B666" i="1"/>
  <c r="C666" i="1"/>
  <c r="D666" i="1"/>
  <c r="E666" i="1"/>
  <c r="A665" i="1"/>
  <c r="B665" i="1"/>
  <c r="C665" i="1"/>
  <c r="D665" i="1"/>
  <c r="E665" i="1"/>
  <c r="A667" i="1"/>
  <c r="B667" i="1"/>
  <c r="C667" i="1"/>
  <c r="D667" i="1"/>
  <c r="E667" i="1"/>
  <c r="A671" i="1"/>
  <c r="B671" i="1"/>
  <c r="C671" i="1"/>
  <c r="D671" i="1"/>
  <c r="E671" i="1"/>
  <c r="A670" i="1"/>
  <c r="B670" i="1"/>
  <c r="C670" i="1"/>
  <c r="D670" i="1"/>
  <c r="E670" i="1"/>
  <c r="A669" i="1"/>
  <c r="B669" i="1"/>
  <c r="C669" i="1"/>
  <c r="D669" i="1"/>
  <c r="E669" i="1"/>
  <c r="A668" i="1"/>
  <c r="B668" i="1"/>
  <c r="C668" i="1"/>
  <c r="D668" i="1"/>
  <c r="E668" i="1"/>
  <c r="A672" i="1"/>
  <c r="B672" i="1"/>
  <c r="C672" i="1"/>
  <c r="D672" i="1"/>
  <c r="E672" i="1"/>
  <c r="A673" i="1"/>
  <c r="B673" i="1"/>
  <c r="C673" i="1"/>
  <c r="D673" i="1"/>
  <c r="E673" i="1"/>
  <c r="A676" i="1"/>
  <c r="B676" i="1"/>
  <c r="C676" i="1"/>
  <c r="D676" i="1"/>
  <c r="E676" i="1"/>
  <c r="A675" i="1"/>
  <c r="B675" i="1"/>
  <c r="C675" i="1"/>
  <c r="D675" i="1"/>
  <c r="E675" i="1"/>
  <c r="A677" i="1"/>
  <c r="B677" i="1"/>
  <c r="C677" i="1"/>
  <c r="D677" i="1"/>
  <c r="E677" i="1"/>
  <c r="A678" i="1"/>
  <c r="B678" i="1"/>
  <c r="C678" i="1"/>
  <c r="D678" i="1"/>
  <c r="E678" i="1"/>
  <c r="A679" i="1"/>
  <c r="B679" i="1"/>
  <c r="C679" i="1"/>
  <c r="D679" i="1"/>
  <c r="E679" i="1"/>
  <c r="A682" i="1"/>
  <c r="B682" i="1"/>
  <c r="C682" i="1"/>
  <c r="D682" i="1"/>
  <c r="E682" i="1"/>
  <c r="A680" i="1"/>
  <c r="B680" i="1"/>
  <c r="C680" i="1"/>
  <c r="D680" i="1"/>
  <c r="E680" i="1"/>
  <c r="A681" i="1"/>
  <c r="B681" i="1"/>
  <c r="C681" i="1"/>
  <c r="D681" i="1"/>
  <c r="E681" i="1"/>
  <c r="A684" i="1"/>
  <c r="B684" i="1"/>
  <c r="C684" i="1"/>
  <c r="D684" i="1"/>
  <c r="E684" i="1"/>
  <c r="A685" i="1"/>
  <c r="B685" i="1"/>
  <c r="C685" i="1"/>
  <c r="D685" i="1"/>
  <c r="E685" i="1"/>
  <c r="A683" i="1"/>
  <c r="B683" i="1"/>
  <c r="C683" i="1"/>
  <c r="D683" i="1"/>
  <c r="E683" i="1"/>
  <c r="A686" i="1"/>
  <c r="B686" i="1"/>
  <c r="C686" i="1"/>
  <c r="D686" i="1"/>
  <c r="E686" i="1"/>
  <c r="A687" i="1"/>
  <c r="B687" i="1"/>
  <c r="C687" i="1"/>
  <c r="D687" i="1"/>
  <c r="E687" i="1"/>
  <c r="A689" i="1"/>
  <c r="B689" i="1"/>
  <c r="C689" i="1"/>
  <c r="D689" i="1"/>
  <c r="E689" i="1"/>
  <c r="A688" i="1"/>
  <c r="B688" i="1"/>
  <c r="C688" i="1"/>
  <c r="D688" i="1"/>
  <c r="E688" i="1"/>
  <c r="A690" i="1"/>
  <c r="B690" i="1"/>
  <c r="C690" i="1"/>
  <c r="D690" i="1"/>
  <c r="E690" i="1"/>
  <c r="A691" i="1"/>
  <c r="B691" i="1"/>
  <c r="C691" i="1"/>
  <c r="D691" i="1"/>
  <c r="E691" i="1"/>
  <c r="A693" i="1"/>
  <c r="B693" i="1"/>
  <c r="C693" i="1"/>
  <c r="D693" i="1"/>
  <c r="E693" i="1"/>
  <c r="A692" i="1"/>
  <c r="B692" i="1"/>
  <c r="C692" i="1"/>
  <c r="D692" i="1"/>
  <c r="E692" i="1"/>
  <c r="A695" i="1"/>
  <c r="B695" i="1"/>
  <c r="C695" i="1"/>
  <c r="D695" i="1"/>
  <c r="E695" i="1"/>
  <c r="A694" i="1"/>
  <c r="B694" i="1"/>
  <c r="C694" i="1"/>
  <c r="D694" i="1"/>
  <c r="E694" i="1"/>
  <c r="A674" i="1"/>
  <c r="B674" i="1"/>
  <c r="C674" i="1"/>
  <c r="D674" i="1"/>
  <c r="E674" i="1"/>
  <c r="A696" i="1"/>
  <c r="B696" i="1"/>
  <c r="C696" i="1"/>
  <c r="D696" i="1"/>
  <c r="E696" i="1"/>
  <c r="A697" i="1"/>
  <c r="C697" i="1"/>
  <c r="D697" i="1"/>
  <c r="E697" i="1"/>
  <c r="A700" i="1"/>
  <c r="B700" i="1"/>
  <c r="C700" i="1"/>
  <c r="D700" i="1"/>
  <c r="E700" i="1"/>
  <c r="A699" i="1"/>
  <c r="B699" i="1"/>
  <c r="C699" i="1"/>
  <c r="D699" i="1"/>
  <c r="E699" i="1"/>
  <c r="A698" i="1"/>
  <c r="B698" i="1"/>
  <c r="C698" i="1"/>
  <c r="D698" i="1"/>
  <c r="E698" i="1"/>
  <c r="A701" i="1"/>
  <c r="B701" i="1"/>
  <c r="C701" i="1"/>
  <c r="D701" i="1"/>
  <c r="E701" i="1"/>
  <c r="A702" i="1"/>
  <c r="B702" i="1"/>
  <c r="C702" i="1"/>
  <c r="D702" i="1"/>
  <c r="E702" i="1"/>
  <c r="A704" i="1"/>
  <c r="B704" i="1"/>
  <c r="C704" i="1"/>
  <c r="D704" i="1"/>
  <c r="E704" i="1"/>
  <c r="A703" i="1"/>
  <c r="B703" i="1"/>
  <c r="C703" i="1"/>
  <c r="D703" i="1"/>
  <c r="E703" i="1"/>
  <c r="A705" i="1"/>
  <c r="B705" i="1"/>
  <c r="C705" i="1"/>
  <c r="D705" i="1"/>
  <c r="E705" i="1"/>
  <c r="A706" i="1"/>
  <c r="B706" i="1"/>
  <c r="C706" i="1"/>
  <c r="D706" i="1"/>
  <c r="E706" i="1"/>
  <c r="A710" i="1"/>
  <c r="B710" i="1"/>
  <c r="C710" i="1"/>
  <c r="D710" i="1"/>
  <c r="E710" i="1"/>
  <c r="A708" i="1"/>
  <c r="B708" i="1"/>
  <c r="C708" i="1"/>
  <c r="D708" i="1"/>
  <c r="E708" i="1"/>
  <c r="A707" i="1"/>
  <c r="B707" i="1"/>
  <c r="C707" i="1"/>
  <c r="D707" i="1"/>
  <c r="E707" i="1"/>
  <c r="A709" i="1"/>
  <c r="B709" i="1"/>
  <c r="C709" i="1"/>
  <c r="D709" i="1"/>
  <c r="E709" i="1"/>
  <c r="A711" i="1"/>
  <c r="C711" i="1"/>
  <c r="D711" i="1"/>
  <c r="E711" i="1"/>
  <c r="A712" i="1"/>
  <c r="B712" i="1"/>
  <c r="C712" i="1"/>
  <c r="D712" i="1"/>
  <c r="E712" i="1"/>
  <c r="A714" i="1"/>
  <c r="B714" i="1"/>
  <c r="C714" i="1"/>
  <c r="D714" i="1"/>
  <c r="E714" i="1"/>
  <c r="A715" i="1"/>
  <c r="B715" i="1"/>
  <c r="C715" i="1"/>
  <c r="D715" i="1"/>
  <c r="E715" i="1"/>
  <c r="A713" i="1"/>
  <c r="B713" i="1"/>
  <c r="C713" i="1"/>
  <c r="D713" i="1"/>
  <c r="E713" i="1"/>
  <c r="A718" i="1"/>
  <c r="B718" i="1"/>
  <c r="C718" i="1"/>
  <c r="D718" i="1"/>
  <c r="E718" i="1"/>
  <c r="A717" i="1"/>
  <c r="B717" i="1"/>
  <c r="C717" i="1"/>
  <c r="D717" i="1"/>
  <c r="E717" i="1"/>
  <c r="A716" i="1"/>
  <c r="B716" i="1"/>
  <c r="C716" i="1"/>
  <c r="D716" i="1"/>
  <c r="E716" i="1"/>
  <c r="A719" i="1"/>
  <c r="B719" i="1"/>
  <c r="C719" i="1"/>
  <c r="D719" i="1"/>
  <c r="E719" i="1"/>
  <c r="A721" i="1"/>
  <c r="B721" i="1"/>
  <c r="C721" i="1"/>
  <c r="D721" i="1"/>
  <c r="E721" i="1"/>
  <c r="A722" i="1"/>
  <c r="B722" i="1"/>
  <c r="C722" i="1"/>
  <c r="D722" i="1"/>
  <c r="E722" i="1"/>
  <c r="A723" i="1"/>
  <c r="B723" i="1"/>
  <c r="C723" i="1"/>
  <c r="D723" i="1"/>
  <c r="E723" i="1"/>
  <c r="A724" i="1"/>
  <c r="B724" i="1"/>
  <c r="C724" i="1"/>
  <c r="D724" i="1"/>
  <c r="E724" i="1"/>
  <c r="A725" i="1"/>
  <c r="B725" i="1"/>
  <c r="C725" i="1"/>
  <c r="D725" i="1"/>
  <c r="E725" i="1"/>
  <c r="A726" i="1"/>
  <c r="B726" i="1"/>
  <c r="C726" i="1"/>
  <c r="D726" i="1"/>
  <c r="E726" i="1"/>
  <c r="A727" i="1"/>
  <c r="B727" i="1"/>
  <c r="C727" i="1"/>
  <c r="D727" i="1"/>
  <c r="E727" i="1"/>
  <c r="A730" i="1"/>
  <c r="B730" i="1"/>
  <c r="C730" i="1"/>
  <c r="D730" i="1"/>
  <c r="E730" i="1"/>
  <c r="A728" i="1"/>
  <c r="B728" i="1"/>
  <c r="C728" i="1"/>
  <c r="D728" i="1"/>
  <c r="E728" i="1"/>
  <c r="A731" i="1"/>
  <c r="B731" i="1"/>
  <c r="C731" i="1"/>
  <c r="D731" i="1"/>
  <c r="E731" i="1"/>
  <c r="A729" i="1"/>
  <c r="B729" i="1"/>
  <c r="C729" i="1"/>
  <c r="D729" i="1"/>
  <c r="E729" i="1"/>
  <c r="A732" i="1"/>
  <c r="B732" i="1"/>
  <c r="C732" i="1"/>
  <c r="D732" i="1"/>
  <c r="E732" i="1"/>
  <c r="A735" i="1"/>
  <c r="B735" i="1"/>
  <c r="C735" i="1"/>
  <c r="D735" i="1"/>
  <c r="E735" i="1"/>
  <c r="A733" i="1"/>
  <c r="B733" i="1"/>
  <c r="C733" i="1"/>
  <c r="D733" i="1"/>
  <c r="E733" i="1"/>
  <c r="A734" i="1"/>
  <c r="B734" i="1"/>
  <c r="C734" i="1"/>
  <c r="D734" i="1"/>
  <c r="E734" i="1"/>
  <c r="A737" i="1"/>
  <c r="B737" i="1"/>
  <c r="C737" i="1"/>
  <c r="D737" i="1"/>
  <c r="E737" i="1"/>
  <c r="A736" i="1"/>
  <c r="B736" i="1"/>
  <c r="C736" i="1"/>
  <c r="D736" i="1"/>
  <c r="E736" i="1"/>
  <c r="A739" i="1"/>
  <c r="B739" i="1"/>
  <c r="C739" i="1"/>
  <c r="D739" i="1"/>
  <c r="E739" i="1"/>
  <c r="A720" i="1"/>
  <c r="B720" i="1"/>
  <c r="C720" i="1"/>
  <c r="D720" i="1"/>
  <c r="E720" i="1"/>
  <c r="A738" i="1"/>
  <c r="B738" i="1"/>
  <c r="C738" i="1"/>
  <c r="D738" i="1"/>
  <c r="E738" i="1"/>
  <c r="A740" i="1"/>
  <c r="B740" i="1"/>
  <c r="C740" i="1"/>
  <c r="D740" i="1"/>
  <c r="E740" i="1"/>
  <c r="A741" i="1"/>
  <c r="B741" i="1"/>
  <c r="C741" i="1"/>
  <c r="D741" i="1"/>
  <c r="E741" i="1"/>
  <c r="A742" i="1"/>
  <c r="B742" i="1"/>
  <c r="C742" i="1"/>
  <c r="D742" i="1"/>
  <c r="E742" i="1"/>
  <c r="A743" i="1"/>
  <c r="B743" i="1"/>
  <c r="C743" i="1"/>
  <c r="D743" i="1"/>
  <c r="E743" i="1"/>
  <c r="A744" i="1"/>
  <c r="B744" i="1"/>
  <c r="C744" i="1"/>
  <c r="D744" i="1"/>
  <c r="E744" i="1"/>
  <c r="A745" i="1"/>
  <c r="B745" i="1"/>
  <c r="C745" i="1"/>
  <c r="D745" i="1"/>
  <c r="E745" i="1"/>
  <c r="A746" i="1"/>
  <c r="B746" i="1"/>
  <c r="C746" i="1"/>
  <c r="D746" i="1"/>
  <c r="E746" i="1"/>
  <c r="A747" i="1"/>
  <c r="B747" i="1"/>
  <c r="C747" i="1"/>
  <c r="D747" i="1"/>
  <c r="E747" i="1"/>
  <c r="A748" i="1"/>
  <c r="B748" i="1"/>
  <c r="C748" i="1"/>
  <c r="D748" i="1"/>
  <c r="E748" i="1"/>
  <c r="A751" i="1"/>
  <c r="B751" i="1"/>
  <c r="C751" i="1"/>
  <c r="D751" i="1"/>
  <c r="E751" i="1"/>
  <c r="A749" i="1"/>
  <c r="B749" i="1"/>
  <c r="C749" i="1"/>
  <c r="D749" i="1"/>
  <c r="E749" i="1"/>
  <c r="A750" i="1"/>
  <c r="B750" i="1"/>
  <c r="C750" i="1"/>
  <c r="D750" i="1"/>
  <c r="E750" i="1"/>
  <c r="A753" i="1"/>
  <c r="B753" i="1"/>
  <c r="C753" i="1"/>
  <c r="D753" i="1"/>
  <c r="E753" i="1"/>
  <c r="A754" i="1"/>
  <c r="B754" i="1"/>
  <c r="C754" i="1"/>
  <c r="D754" i="1"/>
  <c r="E754" i="1"/>
  <c r="A752" i="1"/>
  <c r="B752" i="1"/>
  <c r="C752" i="1"/>
  <c r="D752" i="1"/>
  <c r="E752" i="1"/>
  <c r="A755" i="1"/>
  <c r="B755" i="1"/>
  <c r="C755" i="1"/>
  <c r="D755" i="1"/>
  <c r="E755" i="1"/>
  <c r="A757" i="1"/>
  <c r="B757" i="1"/>
  <c r="C757" i="1"/>
  <c r="D757" i="1"/>
  <c r="E757" i="1"/>
  <c r="A756" i="1"/>
  <c r="B756" i="1"/>
  <c r="C756" i="1"/>
  <c r="D756" i="1"/>
  <c r="E756" i="1"/>
  <c r="A758" i="1"/>
  <c r="B758" i="1"/>
  <c r="C758" i="1"/>
  <c r="D758" i="1"/>
  <c r="E758" i="1"/>
  <c r="A761" i="1"/>
  <c r="B761" i="1"/>
  <c r="C761" i="1"/>
  <c r="D761" i="1"/>
  <c r="E761" i="1"/>
  <c r="A759" i="1"/>
  <c r="B759" i="1"/>
  <c r="C759" i="1"/>
  <c r="D759" i="1"/>
  <c r="E759" i="1"/>
  <c r="A760" i="1"/>
  <c r="B760" i="1"/>
  <c r="C760" i="1"/>
  <c r="D760" i="1"/>
  <c r="E760" i="1"/>
  <c r="A763" i="1"/>
  <c r="B763" i="1"/>
  <c r="C763" i="1"/>
  <c r="D763" i="1"/>
  <c r="E763" i="1"/>
  <c r="A766" i="1"/>
  <c r="B766" i="1"/>
  <c r="C766" i="1"/>
  <c r="D766" i="1"/>
  <c r="E766" i="1"/>
  <c r="A764" i="1"/>
  <c r="B764" i="1"/>
  <c r="C764" i="1"/>
  <c r="D764" i="1"/>
  <c r="E764" i="1"/>
  <c r="A765" i="1"/>
  <c r="B765" i="1"/>
  <c r="C765" i="1"/>
  <c r="D765" i="1"/>
  <c r="E765" i="1"/>
  <c r="A762" i="1"/>
  <c r="B762" i="1"/>
  <c r="C762" i="1"/>
  <c r="D762" i="1"/>
  <c r="E762" i="1"/>
  <c r="A767" i="1"/>
  <c r="B767" i="1"/>
  <c r="C767" i="1"/>
  <c r="D767" i="1"/>
  <c r="E767" i="1"/>
  <c r="A769" i="1"/>
  <c r="B769" i="1"/>
  <c r="C769" i="1"/>
  <c r="D769" i="1"/>
  <c r="E769" i="1"/>
  <c r="A770" i="1"/>
  <c r="B770" i="1"/>
  <c r="C770" i="1"/>
  <c r="D770" i="1"/>
  <c r="E770" i="1"/>
  <c r="A768" i="1"/>
  <c r="B768" i="1"/>
  <c r="C768" i="1"/>
  <c r="D768" i="1"/>
  <c r="E768" i="1"/>
  <c r="A773" i="1"/>
  <c r="B773" i="1"/>
  <c r="C773" i="1"/>
  <c r="D773" i="1"/>
  <c r="E773" i="1"/>
  <c r="A771" i="1"/>
  <c r="B771" i="1"/>
  <c r="C771" i="1"/>
  <c r="D771" i="1"/>
  <c r="E771" i="1"/>
  <c r="A774" i="1"/>
  <c r="B774" i="1"/>
  <c r="C774" i="1"/>
  <c r="D774" i="1"/>
  <c r="E774" i="1"/>
  <c r="A772" i="1"/>
  <c r="B772" i="1"/>
  <c r="C772" i="1"/>
  <c r="D772" i="1"/>
  <c r="E772" i="1"/>
  <c r="A776" i="1"/>
  <c r="B776" i="1"/>
  <c r="C776" i="1"/>
  <c r="D776" i="1"/>
  <c r="E776" i="1"/>
  <c r="A775" i="1"/>
  <c r="B775" i="1"/>
  <c r="C775" i="1"/>
  <c r="D775" i="1"/>
  <c r="E775" i="1"/>
  <c r="A778" i="1"/>
  <c r="B778" i="1"/>
  <c r="C778" i="1"/>
  <c r="D778" i="1"/>
  <c r="E778" i="1"/>
  <c r="A777" i="1"/>
  <c r="B777" i="1"/>
  <c r="C777" i="1"/>
  <c r="D777" i="1"/>
  <c r="E777" i="1"/>
  <c r="A780" i="1"/>
  <c r="B780" i="1"/>
  <c r="C780" i="1"/>
  <c r="D780" i="1"/>
  <c r="E780" i="1"/>
  <c r="A781" i="1"/>
  <c r="B781" i="1"/>
  <c r="C781" i="1"/>
  <c r="D781" i="1"/>
  <c r="E781" i="1"/>
  <c r="A779" i="1"/>
  <c r="B779" i="1"/>
  <c r="C779" i="1"/>
  <c r="D779" i="1"/>
  <c r="E779" i="1"/>
  <c r="A782" i="1"/>
  <c r="B782" i="1"/>
  <c r="C782" i="1"/>
  <c r="D782" i="1"/>
  <c r="E782" i="1"/>
  <c r="A783" i="1"/>
  <c r="B783" i="1"/>
  <c r="C783" i="1"/>
  <c r="D783" i="1"/>
  <c r="E783" i="1"/>
  <c r="A785" i="1"/>
  <c r="B785" i="1"/>
  <c r="C785" i="1"/>
  <c r="D785" i="1"/>
  <c r="E785" i="1"/>
  <c r="A784" i="1"/>
  <c r="B784" i="1"/>
  <c r="C784" i="1"/>
  <c r="D784" i="1"/>
  <c r="E784" i="1"/>
  <c r="A787" i="1"/>
  <c r="B787" i="1"/>
  <c r="C787" i="1"/>
  <c r="D787" i="1"/>
  <c r="E787" i="1"/>
  <c r="A786" i="1"/>
  <c r="B786" i="1"/>
  <c r="C786" i="1"/>
  <c r="D786" i="1"/>
  <c r="E786" i="1"/>
  <c r="A788" i="1"/>
  <c r="B788" i="1"/>
  <c r="C788" i="1"/>
  <c r="D788" i="1"/>
  <c r="E788" i="1"/>
  <c r="A790" i="1"/>
  <c r="B790" i="1"/>
  <c r="C790" i="1"/>
  <c r="D790" i="1"/>
  <c r="E790" i="1"/>
  <c r="A789" i="1"/>
  <c r="B789" i="1"/>
  <c r="C789" i="1"/>
  <c r="D789" i="1"/>
  <c r="E789" i="1"/>
  <c r="A794" i="1"/>
  <c r="B794" i="1"/>
  <c r="C794" i="1"/>
  <c r="D794" i="1"/>
  <c r="E794" i="1"/>
  <c r="A791" i="1"/>
  <c r="B791" i="1"/>
  <c r="C791" i="1"/>
  <c r="D791" i="1"/>
  <c r="E791" i="1"/>
  <c r="A795" i="1"/>
  <c r="B795" i="1"/>
  <c r="C795" i="1"/>
  <c r="D795" i="1"/>
  <c r="E795" i="1"/>
  <c r="A792" i="1"/>
  <c r="B792" i="1"/>
  <c r="C792" i="1"/>
  <c r="D792" i="1"/>
  <c r="E792" i="1"/>
  <c r="A796" i="1"/>
  <c r="B796" i="1"/>
  <c r="C796" i="1"/>
  <c r="D796" i="1"/>
  <c r="E796" i="1"/>
  <c r="A793" i="1"/>
  <c r="B793" i="1"/>
  <c r="C793" i="1"/>
  <c r="D793" i="1"/>
  <c r="E793" i="1"/>
  <c r="A798" i="1"/>
  <c r="B798" i="1"/>
  <c r="C798" i="1"/>
  <c r="D798" i="1"/>
  <c r="E798" i="1"/>
  <c r="A797" i="1"/>
  <c r="B797" i="1"/>
  <c r="C797" i="1"/>
  <c r="D797" i="1"/>
  <c r="E797" i="1"/>
  <c r="A799" i="1"/>
  <c r="B799" i="1"/>
  <c r="C799" i="1"/>
  <c r="D799" i="1"/>
  <c r="E799" i="1"/>
  <c r="A801" i="1"/>
  <c r="B801" i="1"/>
  <c r="C801" i="1"/>
  <c r="D801" i="1"/>
  <c r="E801" i="1"/>
  <c r="A800" i="1"/>
  <c r="B800" i="1"/>
  <c r="C800" i="1"/>
  <c r="D800" i="1"/>
  <c r="E800" i="1"/>
  <c r="A803" i="1"/>
  <c r="B803" i="1"/>
  <c r="C803" i="1"/>
  <c r="D803" i="1"/>
  <c r="E803" i="1"/>
  <c r="A802" i="1"/>
  <c r="B802" i="1"/>
  <c r="C802" i="1"/>
  <c r="D802" i="1"/>
  <c r="E802" i="1"/>
  <c r="A805" i="1"/>
  <c r="B805" i="1"/>
  <c r="C805" i="1"/>
  <c r="D805" i="1"/>
  <c r="E805" i="1"/>
  <c r="A804" i="1"/>
  <c r="B804" i="1"/>
  <c r="C804" i="1"/>
  <c r="D804" i="1"/>
  <c r="E804" i="1"/>
  <c r="A806" i="1"/>
  <c r="B806" i="1"/>
  <c r="C806" i="1"/>
  <c r="D806" i="1"/>
  <c r="E806" i="1"/>
  <c r="A807" i="1"/>
  <c r="B807" i="1"/>
  <c r="C807" i="1"/>
  <c r="D807" i="1"/>
  <c r="E807" i="1"/>
  <c r="A808" i="1"/>
  <c r="B808" i="1"/>
  <c r="C808" i="1"/>
  <c r="D808" i="1"/>
  <c r="E808" i="1"/>
  <c r="A809" i="1"/>
  <c r="B809" i="1"/>
  <c r="C809" i="1"/>
  <c r="D809" i="1"/>
  <c r="E809" i="1"/>
  <c r="A812" i="1"/>
  <c r="B812" i="1"/>
  <c r="C812" i="1"/>
  <c r="D812" i="1"/>
  <c r="E812" i="1"/>
  <c r="A810" i="1"/>
  <c r="B810" i="1"/>
  <c r="C810" i="1"/>
  <c r="D810" i="1"/>
  <c r="E810" i="1"/>
  <c r="A811" i="1"/>
  <c r="B811" i="1"/>
  <c r="C811" i="1"/>
  <c r="D811" i="1"/>
  <c r="E811" i="1"/>
  <c r="A813" i="1"/>
  <c r="B813" i="1"/>
  <c r="C813" i="1"/>
  <c r="D813" i="1"/>
  <c r="E813" i="1"/>
  <c r="A814" i="1"/>
  <c r="B814" i="1"/>
  <c r="C814" i="1"/>
  <c r="D814" i="1"/>
  <c r="E814" i="1"/>
  <c r="A816" i="1"/>
  <c r="B816" i="1"/>
  <c r="C816" i="1"/>
  <c r="D816" i="1"/>
  <c r="E816" i="1"/>
  <c r="A818" i="1"/>
  <c r="B818" i="1"/>
  <c r="C818" i="1"/>
  <c r="D818" i="1"/>
  <c r="E818" i="1"/>
  <c r="A815" i="1"/>
  <c r="B815" i="1"/>
  <c r="C815" i="1"/>
  <c r="D815" i="1"/>
  <c r="E815" i="1"/>
  <c r="A817" i="1"/>
  <c r="B817" i="1"/>
  <c r="C817" i="1"/>
  <c r="D817" i="1"/>
  <c r="E817" i="1"/>
  <c r="A819" i="1"/>
  <c r="B819" i="1"/>
  <c r="C819" i="1"/>
  <c r="D819" i="1"/>
  <c r="E819" i="1"/>
  <c r="A822" i="1"/>
  <c r="B822" i="1"/>
  <c r="C822" i="1"/>
  <c r="D822" i="1"/>
  <c r="E822" i="1"/>
  <c r="A820" i="1"/>
  <c r="B820" i="1"/>
  <c r="C820" i="1"/>
  <c r="D820" i="1"/>
  <c r="E820" i="1"/>
  <c r="A821" i="1"/>
  <c r="B821" i="1"/>
  <c r="C821" i="1"/>
  <c r="D821" i="1"/>
  <c r="E821" i="1"/>
  <c r="A824" i="1"/>
  <c r="B824" i="1"/>
  <c r="C824" i="1"/>
  <c r="D824" i="1"/>
  <c r="E824" i="1"/>
  <c r="A823" i="1"/>
  <c r="B823" i="1"/>
  <c r="C823" i="1"/>
  <c r="D823" i="1"/>
  <c r="E823" i="1"/>
  <c r="A448" i="1"/>
  <c r="B448" i="1"/>
  <c r="C448" i="1"/>
  <c r="D448" i="1"/>
  <c r="E448" i="1"/>
  <c r="A449" i="1"/>
  <c r="B449" i="1"/>
  <c r="C449" i="1"/>
  <c r="D449" i="1"/>
  <c r="E449" i="1"/>
  <c r="A450" i="1"/>
  <c r="B450" i="1"/>
  <c r="C450" i="1"/>
  <c r="D450" i="1"/>
  <c r="E450" i="1"/>
  <c r="A451" i="1"/>
  <c r="B451" i="1"/>
  <c r="C451" i="1"/>
  <c r="D451" i="1"/>
  <c r="E451" i="1"/>
</calcChain>
</file>

<file path=xl/sharedStrings.xml><?xml version="1.0" encoding="utf-8"?>
<sst xmlns="http://schemas.openxmlformats.org/spreadsheetml/2006/main" count="13" uniqueCount="13">
  <si>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</si>
  <si>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</si>
  <si>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</si>
  <si>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</si>
  <si>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</si>
  <si>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</si>
  <si>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</si>
  <si>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</si>
  <si>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</si>
  <si>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</si>
  <si>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>Отчет об остатках на балансовых и внебалансовых счетах</t>
  </si>
  <si>
    <t>АО "Евразийский Банк"</t>
  </si>
  <si>
    <t>по состоянию на 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</si>
</sst>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top"/>
    </xf>
    <xf numFmtId="0" fontId="0" fillId="33" borderId="10" xfId="0" applyFill="1" applyBorder="1" applyAlignment="1">
      <alignment horizontal="center" vertical="top" wrapText="1"/>
    </xf>
    <xf numFmtId="4" fontId="0" fillId="33" borderId="10" xfId="0" applyNumberFormat="1" applyFill="1" applyBorder="1" applyAlignment="1">
      <alignment horizontal="center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4"/>
  <sheetViews>
    <sheetView tabSelected="1" workbookViewId="0">
      <selection activeCell="F5" sqref="F5"/>
    </sheetView>
  </sheetViews>
  <sheetFormatPr defaultRowHeight="15" x14ac:dyDescent="0.25"/>
  <cols>
    <col min="2" max="2" width="19" customWidth="1"/>
    <col min="6" max="6" width="18.5703125" style="1" bestFit="1" customWidth="1"/>
  </cols>
  <sheetData>
    <row r="1" spans="1:6" ht="18.75" x14ac:dyDescent="0.25">
      <c r="A1" s="2" t="s">
        <v>10</v>
      </c>
      <c r="B1" s="2"/>
      <c r="C1" s="2"/>
      <c r="D1" s="2"/>
      <c r="E1" s="2"/>
      <c r="F1" s="2"/>
    </row>
    <row r="2" spans="1:6" ht="18.75" x14ac:dyDescent="0.25">
      <c r="A2" s="3" t="s">
        <v>12</v>
      </c>
      <c r="B2" s="3"/>
      <c r="C2" s="3"/>
      <c r="D2" s="3"/>
      <c r="E2" s="3"/>
      <c r="F2" s="3"/>
    </row>
    <row r="3" spans="1:6" ht="18.75" x14ac:dyDescent="0.25">
      <c r="A3" s="3"/>
      <c r="B3" s="3"/>
      <c r="C3" s="3"/>
      <c r="D3" s="3"/>
      <c r="E3" s="3"/>
      <c r="F3" s="3"/>
    </row>
    <row r="4" spans="1:6" ht="18.75" x14ac:dyDescent="0.25">
      <c r="A4" s="3" t="s">
        <v>11</v>
      </c>
      <c r="B4" s="3"/>
      <c r="C4" s="3"/>
      <c r="D4" s="3"/>
      <c r="E4" s="3"/>
      <c r="F4" s="3"/>
    </row>
    <row r="5" spans="1:6" ht="60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</row>
    <row r="6" spans="1:6" x14ac:dyDescent="0.25">
      <c r="A6" t="str">
        <f>"1001"</f>
        <v>1001</v>
      </c>
      <c r="B6" t="str">
        <f>"Наличность в кассе"</f>
        <v>Наличность в кассе</v>
      </c>
      <c r="C6" t="str">
        <f>"1"</f>
        <v>1</v>
      </c>
      <c r="D6" t="str">
        <f t="shared" ref="D6:D13" si="0">"3"</f>
        <v>3</v>
      </c>
      <c r="E6" t="str">
        <f>"1"</f>
        <v>1</v>
      </c>
      <c r="F6" s="1">
        <v>2758888578</v>
      </c>
    </row>
    <row r="7" spans="1:6" x14ac:dyDescent="0.25">
      <c r="A7" t="str">
        <f>"1001"</f>
        <v>1001</v>
      </c>
      <c r="B7" t="str">
        <f>"Наличность в кассе"</f>
        <v>Наличность в кассе</v>
      </c>
      <c r="C7" t="str">
        <f>"2"</f>
        <v>2</v>
      </c>
      <c r="D7" t="str">
        <f t="shared" si="0"/>
        <v>3</v>
      </c>
      <c r="E7" t="str">
        <f>"3"</f>
        <v>3</v>
      </c>
      <c r="F7" s="1">
        <v>1252417752.22</v>
      </c>
    </row>
    <row r="8" spans="1:6" x14ac:dyDescent="0.25">
      <c r="A8" t="str">
        <f>"1001"</f>
        <v>1001</v>
      </c>
      <c r="B8" t="str">
        <f>"Наличность в кассе"</f>
        <v>Наличность в кассе</v>
      </c>
      <c r="C8" t="str">
        <f>"2"</f>
        <v>2</v>
      </c>
      <c r="D8" t="str">
        <f t="shared" si="0"/>
        <v>3</v>
      </c>
      <c r="E8" t="str">
        <f>"2"</f>
        <v>2</v>
      </c>
      <c r="F8" s="1">
        <v>27982582753.59</v>
      </c>
    </row>
    <row r="9" spans="1:6" x14ac:dyDescent="0.25">
      <c r="A9" t="str">
        <f>"1002"</f>
        <v>1002</v>
      </c>
      <c r="B9" t="str">
        <f>"Банкноты и монеты в пути"</f>
        <v>Банкноты и монеты в пути</v>
      </c>
      <c r="C9" t="str">
        <f>"2"</f>
        <v>2</v>
      </c>
      <c r="D9" t="str">
        <f t="shared" si="0"/>
        <v>3</v>
      </c>
      <c r="E9" t="str">
        <f>"2"</f>
        <v>2</v>
      </c>
      <c r="F9" s="1">
        <v>2421442315.5799999</v>
      </c>
    </row>
    <row r="10" spans="1:6" x14ac:dyDescent="0.25">
      <c r="A10" t="str">
        <f>"1002"</f>
        <v>1002</v>
      </c>
      <c r="B10" t="str">
        <f>"Банкноты и монеты в пути"</f>
        <v>Банкноты и монеты в пути</v>
      </c>
      <c r="C10" t="str">
        <f>"1"</f>
        <v>1</v>
      </c>
      <c r="D10" t="str">
        <f t="shared" si="0"/>
        <v>3</v>
      </c>
      <c r="E10" t="str">
        <f>"1"</f>
        <v>1</v>
      </c>
      <c r="F10" s="1">
        <v>5326595695.6099997</v>
      </c>
    </row>
    <row r="11" spans="1:6" x14ac:dyDescent="0.25">
      <c r="A11" t="str">
        <f>"1002"</f>
        <v>1002</v>
      </c>
      <c r="B11" t="str">
        <f>"Банкноты и монеты в пути"</f>
        <v>Банкноты и монеты в пути</v>
      </c>
      <c r="C11" t="str">
        <f>"2"</f>
        <v>2</v>
      </c>
      <c r="D11" t="str">
        <f t="shared" si="0"/>
        <v>3</v>
      </c>
      <c r="E11" t="str">
        <f>"3"</f>
        <v>3</v>
      </c>
      <c r="F11" s="1">
        <v>61483412.799999997</v>
      </c>
    </row>
    <row r="12" spans="1:6" x14ac:dyDescent="0.25">
      <c r="A12" t="str">
        <f>"1005"</f>
        <v>1005</v>
      </c>
      <c r="B12" t="str">
        <f>"Наличность в банкоматах и электронных терминалах"</f>
        <v>Наличность в банкоматах и электронных терминалах</v>
      </c>
      <c r="C12" t="str">
        <f>"1"</f>
        <v>1</v>
      </c>
      <c r="D12" t="str">
        <f t="shared" si="0"/>
        <v>3</v>
      </c>
      <c r="E12" t="str">
        <f>"1"</f>
        <v>1</v>
      </c>
      <c r="F12" s="1">
        <v>7392672002.5600004</v>
      </c>
    </row>
    <row r="13" spans="1:6" x14ac:dyDescent="0.25">
      <c r="A13" t="str">
        <f>"1005"</f>
        <v>1005</v>
      </c>
      <c r="B13" t="str">
        <f>"Наличность в банкоматах и электронных терминалах"</f>
        <v>Наличность в банкоматах и электронных терминалах</v>
      </c>
      <c r="C13" t="str">
        <f>"2"</f>
        <v>2</v>
      </c>
      <c r="D13" t="str">
        <f t="shared" si="0"/>
        <v>3</v>
      </c>
      <c r="E13" t="str">
        <f>"2"</f>
        <v>2</v>
      </c>
      <c r="F13" s="1">
        <v>4683018.9000000004</v>
      </c>
    </row>
    <row r="14" spans="1:6" x14ac:dyDescent="0.25">
      <c r="A14" t="str">
        <f>"1011"</f>
        <v>1011</v>
      </c>
      <c r="B14" t="str">
        <f>"Аффинированные драгоценные металлы"</f>
        <v>Аффинированные драгоценные металлы</v>
      </c>
      <c r="C14" t="str">
        <f>""</f>
        <v/>
      </c>
      <c r="D14" t="str">
        <f>""</f>
        <v/>
      </c>
      <c r="E14" t="str">
        <f>""</f>
        <v/>
      </c>
      <c r="F14" s="1">
        <v>188358189.15000001</v>
      </c>
    </row>
    <row r="15" spans="1:6" x14ac:dyDescent="0.25">
      <c r="A15" t="str">
        <f>"1051"</f>
        <v>1051</v>
      </c>
      <c r="B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5" t="str">
        <f t="shared" ref="C15:C21" si="1">"1"</f>
        <v>1</v>
      </c>
      <c r="D15" t="str">
        <f>"3"</f>
        <v>3</v>
      </c>
      <c r="E15" t="str">
        <f>"1"</f>
        <v>1</v>
      </c>
      <c r="F15" s="1">
        <v>23984032331.060001</v>
      </c>
    </row>
    <row r="16" spans="1:6" x14ac:dyDescent="0.25">
      <c r="A16" t="str">
        <f>"1051"</f>
        <v>1051</v>
      </c>
      <c r="B16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6" t="str">
        <f t="shared" si="1"/>
        <v>1</v>
      </c>
      <c r="D16" t="str">
        <f>"3"</f>
        <v>3</v>
      </c>
      <c r="E16" t="str">
        <f>"2"</f>
        <v>2</v>
      </c>
      <c r="F16" s="1">
        <v>2693389330.4299998</v>
      </c>
    </row>
    <row r="17" spans="1:6" x14ac:dyDescent="0.25">
      <c r="A17" t="str">
        <f>"1051"</f>
        <v>1051</v>
      </c>
      <c r="B1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7" t="str">
        <f t="shared" si="1"/>
        <v>1</v>
      </c>
      <c r="D17" t="str">
        <f>"3"</f>
        <v>3</v>
      </c>
      <c r="E17" t="str">
        <f>"3"</f>
        <v>3</v>
      </c>
      <c r="F17" s="1">
        <v>153592528820.35001</v>
      </c>
    </row>
    <row r="18" spans="1:6" x14ac:dyDescent="0.25">
      <c r="A18" t="str">
        <f t="shared" ref="A18:A27" si="2">"1052"</f>
        <v>1052</v>
      </c>
      <c r="B18" t="str">
        <f t="shared" ref="B18:B27" si="3">"Корреспондентские счета в других банках"</f>
        <v>Корреспондентские счета в других банках</v>
      </c>
      <c r="C18" t="str">
        <f t="shared" si="1"/>
        <v>1</v>
      </c>
      <c r="D18" t="str">
        <f>"4"</f>
        <v>4</v>
      </c>
      <c r="E18" t="str">
        <f>"2"</f>
        <v>2</v>
      </c>
      <c r="F18" s="1">
        <v>14318924196.790001</v>
      </c>
    </row>
    <row r="19" spans="1:6" x14ac:dyDescent="0.25">
      <c r="A19" t="str">
        <f t="shared" si="2"/>
        <v>1052</v>
      </c>
      <c r="B19" t="str">
        <f t="shared" si="3"/>
        <v>Корреспондентские счета в других банках</v>
      </c>
      <c r="C19" t="str">
        <f t="shared" si="1"/>
        <v>1</v>
      </c>
      <c r="D19" t="str">
        <f>"4"</f>
        <v>4</v>
      </c>
      <c r="E19" t="str">
        <f>"1"</f>
        <v>1</v>
      </c>
      <c r="F19" s="1">
        <v>4066048692.8000002</v>
      </c>
    </row>
    <row r="20" spans="1:6" x14ac:dyDescent="0.25">
      <c r="A20" t="str">
        <f t="shared" si="2"/>
        <v>1052</v>
      </c>
      <c r="B20" t="str">
        <f t="shared" si="3"/>
        <v>Корреспондентские счета в других банках</v>
      </c>
      <c r="C20" t="str">
        <f t="shared" si="1"/>
        <v>1</v>
      </c>
      <c r="D20" t="str">
        <f>"4"</f>
        <v>4</v>
      </c>
      <c r="E20" t="str">
        <f>"3"</f>
        <v>3</v>
      </c>
      <c r="F20" s="1">
        <v>3100609.14</v>
      </c>
    </row>
    <row r="21" spans="1:6" x14ac:dyDescent="0.25">
      <c r="A21" t="str">
        <f t="shared" si="2"/>
        <v>1052</v>
      </c>
      <c r="B21" t="str">
        <f t="shared" si="3"/>
        <v>Корреспондентские счета в других банках</v>
      </c>
      <c r="C21" t="str">
        <f t="shared" si="1"/>
        <v>1</v>
      </c>
      <c r="D21" t="str">
        <f>"5"</f>
        <v>5</v>
      </c>
      <c r="E21" t="str">
        <f>"2"</f>
        <v>2</v>
      </c>
      <c r="F21" s="1">
        <v>1198673289.46</v>
      </c>
    </row>
    <row r="22" spans="1:6" x14ac:dyDescent="0.25">
      <c r="A22" t="str">
        <f t="shared" si="2"/>
        <v>1052</v>
      </c>
      <c r="B22" t="str">
        <f t="shared" si="3"/>
        <v>Корреспондентские счета в других банках</v>
      </c>
      <c r="C22" t="str">
        <f t="shared" ref="C22:C31" si="4">"2"</f>
        <v>2</v>
      </c>
      <c r="D22" t="str">
        <f>"3"</f>
        <v>3</v>
      </c>
      <c r="E22" t="str">
        <f>"1"</f>
        <v>1</v>
      </c>
      <c r="F22" s="1">
        <v>1495000</v>
      </c>
    </row>
    <row r="23" spans="1:6" x14ac:dyDescent="0.25">
      <c r="A23" t="str">
        <f t="shared" si="2"/>
        <v>1052</v>
      </c>
      <c r="B23" t="str">
        <f t="shared" si="3"/>
        <v>Корреспондентские счета в других банках</v>
      </c>
      <c r="C23" t="str">
        <f t="shared" si="4"/>
        <v>2</v>
      </c>
      <c r="D23" t="str">
        <f>"4"</f>
        <v>4</v>
      </c>
      <c r="E23" t="str">
        <f>"3"</f>
        <v>3</v>
      </c>
      <c r="F23" s="1">
        <v>21825245098.290001</v>
      </c>
    </row>
    <row r="24" spans="1:6" x14ac:dyDescent="0.25">
      <c r="A24" t="str">
        <f t="shared" si="2"/>
        <v>1052</v>
      </c>
      <c r="B24" t="str">
        <f t="shared" si="3"/>
        <v>Корреспондентские счета в других банках</v>
      </c>
      <c r="C24" t="str">
        <f t="shared" si="4"/>
        <v>2</v>
      </c>
      <c r="D24" t="str">
        <f>"3"</f>
        <v>3</v>
      </c>
      <c r="E24" t="str">
        <f>"3"</f>
        <v>3</v>
      </c>
      <c r="F24" s="1">
        <v>1952003409.1199999</v>
      </c>
    </row>
    <row r="25" spans="1:6" x14ac:dyDescent="0.25">
      <c r="A25" t="str">
        <f t="shared" si="2"/>
        <v>1052</v>
      </c>
      <c r="B25" t="str">
        <f t="shared" si="3"/>
        <v>Корреспондентские счета в других банках</v>
      </c>
      <c r="C25" t="str">
        <f t="shared" si="4"/>
        <v>2</v>
      </c>
      <c r="D25" t="str">
        <f>"4"</f>
        <v>4</v>
      </c>
      <c r="E25" t="str">
        <f>"2"</f>
        <v>2</v>
      </c>
      <c r="F25" s="1">
        <v>209111714078.42001</v>
      </c>
    </row>
    <row r="26" spans="1:6" x14ac:dyDescent="0.25">
      <c r="A26" t="str">
        <f t="shared" si="2"/>
        <v>1052</v>
      </c>
      <c r="B26" t="str">
        <f t="shared" si="3"/>
        <v>Корреспондентские счета в других банках</v>
      </c>
      <c r="C26" t="str">
        <f t="shared" si="4"/>
        <v>2</v>
      </c>
      <c r="D26" t="str">
        <f>"5"</f>
        <v>5</v>
      </c>
      <c r="E26" t="str">
        <f>"3"</f>
        <v>3</v>
      </c>
      <c r="F26" s="1">
        <v>63534824.350000001</v>
      </c>
    </row>
    <row r="27" spans="1:6" x14ac:dyDescent="0.25">
      <c r="A27" t="str">
        <f t="shared" si="2"/>
        <v>1052</v>
      </c>
      <c r="B27" t="str">
        <f t="shared" si="3"/>
        <v>Корреспондентские счета в других банках</v>
      </c>
      <c r="C27" t="str">
        <f t="shared" si="4"/>
        <v>2</v>
      </c>
      <c r="D27" t="str">
        <f>"5"</f>
        <v>5</v>
      </c>
      <c r="E27" t="str">
        <f>"2"</f>
        <v>2</v>
      </c>
      <c r="F27" s="1">
        <v>293459940.16000003</v>
      </c>
    </row>
    <row r="28" spans="1:6" x14ac:dyDescent="0.25">
      <c r="A28" t="str">
        <f>"1054"</f>
        <v>1054</v>
      </c>
      <c r="B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8" t="str">
        <f t="shared" si="4"/>
        <v>2</v>
      </c>
      <c r="D28" t="str">
        <f>"5"</f>
        <v>5</v>
      </c>
      <c r="E28" t="str">
        <f>"2"</f>
        <v>2</v>
      </c>
      <c r="F28" s="1">
        <v>-141207.1</v>
      </c>
    </row>
    <row r="29" spans="1:6" x14ac:dyDescent="0.25">
      <c r="A29" t="str">
        <f>"1054"</f>
        <v>1054</v>
      </c>
      <c r="B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9" t="str">
        <f t="shared" si="4"/>
        <v>2</v>
      </c>
      <c r="D29" t="str">
        <f>"4"</f>
        <v>4</v>
      </c>
      <c r="E29" t="str">
        <f>"2"</f>
        <v>2</v>
      </c>
      <c r="F29" s="1">
        <v>-455574354.94999999</v>
      </c>
    </row>
    <row r="30" spans="1:6" x14ac:dyDescent="0.25">
      <c r="A30" t="str">
        <f>"1054"</f>
        <v>1054</v>
      </c>
      <c r="B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t="str">
        <f t="shared" si="4"/>
        <v>2</v>
      </c>
      <c r="D30" t="str">
        <f>"4"</f>
        <v>4</v>
      </c>
      <c r="E30" t="str">
        <f>"3"</f>
        <v>3</v>
      </c>
      <c r="F30" s="1">
        <v>-39101050.219999999</v>
      </c>
    </row>
    <row r="31" spans="1:6" x14ac:dyDescent="0.25">
      <c r="A31" t="str">
        <f>"1054"</f>
        <v>1054</v>
      </c>
      <c r="B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1" t="str">
        <f t="shared" si="4"/>
        <v>2</v>
      </c>
      <c r="D31" t="str">
        <f>"5"</f>
        <v>5</v>
      </c>
      <c r="E31" t="str">
        <f>"3"</f>
        <v>3</v>
      </c>
      <c r="F31" s="1">
        <v>-33292.82</v>
      </c>
    </row>
    <row r="32" spans="1:6" x14ac:dyDescent="0.25">
      <c r="A32" t="str">
        <f>"1055"</f>
        <v>1055</v>
      </c>
      <c r="B3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2" t="str">
        <f>"1"</f>
        <v>1</v>
      </c>
      <c r="D32" t="str">
        <f>"3"</f>
        <v>3</v>
      </c>
      <c r="E32" t="str">
        <f>"1"</f>
        <v>1</v>
      </c>
      <c r="F32" s="1">
        <v>1629464336.5899999</v>
      </c>
    </row>
    <row r="33" spans="1:6" x14ac:dyDescent="0.25">
      <c r="A33" t="str">
        <f>"1101"</f>
        <v>1101</v>
      </c>
      <c r="B3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C33" t="str">
        <f>"1"</f>
        <v>1</v>
      </c>
      <c r="D33" t="str">
        <f>"3"</f>
        <v>3</v>
      </c>
      <c r="E33" t="str">
        <f>"1"</f>
        <v>1</v>
      </c>
      <c r="F33" s="1">
        <v>10000000000</v>
      </c>
    </row>
    <row r="34" spans="1:6" x14ac:dyDescent="0.25">
      <c r="A34" t="str">
        <f>"1103"</f>
        <v>1103</v>
      </c>
      <c r="B3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34" t="str">
        <f>"1"</f>
        <v>1</v>
      </c>
      <c r="D34" t="str">
        <f>"3"</f>
        <v>3</v>
      </c>
      <c r="E34" t="str">
        <f>"2"</f>
        <v>2</v>
      </c>
      <c r="F34" s="1">
        <v>199277400000</v>
      </c>
    </row>
    <row r="35" spans="1:6" x14ac:dyDescent="0.25">
      <c r="A35" t="str">
        <f>"1251"</f>
        <v>1251</v>
      </c>
      <c r="B35" t="str">
        <f>"Вклады, размещенные в других банках (на одну ночь)"</f>
        <v>Вклады, размещенные в других банках (на одну ночь)</v>
      </c>
      <c r="C35" t="str">
        <f>"1"</f>
        <v>1</v>
      </c>
      <c r="D35" t="str">
        <f>"4"</f>
        <v>4</v>
      </c>
      <c r="E35" t="str">
        <f>"1"</f>
        <v>1</v>
      </c>
      <c r="F35" s="1">
        <v>3000000000</v>
      </c>
    </row>
    <row r="36" spans="1:6" x14ac:dyDescent="0.25">
      <c r="A36" t="str">
        <f>"1252"</f>
        <v>1252</v>
      </c>
      <c r="B36" t="str">
        <f>"Вклады до востребования, размещенные в других банках"</f>
        <v>Вклады до востребования, размещенные в других банках</v>
      </c>
      <c r="C36" t="str">
        <f>"2"</f>
        <v>2</v>
      </c>
      <c r="D36" t="str">
        <f>"4"</f>
        <v>4</v>
      </c>
      <c r="E36" t="str">
        <f>"3"</f>
        <v>3</v>
      </c>
      <c r="F36" s="1">
        <v>7800000000</v>
      </c>
    </row>
    <row r="37" spans="1:6" x14ac:dyDescent="0.25">
      <c r="A37" t="str">
        <f>"1253"</f>
        <v>1253</v>
      </c>
      <c r="B3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C37" t="str">
        <f>"2"</f>
        <v>2</v>
      </c>
      <c r="D37" t="str">
        <f>"4"</f>
        <v>4</v>
      </c>
      <c r="E37" t="str">
        <f>"2"</f>
        <v>2</v>
      </c>
      <c r="F37" s="1">
        <v>4744700000</v>
      </c>
    </row>
    <row r="38" spans="1:6" x14ac:dyDescent="0.25">
      <c r="A38" t="str">
        <f>"1259"</f>
        <v>1259</v>
      </c>
      <c r="B3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8" t="str">
        <f>"2"</f>
        <v>2</v>
      </c>
      <c r="D38" t="str">
        <f>"4"</f>
        <v>4</v>
      </c>
      <c r="E38" t="str">
        <f>"3"</f>
        <v>3</v>
      </c>
      <c r="F38" s="1">
        <v>-78000</v>
      </c>
    </row>
    <row r="39" spans="1:6" x14ac:dyDescent="0.25">
      <c r="A39" t="str">
        <f>"1259"</f>
        <v>1259</v>
      </c>
      <c r="B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9" t="str">
        <f>"2"</f>
        <v>2</v>
      </c>
      <c r="D39" t="str">
        <f>"4"</f>
        <v>4</v>
      </c>
      <c r="E39" t="str">
        <f>"2"</f>
        <v>2</v>
      </c>
      <c r="F39" s="1">
        <v>-2183411.2999999998</v>
      </c>
    </row>
    <row r="40" spans="1:6" x14ac:dyDescent="0.25">
      <c r="A40" t="str">
        <f>"1259"</f>
        <v>1259</v>
      </c>
      <c r="B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40" t="str">
        <f>"2"</f>
        <v>2</v>
      </c>
      <c r="D40" t="str">
        <f>"5"</f>
        <v>5</v>
      </c>
      <c r="E40" t="str">
        <f>"2"</f>
        <v>2</v>
      </c>
      <c r="F40" s="1">
        <v>-2859787.26</v>
      </c>
    </row>
    <row r="41" spans="1:6" x14ac:dyDescent="0.25">
      <c r="A41" t="str">
        <f>"1267"</f>
        <v>1267</v>
      </c>
      <c r="B4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1" t="str">
        <f>"1"</f>
        <v>1</v>
      </c>
      <c r="D41" t="str">
        <f>"5"</f>
        <v>5</v>
      </c>
      <c r="E41" t="str">
        <f>"1"</f>
        <v>1</v>
      </c>
      <c r="F41" s="1">
        <v>60000000</v>
      </c>
    </row>
    <row r="42" spans="1:6" x14ac:dyDescent="0.25">
      <c r="A42" t="str">
        <f>"1267"</f>
        <v>1267</v>
      </c>
      <c r="B4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2" t="str">
        <f>"2"</f>
        <v>2</v>
      </c>
      <c r="D42" t="str">
        <f>"5"</f>
        <v>5</v>
      </c>
      <c r="E42" t="str">
        <f>"3"</f>
        <v>3</v>
      </c>
      <c r="F42" s="1">
        <v>31375629522.5</v>
      </c>
    </row>
    <row r="43" spans="1:6" x14ac:dyDescent="0.25">
      <c r="A43" t="str">
        <f>"1267"</f>
        <v>1267</v>
      </c>
      <c r="B4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3" t="str">
        <f>"2"</f>
        <v>2</v>
      </c>
      <c r="D43" t="str">
        <f>"5"</f>
        <v>5</v>
      </c>
      <c r="E43" t="str">
        <f>"2"</f>
        <v>2</v>
      </c>
      <c r="F43" s="1">
        <v>11366940557.639999</v>
      </c>
    </row>
    <row r="44" spans="1:6" x14ac:dyDescent="0.25">
      <c r="A44" t="str">
        <f>"1267"</f>
        <v>1267</v>
      </c>
      <c r="B4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4" t="str">
        <f>"1"</f>
        <v>1</v>
      </c>
      <c r="D44" t="str">
        <f>"7"</f>
        <v>7</v>
      </c>
      <c r="E44" t="str">
        <f>"1"</f>
        <v>1</v>
      </c>
      <c r="F44" s="1">
        <v>20000000</v>
      </c>
    </row>
    <row r="45" spans="1:6" x14ac:dyDescent="0.25">
      <c r="A45" t="str">
        <f>"1267"</f>
        <v>1267</v>
      </c>
      <c r="B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5" t="str">
        <f t="shared" ref="C45:C50" si="5">"2"</f>
        <v>2</v>
      </c>
      <c r="D45" t="str">
        <f>"5"</f>
        <v>5</v>
      </c>
      <c r="E45" t="str">
        <f>"1"</f>
        <v>1</v>
      </c>
      <c r="F45" s="1">
        <v>490814800</v>
      </c>
    </row>
    <row r="46" spans="1:6" x14ac:dyDescent="0.25">
      <c r="A46" t="str">
        <f>"1302"</f>
        <v>1302</v>
      </c>
      <c r="B46" t="str">
        <f>"Краткосрочные займы, предоставленные другим банкам"</f>
        <v>Краткосрочные займы, предоставленные другим банкам</v>
      </c>
      <c r="C46" t="str">
        <f t="shared" si="5"/>
        <v>2</v>
      </c>
      <c r="D46" t="str">
        <f>"4"</f>
        <v>4</v>
      </c>
      <c r="E46" t="str">
        <f>"2"</f>
        <v>2</v>
      </c>
      <c r="F46" s="1">
        <v>1210486643.53</v>
      </c>
    </row>
    <row r="47" spans="1:6" x14ac:dyDescent="0.25">
      <c r="A47" t="str">
        <f>"1304"</f>
        <v>1304</v>
      </c>
      <c r="B47" t="str">
        <f>"Долгосрочные займы, предоставленные другим банкам"</f>
        <v>Долгосрочные займы, предоставленные другим банкам</v>
      </c>
      <c r="C47" t="str">
        <f t="shared" si="5"/>
        <v>2</v>
      </c>
      <c r="D47" t="str">
        <f>"4"</f>
        <v>4</v>
      </c>
      <c r="E47" t="str">
        <f>"2"</f>
        <v>2</v>
      </c>
      <c r="F47" s="1">
        <v>577271834.90999997</v>
      </c>
    </row>
    <row r="48" spans="1:6" x14ac:dyDescent="0.25">
      <c r="A48" t="str">
        <f>"1306"</f>
        <v>1306</v>
      </c>
      <c r="B48" t="str">
        <f>"Просроченная задолженность других банков по займам"</f>
        <v>Просроченная задолженность других банков по займам</v>
      </c>
      <c r="C48" t="str">
        <f t="shared" si="5"/>
        <v>2</v>
      </c>
      <c r="D48" t="str">
        <f>"4"</f>
        <v>4</v>
      </c>
      <c r="E48" t="str">
        <f>"2"</f>
        <v>2</v>
      </c>
      <c r="F48" s="1">
        <v>288635915.08999997</v>
      </c>
    </row>
    <row r="49" spans="1:6" x14ac:dyDescent="0.25">
      <c r="A49" t="str">
        <f>"1319"</f>
        <v>1319</v>
      </c>
      <c r="B4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C49" t="str">
        <f t="shared" si="5"/>
        <v>2</v>
      </c>
      <c r="D49" t="str">
        <f>"4"</f>
        <v>4</v>
      </c>
      <c r="E49" t="str">
        <f>"2"</f>
        <v>2</v>
      </c>
      <c r="F49" s="1">
        <v>-91294604.150000006</v>
      </c>
    </row>
    <row r="50" spans="1:6" x14ac:dyDescent="0.25">
      <c r="A50" t="str">
        <f>"1403"</f>
        <v>1403</v>
      </c>
      <c r="B50" t="str">
        <f>"Счета по кредитным карточкам клиентов"</f>
        <v>Счета по кредитным карточкам клиентов</v>
      </c>
      <c r="C50" t="str">
        <f t="shared" si="5"/>
        <v>2</v>
      </c>
      <c r="D50" t="str">
        <f>"9"</f>
        <v>9</v>
      </c>
      <c r="E50" t="str">
        <f>"1"</f>
        <v>1</v>
      </c>
      <c r="F50" s="1">
        <v>3397346.7</v>
      </c>
    </row>
    <row r="51" spans="1:6" x14ac:dyDescent="0.25">
      <c r="A51" t="str">
        <f>"1403"</f>
        <v>1403</v>
      </c>
      <c r="B51" t="str">
        <f>"Счета по кредитным карточкам клиентов"</f>
        <v>Счета по кредитным карточкам клиентов</v>
      </c>
      <c r="C51" t="str">
        <f t="shared" ref="C51:C59" si="6">"1"</f>
        <v>1</v>
      </c>
      <c r="D51" t="str">
        <f>"9"</f>
        <v>9</v>
      </c>
      <c r="E51" t="str">
        <f>"1"</f>
        <v>1</v>
      </c>
      <c r="F51" s="1">
        <v>2932700914.3899999</v>
      </c>
    </row>
    <row r="52" spans="1:6" x14ac:dyDescent="0.25">
      <c r="A52" t="str">
        <f>"1411"</f>
        <v>1411</v>
      </c>
      <c r="B52" t="str">
        <f>"Краткосрочные займы, предоставленные клиентам"</f>
        <v>Краткосрочные займы, предоставленные клиентам</v>
      </c>
      <c r="C52" t="str">
        <f t="shared" si="6"/>
        <v>1</v>
      </c>
      <c r="D52" t="str">
        <f>"7"</f>
        <v>7</v>
      </c>
      <c r="E52" t="str">
        <f>"1"</f>
        <v>1</v>
      </c>
      <c r="F52" s="1">
        <v>2242020450.5799999</v>
      </c>
    </row>
    <row r="53" spans="1:6" x14ac:dyDescent="0.25">
      <c r="A53" t="str">
        <f>"1411"</f>
        <v>1411</v>
      </c>
      <c r="B53" t="str">
        <f>"Краткосрочные займы, предоставленные клиентам"</f>
        <v>Краткосрочные займы, предоставленные клиентам</v>
      </c>
      <c r="C53" t="str">
        <f t="shared" si="6"/>
        <v>1</v>
      </c>
      <c r="D53" t="str">
        <f>"9"</f>
        <v>9</v>
      </c>
      <c r="E53" t="str">
        <f>"1"</f>
        <v>1</v>
      </c>
      <c r="F53" s="1">
        <v>3362493419.8200002</v>
      </c>
    </row>
    <row r="54" spans="1:6" x14ac:dyDescent="0.25">
      <c r="A54" t="str">
        <f t="shared" ref="A54:A64" si="7">"1417"</f>
        <v>1417</v>
      </c>
      <c r="B54" t="str">
        <f t="shared" ref="B54:B64" si="8">"Долгосрочные займы, предоставленные клиентам"</f>
        <v>Долгосрочные займы, предоставленные клиентам</v>
      </c>
      <c r="C54" t="str">
        <f t="shared" si="6"/>
        <v>1</v>
      </c>
      <c r="D54" t="str">
        <f>"5"</f>
        <v>5</v>
      </c>
      <c r="E54" t="str">
        <f>"2"</f>
        <v>2</v>
      </c>
      <c r="F54" s="1">
        <v>15945518091.639999</v>
      </c>
    </row>
    <row r="55" spans="1:6" x14ac:dyDescent="0.25">
      <c r="A55" t="str">
        <f t="shared" si="7"/>
        <v>1417</v>
      </c>
      <c r="B55" t="str">
        <f t="shared" si="8"/>
        <v>Долгосрочные займы, предоставленные клиентам</v>
      </c>
      <c r="C55" t="str">
        <f t="shared" si="6"/>
        <v>1</v>
      </c>
      <c r="D55" t="str">
        <f>"5"</f>
        <v>5</v>
      </c>
      <c r="E55" t="str">
        <f>"1"</f>
        <v>1</v>
      </c>
      <c r="F55" s="1">
        <v>11833911998.549999</v>
      </c>
    </row>
    <row r="56" spans="1:6" x14ac:dyDescent="0.25">
      <c r="A56" t="str">
        <f t="shared" si="7"/>
        <v>1417</v>
      </c>
      <c r="B56" t="str">
        <f t="shared" si="8"/>
        <v>Долгосрочные займы, предоставленные клиентам</v>
      </c>
      <c r="C56" t="str">
        <f t="shared" si="6"/>
        <v>1</v>
      </c>
      <c r="D56" t="str">
        <f>"6"</f>
        <v>6</v>
      </c>
      <c r="E56" t="str">
        <f>"1"</f>
        <v>1</v>
      </c>
      <c r="F56" s="1">
        <v>6707472037.6999998</v>
      </c>
    </row>
    <row r="57" spans="1:6" x14ac:dyDescent="0.25">
      <c r="A57" t="str">
        <f t="shared" si="7"/>
        <v>1417</v>
      </c>
      <c r="B57" t="str">
        <f t="shared" si="8"/>
        <v>Долгосрочные займы, предоставленные клиентам</v>
      </c>
      <c r="C57" t="str">
        <f t="shared" si="6"/>
        <v>1</v>
      </c>
      <c r="D57" t="str">
        <f>"7"</f>
        <v>7</v>
      </c>
      <c r="E57" t="str">
        <f>"1"</f>
        <v>1</v>
      </c>
      <c r="F57" s="1">
        <v>292774342200.65997</v>
      </c>
    </row>
    <row r="58" spans="1:6" x14ac:dyDescent="0.25">
      <c r="A58" t="str">
        <f t="shared" si="7"/>
        <v>1417</v>
      </c>
      <c r="B58" t="str">
        <f t="shared" si="8"/>
        <v>Долгосрочные займы, предоставленные клиентам</v>
      </c>
      <c r="C58" t="str">
        <f t="shared" si="6"/>
        <v>1</v>
      </c>
      <c r="D58" t="str">
        <f>"9"</f>
        <v>9</v>
      </c>
      <c r="E58" t="str">
        <f>"1"</f>
        <v>1</v>
      </c>
      <c r="F58" s="1">
        <v>958836105696.79004</v>
      </c>
    </row>
    <row r="59" spans="1:6" x14ac:dyDescent="0.25">
      <c r="A59" t="str">
        <f t="shared" si="7"/>
        <v>1417</v>
      </c>
      <c r="B59" t="str">
        <f t="shared" si="8"/>
        <v>Долгосрочные займы, предоставленные клиентам</v>
      </c>
      <c r="C59" t="str">
        <f t="shared" si="6"/>
        <v>1</v>
      </c>
      <c r="D59" t="str">
        <f>"7"</f>
        <v>7</v>
      </c>
      <c r="E59" t="str">
        <f>"2"</f>
        <v>2</v>
      </c>
      <c r="F59" s="1">
        <v>31305387166.91</v>
      </c>
    </row>
    <row r="60" spans="1:6" x14ac:dyDescent="0.25">
      <c r="A60" t="str">
        <f t="shared" si="7"/>
        <v>1417</v>
      </c>
      <c r="B60" t="str">
        <f t="shared" si="8"/>
        <v>Долгосрочные займы, предоставленные клиентам</v>
      </c>
      <c r="C60" t="str">
        <f>"2"</f>
        <v>2</v>
      </c>
      <c r="D60" t="str">
        <f>"7"</f>
        <v>7</v>
      </c>
      <c r="E60" t="str">
        <f>"1"</f>
        <v>1</v>
      </c>
      <c r="F60" s="1">
        <v>4048000000</v>
      </c>
    </row>
    <row r="61" spans="1:6" x14ac:dyDescent="0.25">
      <c r="A61" t="str">
        <f t="shared" si="7"/>
        <v>1417</v>
      </c>
      <c r="B61" t="str">
        <f t="shared" si="8"/>
        <v>Долгосрочные займы, предоставленные клиентам</v>
      </c>
      <c r="C61" t="str">
        <f>"2"</f>
        <v>2</v>
      </c>
      <c r="D61" t="str">
        <f>"7"</f>
        <v>7</v>
      </c>
      <c r="E61" t="str">
        <f>"3"</f>
        <v>3</v>
      </c>
      <c r="F61" s="1">
        <v>1209541903.8</v>
      </c>
    </row>
    <row r="62" spans="1:6" x14ac:dyDescent="0.25">
      <c r="A62" t="str">
        <f t="shared" si="7"/>
        <v>1417</v>
      </c>
      <c r="B62" t="str">
        <f t="shared" si="8"/>
        <v>Долгосрочные займы, предоставленные клиентам</v>
      </c>
      <c r="C62" t="str">
        <f>"2"</f>
        <v>2</v>
      </c>
      <c r="D62" t="str">
        <f>"7"</f>
        <v>7</v>
      </c>
      <c r="E62" t="str">
        <f>"2"</f>
        <v>2</v>
      </c>
      <c r="F62" s="1">
        <v>8662696265.2199993</v>
      </c>
    </row>
    <row r="63" spans="1:6" x14ac:dyDescent="0.25">
      <c r="A63" t="str">
        <f t="shared" si="7"/>
        <v>1417</v>
      </c>
      <c r="B63" t="str">
        <f t="shared" si="8"/>
        <v>Долгосрочные займы, предоставленные клиентам</v>
      </c>
      <c r="C63" t="str">
        <f>"2"</f>
        <v>2</v>
      </c>
      <c r="D63" t="str">
        <f>"9"</f>
        <v>9</v>
      </c>
      <c r="E63" t="str">
        <f>"1"</f>
        <v>1</v>
      </c>
      <c r="F63" s="1">
        <v>13993976.060000001</v>
      </c>
    </row>
    <row r="64" spans="1:6" x14ac:dyDescent="0.25">
      <c r="A64" t="str">
        <f t="shared" si="7"/>
        <v>1417</v>
      </c>
      <c r="B64" t="str">
        <f t="shared" si="8"/>
        <v>Долгосрочные займы, предоставленные клиентам</v>
      </c>
      <c r="C64" t="str">
        <f>"2"</f>
        <v>2</v>
      </c>
      <c r="D64" t="str">
        <f>"9"</f>
        <v>9</v>
      </c>
      <c r="E64" t="str">
        <f>"2"</f>
        <v>2</v>
      </c>
      <c r="F64" s="1">
        <v>6049492500</v>
      </c>
    </row>
    <row r="65" spans="1:6" x14ac:dyDescent="0.25">
      <c r="A65" t="str">
        <f>"1424"</f>
        <v>1424</v>
      </c>
      <c r="B65" t="str">
        <f>"Просроченная задолженность клиентов по займам"</f>
        <v>Просроченная задолженность клиентов по займам</v>
      </c>
      <c r="C65" t="str">
        <f>"1"</f>
        <v>1</v>
      </c>
      <c r="D65" t="str">
        <f>"9"</f>
        <v>9</v>
      </c>
      <c r="E65" t="str">
        <f>"1"</f>
        <v>1</v>
      </c>
      <c r="F65" s="1">
        <v>20104645717.099998</v>
      </c>
    </row>
    <row r="66" spans="1:6" x14ac:dyDescent="0.25">
      <c r="A66" t="str">
        <f>"1424"</f>
        <v>1424</v>
      </c>
      <c r="B66" t="str">
        <f>"Просроченная задолженность клиентов по займам"</f>
        <v>Просроченная задолженность клиентов по займам</v>
      </c>
      <c r="C66" t="str">
        <f>"1"</f>
        <v>1</v>
      </c>
      <c r="D66" t="str">
        <f>"7"</f>
        <v>7</v>
      </c>
      <c r="E66" t="str">
        <f>"1"</f>
        <v>1</v>
      </c>
      <c r="F66" s="1">
        <v>7592210977.6899996</v>
      </c>
    </row>
    <row r="67" spans="1:6" x14ac:dyDescent="0.25">
      <c r="A67" t="str">
        <f>"1424"</f>
        <v>1424</v>
      </c>
      <c r="B67" t="str">
        <f>"Просроченная задолженность клиентов по займам"</f>
        <v>Просроченная задолженность клиентов по займам</v>
      </c>
      <c r="C67" t="str">
        <f>"1"</f>
        <v>1</v>
      </c>
      <c r="D67" t="str">
        <f>"9"</f>
        <v>9</v>
      </c>
      <c r="E67" t="str">
        <f>"2"</f>
        <v>2</v>
      </c>
      <c r="F67" s="1">
        <v>74858318.079999998</v>
      </c>
    </row>
    <row r="68" spans="1:6" x14ac:dyDescent="0.25">
      <c r="A68" t="str">
        <f>"1424"</f>
        <v>1424</v>
      </c>
      <c r="B68" t="str">
        <f>"Просроченная задолженность клиентов по займам"</f>
        <v>Просроченная задолженность клиентов по займам</v>
      </c>
      <c r="C68" t="str">
        <f>"2"</f>
        <v>2</v>
      </c>
      <c r="D68" t="str">
        <f>"9"</f>
        <v>9</v>
      </c>
      <c r="E68" t="str">
        <f>"1"</f>
        <v>1</v>
      </c>
      <c r="F68" s="1">
        <v>7870385.0499999998</v>
      </c>
    </row>
    <row r="69" spans="1:6" x14ac:dyDescent="0.25">
      <c r="A69" t="str">
        <f t="shared" ref="A69:A80" si="9">"1428"</f>
        <v>1428</v>
      </c>
      <c r="B69" t="str">
        <f t="shared" ref="B69:B80" si="10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69" t="str">
        <f t="shared" ref="C69:C74" si="11">"1"</f>
        <v>1</v>
      </c>
      <c r="D69" t="str">
        <f>"5"</f>
        <v>5</v>
      </c>
      <c r="E69" t="str">
        <f>"1"</f>
        <v>1</v>
      </c>
      <c r="F69" s="1">
        <v>-31765577.809999999</v>
      </c>
    </row>
    <row r="70" spans="1:6" x14ac:dyDescent="0.25">
      <c r="A70" t="str">
        <f t="shared" si="9"/>
        <v>1428</v>
      </c>
      <c r="B70" t="str">
        <f t="shared" si="10"/>
        <v>Резервы (провизии) по займам и финансовому лизингу, предоставленным клиентам</v>
      </c>
      <c r="C70" t="str">
        <f t="shared" si="11"/>
        <v>1</v>
      </c>
      <c r="D70" t="str">
        <f>"5"</f>
        <v>5</v>
      </c>
      <c r="E70" t="str">
        <f>"2"</f>
        <v>2</v>
      </c>
      <c r="F70" s="1">
        <v>-715844584.69000006</v>
      </c>
    </row>
    <row r="71" spans="1:6" x14ac:dyDescent="0.25">
      <c r="A71" t="str">
        <f t="shared" si="9"/>
        <v>1428</v>
      </c>
      <c r="B71" t="str">
        <f t="shared" si="10"/>
        <v>Резервы (провизии) по займам и финансовому лизингу, предоставленным клиентам</v>
      </c>
      <c r="C71" t="str">
        <f t="shared" si="11"/>
        <v>1</v>
      </c>
      <c r="D71" t="str">
        <f>"9"</f>
        <v>9</v>
      </c>
      <c r="E71" t="str">
        <f>"2"</f>
        <v>2</v>
      </c>
      <c r="F71" s="1">
        <v>-143347984.75999999</v>
      </c>
    </row>
    <row r="72" spans="1:6" x14ac:dyDescent="0.25">
      <c r="A72" t="str">
        <f t="shared" si="9"/>
        <v>1428</v>
      </c>
      <c r="B72" t="str">
        <f t="shared" si="10"/>
        <v>Резервы (провизии) по займам и финансовому лизингу, предоставленным клиентам</v>
      </c>
      <c r="C72" t="str">
        <f t="shared" si="11"/>
        <v>1</v>
      </c>
      <c r="D72" t="str">
        <f>"6"</f>
        <v>6</v>
      </c>
      <c r="E72" t="str">
        <f>"1"</f>
        <v>1</v>
      </c>
      <c r="F72" s="1">
        <v>-830641404.41999996</v>
      </c>
    </row>
    <row r="73" spans="1:6" x14ac:dyDescent="0.25">
      <c r="A73" t="str">
        <f t="shared" si="9"/>
        <v>1428</v>
      </c>
      <c r="B73" t="str">
        <f t="shared" si="10"/>
        <v>Резервы (провизии) по займам и финансовому лизингу, предоставленным клиентам</v>
      </c>
      <c r="C73" t="str">
        <f t="shared" si="11"/>
        <v>1</v>
      </c>
      <c r="D73" t="str">
        <f>"7"</f>
        <v>7</v>
      </c>
      <c r="E73" t="str">
        <f>"1"</f>
        <v>1</v>
      </c>
      <c r="F73" s="1">
        <v>-22403164677.950001</v>
      </c>
    </row>
    <row r="74" spans="1:6" x14ac:dyDescent="0.25">
      <c r="A74" t="str">
        <f t="shared" si="9"/>
        <v>1428</v>
      </c>
      <c r="B74" t="str">
        <f t="shared" si="10"/>
        <v>Резервы (провизии) по займам и финансовому лизингу, предоставленным клиентам</v>
      </c>
      <c r="C74" t="str">
        <f t="shared" si="11"/>
        <v>1</v>
      </c>
      <c r="D74" t="str">
        <f>"9"</f>
        <v>9</v>
      </c>
      <c r="E74" t="str">
        <f>"1"</f>
        <v>1</v>
      </c>
      <c r="F74" s="1">
        <v>-115628858221.85001</v>
      </c>
    </row>
    <row r="75" spans="1:6" x14ac:dyDescent="0.25">
      <c r="A75" t="str">
        <f t="shared" si="9"/>
        <v>1428</v>
      </c>
      <c r="B75" t="str">
        <f t="shared" si="10"/>
        <v>Резервы (провизии) по займам и финансовому лизингу, предоставленным клиентам</v>
      </c>
      <c r="C75" t="str">
        <f>"2"</f>
        <v>2</v>
      </c>
      <c r="D75" t="str">
        <f>"7"</f>
        <v>7</v>
      </c>
      <c r="E75" t="str">
        <f>"1"</f>
        <v>1</v>
      </c>
      <c r="F75" s="1">
        <v>-25353597.420000002</v>
      </c>
    </row>
    <row r="76" spans="1:6" x14ac:dyDescent="0.25">
      <c r="A76" t="str">
        <f t="shared" si="9"/>
        <v>1428</v>
      </c>
      <c r="B76" t="str">
        <f t="shared" si="10"/>
        <v>Резервы (провизии) по займам и финансовому лизингу, предоставленным клиентам</v>
      </c>
      <c r="C76" t="str">
        <f>"1"</f>
        <v>1</v>
      </c>
      <c r="D76" t="str">
        <f>"7"</f>
        <v>7</v>
      </c>
      <c r="E76" t="str">
        <f>"2"</f>
        <v>2</v>
      </c>
      <c r="F76" s="1">
        <v>-17059351462.75</v>
      </c>
    </row>
    <row r="77" spans="1:6" x14ac:dyDescent="0.25">
      <c r="A77" t="str">
        <f t="shared" si="9"/>
        <v>1428</v>
      </c>
      <c r="B77" t="str">
        <f t="shared" si="10"/>
        <v>Резервы (провизии) по займам и финансовому лизингу, предоставленным клиентам</v>
      </c>
      <c r="C77" t="str">
        <f>"2"</f>
        <v>2</v>
      </c>
      <c r="D77" t="str">
        <f>"9"</f>
        <v>9</v>
      </c>
      <c r="E77" t="str">
        <f>"2"</f>
        <v>2</v>
      </c>
      <c r="F77" s="1">
        <v>-87094.94</v>
      </c>
    </row>
    <row r="78" spans="1:6" x14ac:dyDescent="0.25">
      <c r="A78" t="str">
        <f t="shared" si="9"/>
        <v>1428</v>
      </c>
      <c r="B78" t="str">
        <f t="shared" si="10"/>
        <v>Резервы (провизии) по займам и финансовому лизингу, предоставленным клиентам</v>
      </c>
      <c r="C78" t="str">
        <f>"2"</f>
        <v>2</v>
      </c>
      <c r="D78" t="str">
        <f>"7"</f>
        <v>7</v>
      </c>
      <c r="E78" t="str">
        <f>"2"</f>
        <v>2</v>
      </c>
      <c r="F78" s="1">
        <v>-41615880.390000001</v>
      </c>
    </row>
    <row r="79" spans="1:6" x14ac:dyDescent="0.25">
      <c r="A79" t="str">
        <f t="shared" si="9"/>
        <v>1428</v>
      </c>
      <c r="B79" t="str">
        <f t="shared" si="10"/>
        <v>Резервы (провизии) по займам и финансовому лизингу, предоставленным клиентам</v>
      </c>
      <c r="C79" t="str">
        <f>"2"</f>
        <v>2</v>
      </c>
      <c r="D79" t="str">
        <f>"9"</f>
        <v>9</v>
      </c>
      <c r="E79" t="str">
        <f>"1"</f>
        <v>1</v>
      </c>
      <c r="F79" s="1">
        <v>-9473620.4399999995</v>
      </c>
    </row>
    <row r="80" spans="1:6" x14ac:dyDescent="0.25">
      <c r="A80" t="str">
        <f t="shared" si="9"/>
        <v>1428</v>
      </c>
      <c r="B80" t="str">
        <f t="shared" si="10"/>
        <v>Резервы (провизии) по займам и финансовому лизингу, предоставленным клиентам</v>
      </c>
      <c r="C80" t="str">
        <f>"2"</f>
        <v>2</v>
      </c>
      <c r="D80" t="str">
        <f>"7"</f>
        <v>7</v>
      </c>
      <c r="E80" t="str">
        <f>"3"</f>
        <v>3</v>
      </c>
      <c r="F80" s="1">
        <v>-4284263.41</v>
      </c>
    </row>
    <row r="81" spans="1:6" x14ac:dyDescent="0.25">
      <c r="A81" t="str">
        <f t="shared" ref="A81:A91" si="12">"1434"</f>
        <v>1434</v>
      </c>
      <c r="B81" t="str">
        <f t="shared" ref="B81:B91" si="13">"Дисконт по займам, предоставленным клиентам"</f>
        <v>Дисконт по займам, предоставленным клиентам</v>
      </c>
      <c r="C81" t="str">
        <f>"1"</f>
        <v>1</v>
      </c>
      <c r="D81" t="str">
        <f>"5"</f>
        <v>5</v>
      </c>
      <c r="E81" t="str">
        <f>"1"</f>
        <v>1</v>
      </c>
      <c r="F81" s="1">
        <v>-40674660.880000003</v>
      </c>
    </row>
    <row r="82" spans="1:6" x14ac:dyDescent="0.25">
      <c r="A82" t="str">
        <f t="shared" si="12"/>
        <v>1434</v>
      </c>
      <c r="B82" t="str">
        <f t="shared" si="13"/>
        <v>Дисконт по займам, предоставленным клиентам</v>
      </c>
      <c r="C82" t="str">
        <f>"2"</f>
        <v>2</v>
      </c>
      <c r="D82" t="str">
        <f>"7"</f>
        <v>7</v>
      </c>
      <c r="E82" t="str">
        <f>"2"</f>
        <v>2</v>
      </c>
      <c r="F82" s="1">
        <v>-33660416.640000001</v>
      </c>
    </row>
    <row r="83" spans="1:6" x14ac:dyDescent="0.25">
      <c r="A83" t="str">
        <f t="shared" si="12"/>
        <v>1434</v>
      </c>
      <c r="B83" t="str">
        <f t="shared" si="13"/>
        <v>Дисконт по займам, предоставленным клиентам</v>
      </c>
      <c r="C83" t="str">
        <f>"1"</f>
        <v>1</v>
      </c>
      <c r="D83" t="str">
        <f>"6"</f>
        <v>6</v>
      </c>
      <c r="E83" t="str">
        <f>"1"</f>
        <v>1</v>
      </c>
      <c r="F83" s="1">
        <v>-313453869.32999998</v>
      </c>
    </row>
    <row r="84" spans="1:6" x14ac:dyDescent="0.25">
      <c r="A84" t="str">
        <f t="shared" si="12"/>
        <v>1434</v>
      </c>
      <c r="B84" t="str">
        <f t="shared" si="13"/>
        <v>Дисконт по займам, предоставленным клиентам</v>
      </c>
      <c r="C84" t="str">
        <f>"1"</f>
        <v>1</v>
      </c>
      <c r="D84" t="str">
        <f>"9"</f>
        <v>9</v>
      </c>
      <c r="E84" t="str">
        <f>"2"</f>
        <v>2</v>
      </c>
      <c r="F84" s="1">
        <v>-8033745.0199999996</v>
      </c>
    </row>
    <row r="85" spans="1:6" x14ac:dyDescent="0.25">
      <c r="A85" t="str">
        <f t="shared" si="12"/>
        <v>1434</v>
      </c>
      <c r="B85" t="str">
        <f t="shared" si="13"/>
        <v>Дисконт по займам, предоставленным клиентам</v>
      </c>
      <c r="C85" t="str">
        <f>"1"</f>
        <v>1</v>
      </c>
      <c r="D85" t="str">
        <f>"5"</f>
        <v>5</v>
      </c>
      <c r="E85" t="str">
        <f>"2"</f>
        <v>2</v>
      </c>
      <c r="F85" s="1">
        <v>-70248970.129999995</v>
      </c>
    </row>
    <row r="86" spans="1:6" x14ac:dyDescent="0.25">
      <c r="A86" t="str">
        <f t="shared" si="12"/>
        <v>1434</v>
      </c>
      <c r="B86" t="str">
        <f t="shared" si="13"/>
        <v>Дисконт по займам, предоставленным клиентам</v>
      </c>
      <c r="C86" t="str">
        <f>"1"</f>
        <v>1</v>
      </c>
      <c r="D86" t="str">
        <f>"7"</f>
        <v>7</v>
      </c>
      <c r="E86" t="str">
        <f>"2"</f>
        <v>2</v>
      </c>
      <c r="F86" s="1">
        <v>-1619683658.54</v>
      </c>
    </row>
    <row r="87" spans="1:6" x14ac:dyDescent="0.25">
      <c r="A87" t="str">
        <f t="shared" si="12"/>
        <v>1434</v>
      </c>
      <c r="B87" t="str">
        <f t="shared" si="13"/>
        <v>Дисконт по займам, предоставленным клиентам</v>
      </c>
      <c r="C87" t="str">
        <f>"1"</f>
        <v>1</v>
      </c>
      <c r="D87" t="str">
        <f>"7"</f>
        <v>7</v>
      </c>
      <c r="E87" t="str">
        <f>"1"</f>
        <v>1</v>
      </c>
      <c r="F87" s="1">
        <v>-11129915666.59</v>
      </c>
    </row>
    <row r="88" spans="1:6" x14ac:dyDescent="0.25">
      <c r="A88" t="str">
        <f t="shared" si="12"/>
        <v>1434</v>
      </c>
      <c r="B88" t="str">
        <f t="shared" si="13"/>
        <v>Дисконт по займам, предоставленным клиентам</v>
      </c>
      <c r="C88" t="str">
        <f>"2"</f>
        <v>2</v>
      </c>
      <c r="D88" t="str">
        <f>"7"</f>
        <v>7</v>
      </c>
      <c r="E88" t="str">
        <f>"3"</f>
        <v>3</v>
      </c>
      <c r="F88" s="1">
        <v>-13989065.970000001</v>
      </c>
    </row>
    <row r="89" spans="1:6" x14ac:dyDescent="0.25">
      <c r="A89" t="str">
        <f t="shared" si="12"/>
        <v>1434</v>
      </c>
      <c r="B89" t="str">
        <f t="shared" si="13"/>
        <v>Дисконт по займам, предоставленным клиентам</v>
      </c>
      <c r="C89" t="str">
        <f>"1"</f>
        <v>1</v>
      </c>
      <c r="D89" t="str">
        <f>"9"</f>
        <v>9</v>
      </c>
      <c r="E89" t="str">
        <f>"1"</f>
        <v>1</v>
      </c>
      <c r="F89" s="1">
        <v>-16940310302.280001</v>
      </c>
    </row>
    <row r="90" spans="1:6" x14ac:dyDescent="0.25">
      <c r="A90" t="str">
        <f t="shared" si="12"/>
        <v>1434</v>
      </c>
      <c r="B90" t="str">
        <f t="shared" si="13"/>
        <v>Дисконт по займам, предоставленным клиентам</v>
      </c>
      <c r="C90" t="str">
        <f>"2"</f>
        <v>2</v>
      </c>
      <c r="D90" t="str">
        <f>"9"</f>
        <v>9</v>
      </c>
      <c r="E90" t="str">
        <f>"1"</f>
        <v>1</v>
      </c>
      <c r="F90" s="1">
        <v>-328848.68</v>
      </c>
    </row>
    <row r="91" spans="1:6" x14ac:dyDescent="0.25">
      <c r="A91" t="str">
        <f t="shared" si="12"/>
        <v>1434</v>
      </c>
      <c r="B91" t="str">
        <f t="shared" si="13"/>
        <v>Дисконт по займам, предоставленным клиентам</v>
      </c>
      <c r="C91" t="str">
        <f>"2"</f>
        <v>2</v>
      </c>
      <c r="D91" t="str">
        <f>"9"</f>
        <v>9</v>
      </c>
      <c r="E91" t="str">
        <f>"2"</f>
        <v>2</v>
      </c>
      <c r="F91" s="1">
        <v>-48395940</v>
      </c>
    </row>
    <row r="92" spans="1:6" x14ac:dyDescent="0.25">
      <c r="A92" t="str">
        <f>"1435"</f>
        <v>1435</v>
      </c>
      <c r="B92" t="str">
        <f>"Премия по займам, предоставленным клиентам"</f>
        <v>Премия по займам, предоставленным клиентам</v>
      </c>
      <c r="C92" t="str">
        <f>"1"</f>
        <v>1</v>
      </c>
      <c r="D92" t="str">
        <f>"7"</f>
        <v>7</v>
      </c>
      <c r="E92" t="str">
        <f>"1"</f>
        <v>1</v>
      </c>
      <c r="F92" s="1">
        <v>10403748.130000001</v>
      </c>
    </row>
    <row r="93" spans="1:6" x14ac:dyDescent="0.25">
      <c r="A93" t="str">
        <f>"1435"</f>
        <v>1435</v>
      </c>
      <c r="B93" t="str">
        <f>"Премия по займам, предоставленным клиентам"</f>
        <v>Премия по займам, предоставленным клиентам</v>
      </c>
      <c r="C93" t="str">
        <f>"2"</f>
        <v>2</v>
      </c>
      <c r="D93" t="str">
        <f>"9"</f>
        <v>9</v>
      </c>
      <c r="E93" t="str">
        <f>"1"</f>
        <v>1</v>
      </c>
      <c r="F93" s="1">
        <v>0</v>
      </c>
    </row>
    <row r="94" spans="1:6" x14ac:dyDescent="0.25">
      <c r="A94" t="str">
        <f>"1435"</f>
        <v>1435</v>
      </c>
      <c r="B94" t="str">
        <f>"Премия по займам, предоставленным клиентам"</f>
        <v>Премия по займам, предоставленным клиентам</v>
      </c>
      <c r="C94" t="str">
        <f>"1"</f>
        <v>1</v>
      </c>
      <c r="D94" t="str">
        <f>"9"</f>
        <v>9</v>
      </c>
      <c r="E94" t="str">
        <f>"2"</f>
        <v>2</v>
      </c>
      <c r="F94" s="1">
        <v>344071.41</v>
      </c>
    </row>
    <row r="95" spans="1:6" x14ac:dyDescent="0.25">
      <c r="A95" t="str">
        <f>"1435"</f>
        <v>1435</v>
      </c>
      <c r="B95" t="str">
        <f>"Премия по займам, предоставленным клиентам"</f>
        <v>Премия по займам, предоставленным клиентам</v>
      </c>
      <c r="C95" t="str">
        <f>"1"</f>
        <v>1</v>
      </c>
      <c r="D95" t="str">
        <f>"9"</f>
        <v>9</v>
      </c>
      <c r="E95" t="str">
        <f>"1"</f>
        <v>1</v>
      </c>
      <c r="F95" s="1">
        <v>8048073805.04</v>
      </c>
    </row>
    <row r="96" spans="1:6" x14ac:dyDescent="0.25">
      <c r="A96" t="str">
        <f>"1435"</f>
        <v>1435</v>
      </c>
      <c r="B96" t="str">
        <f>"Премия по займам, предоставленным клиентам"</f>
        <v>Премия по займам, предоставленным клиентам</v>
      </c>
      <c r="C96" t="str">
        <f>"1"</f>
        <v>1</v>
      </c>
      <c r="D96" t="str">
        <f>"7"</f>
        <v>7</v>
      </c>
      <c r="E96" t="str">
        <f>"2"</f>
        <v>2</v>
      </c>
      <c r="F96" s="1">
        <v>33943.58</v>
      </c>
    </row>
    <row r="97" spans="1:6" x14ac:dyDescent="0.25">
      <c r="A97" t="str">
        <f t="shared" ref="A97:A103" si="14">"1452"</f>
        <v>1452</v>
      </c>
      <c r="B97" t="str">
        <f t="shared" ref="B97:B103" si="1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C97" t="str">
        <f>"1"</f>
        <v>1</v>
      </c>
      <c r="D97" t="str">
        <f>"1"</f>
        <v>1</v>
      </c>
      <c r="E97" t="str">
        <f>"1"</f>
        <v>1</v>
      </c>
      <c r="F97" s="1">
        <v>215736042200</v>
      </c>
    </row>
    <row r="98" spans="1:6" x14ac:dyDescent="0.25">
      <c r="A98" t="str">
        <f t="shared" si="14"/>
        <v>1452</v>
      </c>
      <c r="B98" t="str">
        <f t="shared" si="15"/>
        <v>Ценные бумаги, учитываемые по справедливой стоимости через прочий совокупный доход</v>
      </c>
      <c r="C98" t="str">
        <f>"1"</f>
        <v>1</v>
      </c>
      <c r="D98" t="str">
        <f>"6"</f>
        <v>6</v>
      </c>
      <c r="E98" t="str">
        <f t="shared" ref="E98:E104" si="16">"2"</f>
        <v>2</v>
      </c>
      <c r="F98" s="1">
        <v>21488746300</v>
      </c>
    </row>
    <row r="99" spans="1:6" x14ac:dyDescent="0.25">
      <c r="A99" t="str">
        <f t="shared" si="14"/>
        <v>1452</v>
      </c>
      <c r="B99" t="str">
        <f t="shared" si="15"/>
        <v>Ценные бумаги, учитываемые по справедливой стоимости через прочий совокупный доход</v>
      </c>
      <c r="C99" t="str">
        <f>"2"</f>
        <v>2</v>
      </c>
      <c r="D99" t="str">
        <f>"1"</f>
        <v>1</v>
      </c>
      <c r="E99" t="str">
        <f t="shared" si="16"/>
        <v>2</v>
      </c>
      <c r="F99" s="1">
        <v>160843080000</v>
      </c>
    </row>
    <row r="100" spans="1:6" x14ac:dyDescent="0.25">
      <c r="A100" t="str">
        <f t="shared" si="14"/>
        <v>1452</v>
      </c>
      <c r="B100" t="str">
        <f t="shared" si="15"/>
        <v>Ценные бумаги, учитываемые по справедливой стоимости через прочий совокупный доход</v>
      </c>
      <c r="C100" t="str">
        <f>"2"</f>
        <v>2</v>
      </c>
      <c r="D100" t="str">
        <f>"5"</f>
        <v>5</v>
      </c>
      <c r="E100" t="str">
        <f t="shared" si="16"/>
        <v>2</v>
      </c>
      <c r="F100" s="1">
        <v>10102415240</v>
      </c>
    </row>
    <row r="101" spans="1:6" x14ac:dyDescent="0.25">
      <c r="A101" t="str">
        <f t="shared" si="14"/>
        <v>1452</v>
      </c>
      <c r="B101" t="str">
        <f t="shared" si="15"/>
        <v>Ценные бумаги, учитываемые по справедливой стоимости через прочий совокупный доход</v>
      </c>
      <c r="C101" t="str">
        <f>"2"</f>
        <v>2</v>
      </c>
      <c r="D101" t="str">
        <f>"3"</f>
        <v>3</v>
      </c>
      <c r="E101" t="str">
        <f t="shared" si="16"/>
        <v>2</v>
      </c>
      <c r="F101" s="1">
        <v>25234030000</v>
      </c>
    </row>
    <row r="102" spans="1:6" x14ac:dyDescent="0.25">
      <c r="A102" t="str">
        <f t="shared" si="14"/>
        <v>1452</v>
      </c>
      <c r="B102" t="str">
        <f t="shared" si="15"/>
        <v>Ценные бумаги, учитываемые по справедливой стоимости через прочий совокупный доход</v>
      </c>
      <c r="C102" t="str">
        <f>"1"</f>
        <v>1</v>
      </c>
      <c r="D102" t="str">
        <f>"1"</f>
        <v>1</v>
      </c>
      <c r="E102" t="str">
        <f t="shared" si="16"/>
        <v>2</v>
      </c>
      <c r="F102" s="1">
        <v>26725525681.82</v>
      </c>
    </row>
    <row r="103" spans="1:6" x14ac:dyDescent="0.25">
      <c r="A103" t="str">
        <f t="shared" si="14"/>
        <v>1452</v>
      </c>
      <c r="B103" t="str">
        <f t="shared" si="15"/>
        <v>Ценные бумаги, учитываемые по справедливой стоимости через прочий совокупный доход</v>
      </c>
      <c r="C103" t="str">
        <f>"2"</f>
        <v>2</v>
      </c>
      <c r="D103" t="str">
        <f>"4"</f>
        <v>4</v>
      </c>
      <c r="E103" t="str">
        <f t="shared" si="16"/>
        <v>2</v>
      </c>
      <c r="F103" s="1">
        <v>948940000</v>
      </c>
    </row>
    <row r="104" spans="1:6" x14ac:dyDescent="0.25">
      <c r="A104" t="str">
        <f t="shared" ref="A104:A110" si="17">"1453"</f>
        <v>1453</v>
      </c>
      <c r="B104" t="str">
        <f t="shared" ref="B104:B110" si="1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C104" t="str">
        <f>"1"</f>
        <v>1</v>
      </c>
      <c r="D104" t="str">
        <f>"1"</f>
        <v>1</v>
      </c>
      <c r="E104" t="str">
        <f t="shared" si="16"/>
        <v>2</v>
      </c>
      <c r="F104" s="1">
        <v>-22989971.809999999</v>
      </c>
    </row>
    <row r="105" spans="1:6" x14ac:dyDescent="0.25">
      <c r="A105" t="str">
        <f t="shared" si="17"/>
        <v>1453</v>
      </c>
      <c r="B105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5" t="str">
        <f>"1"</f>
        <v>1</v>
      </c>
      <c r="D105" t="str">
        <f>"1"</f>
        <v>1</v>
      </c>
      <c r="E105" t="str">
        <f>"1"</f>
        <v>1</v>
      </c>
      <c r="F105" s="1">
        <v>-20491062831.09</v>
      </c>
    </row>
    <row r="106" spans="1:6" x14ac:dyDescent="0.25">
      <c r="A106" t="str">
        <f t="shared" si="17"/>
        <v>1453</v>
      </c>
      <c r="B106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6" t="str">
        <f>"1"</f>
        <v>1</v>
      </c>
      <c r="D106" t="str">
        <f>"6"</f>
        <v>6</v>
      </c>
      <c r="E106" t="str">
        <f>"2"</f>
        <v>2</v>
      </c>
      <c r="F106" s="1">
        <v>-374468145.39999998</v>
      </c>
    </row>
    <row r="107" spans="1:6" x14ac:dyDescent="0.25">
      <c r="A107" t="str">
        <f t="shared" si="17"/>
        <v>1453</v>
      </c>
      <c r="B107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7" t="str">
        <f>"2"</f>
        <v>2</v>
      </c>
      <c r="D107" t="str">
        <f>"1"</f>
        <v>1</v>
      </c>
      <c r="E107" t="str">
        <f>"2"</f>
        <v>2</v>
      </c>
      <c r="F107" s="1">
        <v>-1356906058.9200001</v>
      </c>
    </row>
    <row r="108" spans="1:6" x14ac:dyDescent="0.25">
      <c r="A108" t="str">
        <f t="shared" si="17"/>
        <v>1453</v>
      </c>
      <c r="B10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8" t="str">
        <f>"2"</f>
        <v>2</v>
      </c>
      <c r="D108" t="str">
        <f>"3"</f>
        <v>3</v>
      </c>
      <c r="E108" t="str">
        <f>"2"</f>
        <v>2</v>
      </c>
      <c r="F108" s="1">
        <v>-5950783.29</v>
      </c>
    </row>
    <row r="109" spans="1:6" x14ac:dyDescent="0.25">
      <c r="A109" t="str">
        <f t="shared" si="17"/>
        <v>1453</v>
      </c>
      <c r="B109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9" t="str">
        <f>"2"</f>
        <v>2</v>
      </c>
      <c r="D109" t="str">
        <f>"4"</f>
        <v>4</v>
      </c>
      <c r="E109" t="str">
        <f>"2"</f>
        <v>2</v>
      </c>
      <c r="F109" s="1">
        <v>-12257998.880000001</v>
      </c>
    </row>
    <row r="110" spans="1:6" x14ac:dyDescent="0.25">
      <c r="A110" t="str">
        <f t="shared" si="17"/>
        <v>1453</v>
      </c>
      <c r="B110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10" t="str">
        <f>"2"</f>
        <v>2</v>
      </c>
      <c r="D110" t="str">
        <f>"5"</f>
        <v>5</v>
      </c>
      <c r="E110" t="str">
        <f>"2"</f>
        <v>2</v>
      </c>
      <c r="F110" s="1">
        <v>-41512556.990000002</v>
      </c>
    </row>
    <row r="111" spans="1:6" x14ac:dyDescent="0.25">
      <c r="A111" t="str">
        <f>"1454"</f>
        <v>1454</v>
      </c>
      <c r="B1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1" t="str">
        <f>"1"</f>
        <v>1</v>
      </c>
      <c r="D111" t="str">
        <f>"1"</f>
        <v>1</v>
      </c>
      <c r="E111" t="str">
        <f>"1"</f>
        <v>1</v>
      </c>
      <c r="F111" s="1">
        <v>769757328.33000004</v>
      </c>
    </row>
    <row r="112" spans="1:6" x14ac:dyDescent="0.25">
      <c r="A112" t="str">
        <f>"1454"</f>
        <v>1454</v>
      </c>
      <c r="B11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2" t="str">
        <f>"2"</f>
        <v>2</v>
      </c>
      <c r="D112" t="str">
        <f>"1"</f>
        <v>1</v>
      </c>
      <c r="E112" t="str">
        <f>"2"</f>
        <v>2</v>
      </c>
      <c r="F112" s="1">
        <v>118766540.52</v>
      </c>
    </row>
    <row r="113" spans="1:6" x14ac:dyDescent="0.25">
      <c r="A113" t="str">
        <f>"1454"</f>
        <v>1454</v>
      </c>
      <c r="B11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3" t="str">
        <f>"2"</f>
        <v>2</v>
      </c>
      <c r="D113" t="str">
        <f>"5"</f>
        <v>5</v>
      </c>
      <c r="E113" t="str">
        <f>"2"</f>
        <v>2</v>
      </c>
      <c r="F113" s="1">
        <v>556600197.13</v>
      </c>
    </row>
    <row r="114" spans="1:6" x14ac:dyDescent="0.25">
      <c r="A114" t="str">
        <f>"1454"</f>
        <v>1454</v>
      </c>
      <c r="B11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4" t="str">
        <f>"1"</f>
        <v>1</v>
      </c>
      <c r="D114" t="str">
        <f>"1"</f>
        <v>1</v>
      </c>
      <c r="E114" t="str">
        <f>"2"</f>
        <v>2</v>
      </c>
      <c r="F114" s="1">
        <v>808332144.01999998</v>
      </c>
    </row>
    <row r="115" spans="1:6" x14ac:dyDescent="0.25">
      <c r="A115" t="str">
        <f t="shared" ref="A115:A121" si="19">"1456"</f>
        <v>1456</v>
      </c>
      <c r="B115" t="str">
        <f t="shared" ref="B115:B121" si="20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5" t="str">
        <f>"1"</f>
        <v>1</v>
      </c>
      <c r="D115" t="str">
        <f>"6"</f>
        <v>6</v>
      </c>
      <c r="E115" t="str">
        <f>"2"</f>
        <v>2</v>
      </c>
      <c r="F115" s="1">
        <v>1531164547.3099999</v>
      </c>
    </row>
    <row r="116" spans="1:6" x14ac:dyDescent="0.25">
      <c r="A116" t="str">
        <f t="shared" si="19"/>
        <v>1456</v>
      </c>
      <c r="B116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6" t="str">
        <f>"1"</f>
        <v>1</v>
      </c>
      <c r="D116" t="str">
        <f>"1"</f>
        <v>1</v>
      </c>
      <c r="E116" t="str">
        <f>"2"</f>
        <v>2</v>
      </c>
      <c r="F116" s="1">
        <v>571545400.39999998</v>
      </c>
    </row>
    <row r="117" spans="1:6" x14ac:dyDescent="0.25">
      <c r="A117" t="str">
        <f t="shared" si="19"/>
        <v>1456</v>
      </c>
      <c r="B117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7" t="str">
        <f>"1"</f>
        <v>1</v>
      </c>
      <c r="D117" t="str">
        <f>"1"</f>
        <v>1</v>
      </c>
      <c r="E117" t="str">
        <f>"1"</f>
        <v>1</v>
      </c>
      <c r="F117" s="1">
        <v>32433413769.740002</v>
      </c>
    </row>
    <row r="118" spans="1:6" x14ac:dyDescent="0.25">
      <c r="A118" t="str">
        <f t="shared" si="19"/>
        <v>1456</v>
      </c>
      <c r="B11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8" t="str">
        <f>"2"</f>
        <v>2</v>
      </c>
      <c r="D118" t="str">
        <f>"4"</f>
        <v>4</v>
      </c>
      <c r="E118" t="str">
        <f>"2"</f>
        <v>2</v>
      </c>
      <c r="F118" s="1">
        <v>187492433.47999999</v>
      </c>
    </row>
    <row r="119" spans="1:6" x14ac:dyDescent="0.25">
      <c r="A119" t="str">
        <f t="shared" si="19"/>
        <v>1456</v>
      </c>
      <c r="B119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9" t="str">
        <f>"2"</f>
        <v>2</v>
      </c>
      <c r="D119" t="str">
        <f>"1"</f>
        <v>1</v>
      </c>
      <c r="E119" t="str">
        <f>"2"</f>
        <v>2</v>
      </c>
      <c r="F119" s="1">
        <v>1200677380.52</v>
      </c>
    </row>
    <row r="120" spans="1:6" x14ac:dyDescent="0.25">
      <c r="A120" t="str">
        <f t="shared" si="19"/>
        <v>1456</v>
      </c>
      <c r="B120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0" t="str">
        <f>"2"</f>
        <v>2</v>
      </c>
      <c r="D120" t="str">
        <f>"3"</f>
        <v>3</v>
      </c>
      <c r="E120" t="str">
        <f>"2"</f>
        <v>2</v>
      </c>
      <c r="F120" s="1">
        <v>185580246.62</v>
      </c>
    </row>
    <row r="121" spans="1:6" x14ac:dyDescent="0.25">
      <c r="A121" t="str">
        <f t="shared" si="19"/>
        <v>1456</v>
      </c>
      <c r="B121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1" t="str">
        <f>"2"</f>
        <v>2</v>
      </c>
      <c r="D121" t="str">
        <f>"5"</f>
        <v>5</v>
      </c>
      <c r="E121" t="str">
        <f>"2"</f>
        <v>2</v>
      </c>
      <c r="F121" s="1">
        <v>1328273436.7</v>
      </c>
    </row>
    <row r="122" spans="1:6" x14ac:dyDescent="0.25">
      <c r="A122" t="str">
        <f t="shared" ref="A122:A128" si="21">"1457"</f>
        <v>1457</v>
      </c>
      <c r="B122" t="str">
        <f t="shared" ref="B122:B128" si="2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2" t="str">
        <f>"1"</f>
        <v>1</v>
      </c>
      <c r="D122" t="str">
        <f>"1"</f>
        <v>1</v>
      </c>
      <c r="E122" t="str">
        <f>"2"</f>
        <v>2</v>
      </c>
      <c r="F122" s="1">
        <v>-1166118699.24</v>
      </c>
    </row>
    <row r="123" spans="1:6" x14ac:dyDescent="0.25">
      <c r="A123" t="str">
        <f t="shared" si="21"/>
        <v>1457</v>
      </c>
      <c r="B123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3" t="str">
        <f>"1"</f>
        <v>1</v>
      </c>
      <c r="D123" t="str">
        <f>"1"</f>
        <v>1</v>
      </c>
      <c r="E123" t="str">
        <f>"1"</f>
        <v>1</v>
      </c>
      <c r="F123" s="1">
        <v>-25268448239.48</v>
      </c>
    </row>
    <row r="124" spans="1:6" x14ac:dyDescent="0.25">
      <c r="A124" t="str">
        <f t="shared" si="21"/>
        <v>1457</v>
      </c>
      <c r="B124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4" t="str">
        <f>"1"</f>
        <v>1</v>
      </c>
      <c r="D124" t="str">
        <f>"6"</f>
        <v>6</v>
      </c>
      <c r="E124" t="str">
        <f t="shared" ref="E124:E129" si="23">"2"</f>
        <v>2</v>
      </c>
      <c r="F124" s="1">
        <v>-3440856914.4699998</v>
      </c>
    </row>
    <row r="125" spans="1:6" x14ac:dyDescent="0.25">
      <c r="A125" t="str">
        <f t="shared" si="21"/>
        <v>1457</v>
      </c>
      <c r="B125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5" t="str">
        <f>"2"</f>
        <v>2</v>
      </c>
      <c r="D125" t="str">
        <f>"1"</f>
        <v>1</v>
      </c>
      <c r="E125" t="str">
        <f t="shared" si="23"/>
        <v>2</v>
      </c>
      <c r="F125" s="1">
        <v>-2451741249.5300002</v>
      </c>
    </row>
    <row r="126" spans="1:6" x14ac:dyDescent="0.25">
      <c r="A126" t="str">
        <f t="shared" si="21"/>
        <v>1457</v>
      </c>
      <c r="B126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6" t="str">
        <f>"2"</f>
        <v>2</v>
      </c>
      <c r="D126" t="str">
        <f>"3"</f>
        <v>3</v>
      </c>
      <c r="E126" t="str">
        <f t="shared" si="23"/>
        <v>2</v>
      </c>
      <c r="F126" s="1">
        <v>-451071704.32999998</v>
      </c>
    </row>
    <row r="127" spans="1:6" x14ac:dyDescent="0.25">
      <c r="A127" t="str">
        <f t="shared" si="21"/>
        <v>1457</v>
      </c>
      <c r="B127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7" t="str">
        <f>"2"</f>
        <v>2</v>
      </c>
      <c r="D127" t="str">
        <f>"4"</f>
        <v>4</v>
      </c>
      <c r="E127" t="str">
        <f t="shared" si="23"/>
        <v>2</v>
      </c>
      <c r="F127" s="1">
        <v>-453748324.60000002</v>
      </c>
    </row>
    <row r="128" spans="1:6" x14ac:dyDescent="0.25">
      <c r="A128" t="str">
        <f t="shared" si="21"/>
        <v>1457</v>
      </c>
      <c r="B128" t="str">
        <f t="shared" si="2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8" t="str">
        <f>"2"</f>
        <v>2</v>
      </c>
      <c r="D128" t="str">
        <f>"5"</f>
        <v>5</v>
      </c>
      <c r="E128" t="str">
        <f t="shared" si="23"/>
        <v>2</v>
      </c>
      <c r="F128" s="1">
        <v>-4664768990.3100004</v>
      </c>
    </row>
    <row r="129" spans="1:6" x14ac:dyDescent="0.25">
      <c r="A129" t="str">
        <f>"1459"</f>
        <v>1459</v>
      </c>
      <c r="B129" t="str">
        <f>"Просроченная задолженность по ценным бумагам, учитываемым по справедливой стоимости через прочий совокупный доход"</f>
        <v>Просроченная задолженность по ценным бумагам, учитываемым по справедливой стоимости через прочий совокупный доход</v>
      </c>
      <c r="C129" t="str">
        <f>"2"</f>
        <v>2</v>
      </c>
      <c r="D129" t="str">
        <f>"5"</f>
        <v>5</v>
      </c>
      <c r="E129" t="str">
        <f t="shared" si="23"/>
        <v>2</v>
      </c>
      <c r="F129" s="1">
        <v>4460492470</v>
      </c>
    </row>
    <row r="130" spans="1:6" x14ac:dyDescent="0.25">
      <c r="A130" t="str">
        <f>"1461"</f>
        <v>1461</v>
      </c>
      <c r="B130" t="str">
        <f>"Операции «обратное РЕПО» с ценными бумагами"</f>
        <v>Операции «обратное РЕПО» с ценными бумагами</v>
      </c>
      <c r="C130" t="str">
        <f>"1"</f>
        <v>1</v>
      </c>
      <c r="D130" t="str">
        <f>"5"</f>
        <v>5</v>
      </c>
      <c r="E130" t="str">
        <f>"1"</f>
        <v>1</v>
      </c>
      <c r="F130" s="1">
        <v>6009125404.7799997</v>
      </c>
    </row>
    <row r="131" spans="1:6" x14ac:dyDescent="0.25">
      <c r="A131" t="str">
        <f t="shared" ref="A131:A137" si="24">"1481"</f>
        <v>1481</v>
      </c>
      <c r="B131" t="str">
        <f t="shared" ref="B131:B137" si="25">"Ценные бумаги, учитываемые по амортизированной стоимости"</f>
        <v>Ценные бумаги, учитываемые по амортизированной стоимости</v>
      </c>
      <c r="C131" t="str">
        <f>"1"</f>
        <v>1</v>
      </c>
      <c r="D131" t="str">
        <f>"1"</f>
        <v>1</v>
      </c>
      <c r="E131" t="str">
        <f>"2"</f>
        <v>2</v>
      </c>
      <c r="F131" s="1">
        <v>70513833520</v>
      </c>
    </row>
    <row r="132" spans="1:6" x14ac:dyDescent="0.25">
      <c r="A132" t="str">
        <f t="shared" si="24"/>
        <v>1481</v>
      </c>
      <c r="B132" t="str">
        <f t="shared" si="25"/>
        <v>Ценные бумаги, учитываемые по амортизированной стоимости</v>
      </c>
      <c r="C132" t="str">
        <f>"1"</f>
        <v>1</v>
      </c>
      <c r="D132" t="str">
        <f>"1"</f>
        <v>1</v>
      </c>
      <c r="E132" t="str">
        <f>"1"</f>
        <v>1</v>
      </c>
      <c r="F132" s="1">
        <v>32705932000</v>
      </c>
    </row>
    <row r="133" spans="1:6" x14ac:dyDescent="0.25">
      <c r="A133" t="str">
        <f t="shared" si="24"/>
        <v>1481</v>
      </c>
      <c r="B133" t="str">
        <f t="shared" si="25"/>
        <v>Ценные бумаги, учитываемые по амортизированной стоимости</v>
      </c>
      <c r="C133" t="str">
        <f>"1"</f>
        <v>1</v>
      </c>
      <c r="D133" t="str">
        <f>"4"</f>
        <v>4</v>
      </c>
      <c r="E133" t="str">
        <f t="shared" ref="E133:E138" si="26">"2"</f>
        <v>2</v>
      </c>
      <c r="F133" s="1">
        <v>4744700000</v>
      </c>
    </row>
    <row r="134" spans="1:6" x14ac:dyDescent="0.25">
      <c r="A134" t="str">
        <f t="shared" si="24"/>
        <v>1481</v>
      </c>
      <c r="B134" t="str">
        <f t="shared" si="25"/>
        <v>Ценные бумаги, учитываемые по амортизированной стоимости</v>
      </c>
      <c r="C134" t="str">
        <f>"2"</f>
        <v>2</v>
      </c>
      <c r="D134" t="str">
        <f>"1"</f>
        <v>1</v>
      </c>
      <c r="E134" t="str">
        <f t="shared" si="26"/>
        <v>2</v>
      </c>
      <c r="F134" s="1">
        <v>62445970000</v>
      </c>
    </row>
    <row r="135" spans="1:6" x14ac:dyDescent="0.25">
      <c r="A135" t="str">
        <f t="shared" si="24"/>
        <v>1481</v>
      </c>
      <c r="B135" t="str">
        <f t="shared" si="25"/>
        <v>Ценные бумаги, учитываемые по амортизированной стоимости</v>
      </c>
      <c r="C135" t="str">
        <f>"1"</f>
        <v>1</v>
      </c>
      <c r="D135" t="str">
        <f>"6"</f>
        <v>6</v>
      </c>
      <c r="E135" t="str">
        <f t="shared" si="26"/>
        <v>2</v>
      </c>
      <c r="F135" s="1">
        <v>2372350000</v>
      </c>
    </row>
    <row r="136" spans="1:6" x14ac:dyDescent="0.25">
      <c r="A136" t="str">
        <f t="shared" si="24"/>
        <v>1481</v>
      </c>
      <c r="B136" t="str">
        <f t="shared" si="25"/>
        <v>Ценные бумаги, учитываемые по амортизированной стоимости</v>
      </c>
      <c r="C136" t="str">
        <f>"2"</f>
        <v>2</v>
      </c>
      <c r="D136" t="str">
        <f>"4"</f>
        <v>4</v>
      </c>
      <c r="E136" t="str">
        <f t="shared" si="26"/>
        <v>2</v>
      </c>
      <c r="F136" s="1">
        <v>3307055900</v>
      </c>
    </row>
    <row r="137" spans="1:6" x14ac:dyDescent="0.25">
      <c r="A137" t="str">
        <f t="shared" si="24"/>
        <v>1481</v>
      </c>
      <c r="B137" t="str">
        <f t="shared" si="25"/>
        <v>Ценные бумаги, учитываемые по амортизированной стоимости</v>
      </c>
      <c r="C137" t="str">
        <f>"2"</f>
        <v>2</v>
      </c>
      <c r="D137" t="str">
        <f>"5"</f>
        <v>5</v>
      </c>
      <c r="E137" t="str">
        <f t="shared" si="26"/>
        <v>2</v>
      </c>
      <c r="F137" s="1">
        <v>5646193000</v>
      </c>
    </row>
    <row r="138" spans="1:6" x14ac:dyDescent="0.25">
      <c r="A138" t="str">
        <f>"1482"</f>
        <v>1482</v>
      </c>
      <c r="B13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8" t="str">
        <f>"1"</f>
        <v>1</v>
      </c>
      <c r="D138" t="str">
        <f>"1"</f>
        <v>1</v>
      </c>
      <c r="E138" t="str">
        <f t="shared" si="26"/>
        <v>2</v>
      </c>
      <c r="F138" s="1">
        <v>-85889726.599999994</v>
      </c>
    </row>
    <row r="139" spans="1:6" x14ac:dyDescent="0.25">
      <c r="A139" t="str">
        <f>"1482"</f>
        <v>1482</v>
      </c>
      <c r="B13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9" t="str">
        <f>"1"</f>
        <v>1</v>
      </c>
      <c r="D139" t="str">
        <f>"1"</f>
        <v>1</v>
      </c>
      <c r="E139" t="str">
        <f>"1"</f>
        <v>1</v>
      </c>
      <c r="F139" s="1">
        <v>-813288131.42999995</v>
      </c>
    </row>
    <row r="140" spans="1:6" x14ac:dyDescent="0.25">
      <c r="A140" t="str">
        <f>"1482"</f>
        <v>1482</v>
      </c>
      <c r="B14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0" t="str">
        <f>"2"</f>
        <v>2</v>
      </c>
      <c r="D140" t="str">
        <f>"4"</f>
        <v>4</v>
      </c>
      <c r="E140" t="str">
        <f>"2"</f>
        <v>2</v>
      </c>
      <c r="F140" s="1">
        <v>-53926205.740000002</v>
      </c>
    </row>
    <row r="141" spans="1:6" x14ac:dyDescent="0.25">
      <c r="A141" t="str">
        <f>"1482"</f>
        <v>1482</v>
      </c>
      <c r="B14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1" t="str">
        <f>"1"</f>
        <v>1</v>
      </c>
      <c r="D141" t="str">
        <f>"4"</f>
        <v>4</v>
      </c>
      <c r="E141" t="str">
        <f>"2"</f>
        <v>2</v>
      </c>
      <c r="F141" s="1">
        <v>-11608487.4</v>
      </c>
    </row>
    <row r="142" spans="1:6" x14ac:dyDescent="0.25">
      <c r="A142" t="str">
        <f>"1482"</f>
        <v>1482</v>
      </c>
      <c r="B14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2" t="str">
        <f>"2"</f>
        <v>2</v>
      </c>
      <c r="D142" t="str">
        <f>"1"</f>
        <v>1</v>
      </c>
      <c r="E142" t="str">
        <f>"2"</f>
        <v>2</v>
      </c>
      <c r="F142" s="1">
        <v>-251584501.75999999</v>
      </c>
    </row>
    <row r="143" spans="1:6" x14ac:dyDescent="0.25">
      <c r="A143" t="str">
        <f t="shared" ref="A143:A148" si="27">"1483"</f>
        <v>1483</v>
      </c>
      <c r="B143" t="str">
        <f t="shared" ref="B143:B148" si="28"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43" t="str">
        <f>"1"</f>
        <v>1</v>
      </c>
      <c r="D143" t="str">
        <f>"1"</f>
        <v>1</v>
      </c>
      <c r="E143" t="str">
        <f>"1"</f>
        <v>1</v>
      </c>
      <c r="F143" s="1">
        <v>61756404.479999997</v>
      </c>
    </row>
    <row r="144" spans="1:6" x14ac:dyDescent="0.25">
      <c r="A144" t="str">
        <f t="shared" si="27"/>
        <v>1483</v>
      </c>
      <c r="B144" t="str">
        <f t="shared" si="28"/>
        <v>Премия по ценным бумагам, учитываемым по амортизированной стоимости</v>
      </c>
      <c r="C144" t="str">
        <f>"1"</f>
        <v>1</v>
      </c>
      <c r="D144" t="str">
        <f>"1"</f>
        <v>1</v>
      </c>
      <c r="E144" t="str">
        <f t="shared" ref="E144:E153" si="29">"2"</f>
        <v>2</v>
      </c>
      <c r="F144" s="1">
        <v>1803071860.0899999</v>
      </c>
    </row>
    <row r="145" spans="1:6" x14ac:dyDescent="0.25">
      <c r="A145" t="str">
        <f t="shared" si="27"/>
        <v>1483</v>
      </c>
      <c r="B145" t="str">
        <f t="shared" si="28"/>
        <v>Премия по ценным бумагам, учитываемым по амортизированной стоимости</v>
      </c>
      <c r="C145" t="str">
        <f>"1"</f>
        <v>1</v>
      </c>
      <c r="D145" t="str">
        <f>"4"</f>
        <v>4</v>
      </c>
      <c r="E145" t="str">
        <f t="shared" si="29"/>
        <v>2</v>
      </c>
      <c r="F145" s="1">
        <v>87171929.579999998</v>
      </c>
    </row>
    <row r="146" spans="1:6" x14ac:dyDescent="0.25">
      <c r="A146" t="str">
        <f t="shared" si="27"/>
        <v>1483</v>
      </c>
      <c r="B146" t="str">
        <f t="shared" si="28"/>
        <v>Премия по ценным бумагам, учитываемым по амортизированной стоимости</v>
      </c>
      <c r="C146" t="str">
        <f>"2"</f>
        <v>2</v>
      </c>
      <c r="D146" t="str">
        <f>"5"</f>
        <v>5</v>
      </c>
      <c r="E146" t="str">
        <f t="shared" si="29"/>
        <v>2</v>
      </c>
      <c r="F146" s="1">
        <v>69889549.620000005</v>
      </c>
    </row>
    <row r="147" spans="1:6" x14ac:dyDescent="0.25">
      <c r="A147" t="str">
        <f t="shared" si="27"/>
        <v>1483</v>
      </c>
      <c r="B147" t="str">
        <f t="shared" si="28"/>
        <v>Премия по ценным бумагам, учитываемым по амортизированной стоимости</v>
      </c>
      <c r="C147" t="str">
        <f>"2"</f>
        <v>2</v>
      </c>
      <c r="D147" t="str">
        <f>"1"</f>
        <v>1</v>
      </c>
      <c r="E147" t="str">
        <f t="shared" si="29"/>
        <v>2</v>
      </c>
      <c r="F147" s="1">
        <v>104203789.38</v>
      </c>
    </row>
    <row r="148" spans="1:6" x14ac:dyDescent="0.25">
      <c r="A148" t="str">
        <f t="shared" si="27"/>
        <v>1483</v>
      </c>
      <c r="B148" t="str">
        <f t="shared" si="28"/>
        <v>Премия по ценным бумагам, учитываемым по амортизированной стоимости</v>
      </c>
      <c r="C148" t="str">
        <f>"1"</f>
        <v>1</v>
      </c>
      <c r="D148" t="str">
        <f>"6"</f>
        <v>6</v>
      </c>
      <c r="E148" t="str">
        <f t="shared" si="29"/>
        <v>2</v>
      </c>
      <c r="F148" s="1">
        <v>42467166.899999999</v>
      </c>
    </row>
    <row r="149" spans="1:6" x14ac:dyDescent="0.25">
      <c r="A149" t="str">
        <f>"1485"</f>
        <v>1485</v>
      </c>
      <c r="B149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49" t="str">
        <f>"2"</f>
        <v>2</v>
      </c>
      <c r="D149" t="str">
        <f>"5"</f>
        <v>5</v>
      </c>
      <c r="E149" t="str">
        <f t="shared" si="29"/>
        <v>2</v>
      </c>
      <c r="F149" s="1">
        <v>13901971000</v>
      </c>
    </row>
    <row r="150" spans="1:6" x14ac:dyDescent="0.25">
      <c r="A150" t="str">
        <f>"1486"</f>
        <v>1486</v>
      </c>
      <c r="B15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0" t="str">
        <f>"1"</f>
        <v>1</v>
      </c>
      <c r="D150" t="str">
        <f>"4"</f>
        <v>4</v>
      </c>
      <c r="E150" t="str">
        <f t="shared" si="29"/>
        <v>2</v>
      </c>
      <c r="F150" s="1">
        <v>-7253830.21</v>
      </c>
    </row>
    <row r="151" spans="1:6" x14ac:dyDescent="0.25">
      <c r="A151" t="str">
        <f>"1486"</f>
        <v>1486</v>
      </c>
      <c r="B15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1" t="str">
        <f>"2"</f>
        <v>2</v>
      </c>
      <c r="D151" t="str">
        <f>"4"</f>
        <v>4</v>
      </c>
      <c r="E151" t="str">
        <f t="shared" si="29"/>
        <v>2</v>
      </c>
      <c r="F151" s="1">
        <v>-1143014789</v>
      </c>
    </row>
    <row r="152" spans="1:6" x14ac:dyDescent="0.25">
      <c r="A152" t="str">
        <f>"1486"</f>
        <v>1486</v>
      </c>
      <c r="B15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2" t="str">
        <f>"2"</f>
        <v>2</v>
      </c>
      <c r="D152" t="str">
        <f>"5"</f>
        <v>5</v>
      </c>
      <c r="E152" t="str">
        <f t="shared" si="29"/>
        <v>2</v>
      </c>
      <c r="F152" s="1">
        <v>-11823050841.35</v>
      </c>
    </row>
    <row r="153" spans="1:6" x14ac:dyDescent="0.25">
      <c r="A153" t="str">
        <f>"1486"</f>
        <v>1486</v>
      </c>
      <c r="B15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3" t="str">
        <f>"1"</f>
        <v>1</v>
      </c>
      <c r="D153" t="str">
        <f>"6"</f>
        <v>6</v>
      </c>
      <c r="E153" t="str">
        <f t="shared" si="29"/>
        <v>2</v>
      </c>
      <c r="F153" s="1">
        <v>-3623954.41</v>
      </c>
    </row>
    <row r="154" spans="1:6" x14ac:dyDescent="0.25">
      <c r="A154" t="str">
        <f>"1551"</f>
        <v>1551</v>
      </c>
      <c r="B154" t="str">
        <f>"Расчеты с другими банками"</f>
        <v>Расчеты с другими банками</v>
      </c>
      <c r="C154" t="str">
        <f>"1"</f>
        <v>1</v>
      </c>
      <c r="D154" t="str">
        <f>"4"</f>
        <v>4</v>
      </c>
      <c r="E154" t="str">
        <f>"1"</f>
        <v>1</v>
      </c>
      <c r="F154" s="1">
        <v>8007698.7599999998</v>
      </c>
    </row>
    <row r="155" spans="1:6" x14ac:dyDescent="0.25">
      <c r="A155" t="str">
        <f>"1552"</f>
        <v>1552</v>
      </c>
      <c r="B155" t="str">
        <f>"Расчеты с клиентами"</f>
        <v>Расчеты с клиентами</v>
      </c>
      <c r="C155" t="str">
        <f>"1"</f>
        <v>1</v>
      </c>
      <c r="D155" t="str">
        <f>"6"</f>
        <v>6</v>
      </c>
      <c r="E155" t="str">
        <f>"1"</f>
        <v>1</v>
      </c>
      <c r="F155" s="1">
        <v>38806778.5</v>
      </c>
    </row>
    <row r="156" spans="1:6" x14ac:dyDescent="0.25">
      <c r="A156" t="str">
        <f>"1602"</f>
        <v>1602</v>
      </c>
      <c r="B156" t="str">
        <f>"Прочие запасы"</f>
        <v>Прочие запасы</v>
      </c>
      <c r="C156" t="str">
        <f>""</f>
        <v/>
      </c>
      <c r="D156" t="str">
        <f>""</f>
        <v/>
      </c>
      <c r="E156" t="str">
        <f>""</f>
        <v/>
      </c>
      <c r="F156" s="1">
        <v>275983540.13999999</v>
      </c>
    </row>
    <row r="157" spans="1:6" x14ac:dyDescent="0.25">
      <c r="A157" t="str">
        <f>"1603"</f>
        <v>1603</v>
      </c>
      <c r="B157" t="str">
        <f>"Монеты, изготовленные из драгоценных металлов, на складе"</f>
        <v>Монеты, изготовленные из драгоценных металлов, на складе</v>
      </c>
      <c r="C157" t="str">
        <f>"2"</f>
        <v>2</v>
      </c>
      <c r="D157" t="str">
        <f>""</f>
        <v/>
      </c>
      <c r="E157" t="str">
        <f>""</f>
        <v/>
      </c>
      <c r="F157" s="1">
        <v>1247696.95</v>
      </c>
    </row>
    <row r="158" spans="1:6" x14ac:dyDescent="0.25">
      <c r="A158" t="str">
        <f>"1604"</f>
        <v>1604</v>
      </c>
      <c r="B158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58" t="str">
        <f>"2"</f>
        <v>2</v>
      </c>
      <c r="D158" t="str">
        <f>""</f>
        <v/>
      </c>
      <c r="E158" t="str">
        <f>""</f>
        <v/>
      </c>
      <c r="F158" s="1">
        <v>101534.55</v>
      </c>
    </row>
    <row r="159" spans="1:6" x14ac:dyDescent="0.25">
      <c r="A159" t="str">
        <f>"1610"</f>
        <v>1610</v>
      </c>
      <c r="B159" t="str">
        <f>"Долгосрочные активы, предназначенные для продажи"</f>
        <v>Долгосрочные активы, предназначенные для продажи</v>
      </c>
      <c r="C159" t="str">
        <f>""</f>
        <v/>
      </c>
      <c r="D159" t="str">
        <f>""</f>
        <v/>
      </c>
      <c r="E159" t="str">
        <f>""</f>
        <v/>
      </c>
      <c r="F159" s="1">
        <v>6218730583.5799999</v>
      </c>
    </row>
    <row r="160" spans="1:6" x14ac:dyDescent="0.25">
      <c r="A160" t="str">
        <f>"1652"</f>
        <v>1652</v>
      </c>
      <c r="B160" t="str">
        <f>"Земля, здания и сооружения"</f>
        <v>Земля, здания и сооружения</v>
      </c>
      <c r="C160" t="str">
        <f>""</f>
        <v/>
      </c>
      <c r="D160" t="str">
        <f>""</f>
        <v/>
      </c>
      <c r="E160" t="str">
        <f>""</f>
        <v/>
      </c>
      <c r="F160" s="1">
        <v>11727789405.780001</v>
      </c>
    </row>
    <row r="161" spans="1:6" x14ac:dyDescent="0.25">
      <c r="A161" t="str">
        <f>"1653"</f>
        <v>1653</v>
      </c>
      <c r="B161" t="str">
        <f>"Компьютерное оборудование"</f>
        <v>Компьютерное оборудование</v>
      </c>
      <c r="C161" t="str">
        <f>""</f>
        <v/>
      </c>
      <c r="D161" t="str">
        <f>""</f>
        <v/>
      </c>
      <c r="E161" t="str">
        <f>""</f>
        <v/>
      </c>
      <c r="F161" s="1">
        <v>6061099597.8400002</v>
      </c>
    </row>
    <row r="162" spans="1:6" x14ac:dyDescent="0.25">
      <c r="A162" t="str">
        <f>"1654"</f>
        <v>1654</v>
      </c>
      <c r="B162" t="str">
        <f>"Прочие основные средства"</f>
        <v>Прочие основные средства</v>
      </c>
      <c r="C162" t="str">
        <f>""</f>
        <v/>
      </c>
      <c r="D162" t="str">
        <f>""</f>
        <v/>
      </c>
      <c r="E162" t="str">
        <f>""</f>
        <v/>
      </c>
      <c r="F162" s="1">
        <v>13923506284.309999</v>
      </c>
    </row>
    <row r="163" spans="1:6" x14ac:dyDescent="0.25">
      <c r="A163" t="str">
        <f>"1655"</f>
        <v>1655</v>
      </c>
      <c r="B163" t="str">
        <f>"Активы в форме права пользования"</f>
        <v>Активы в форме права пользования</v>
      </c>
      <c r="C163" t="str">
        <f>""</f>
        <v/>
      </c>
      <c r="D163" t="str">
        <f>""</f>
        <v/>
      </c>
      <c r="E163" t="str">
        <f>""</f>
        <v/>
      </c>
      <c r="F163" s="1">
        <v>4905524185.3999996</v>
      </c>
    </row>
    <row r="164" spans="1:6" x14ac:dyDescent="0.25">
      <c r="A164" t="str">
        <f>"1657"</f>
        <v>1657</v>
      </c>
      <c r="B164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64" t="str">
        <f>""</f>
        <v/>
      </c>
      <c r="D164" t="str">
        <f>""</f>
        <v/>
      </c>
      <c r="E164" t="str">
        <f>""</f>
        <v/>
      </c>
      <c r="F164" s="1">
        <v>785468360.02999997</v>
      </c>
    </row>
    <row r="165" spans="1:6" x14ac:dyDescent="0.25">
      <c r="A165" t="str">
        <f>"1658"</f>
        <v>1658</v>
      </c>
      <c r="B165" t="str">
        <f>"Транспортные средства"</f>
        <v>Транспортные средства</v>
      </c>
      <c r="C165" t="str">
        <f>""</f>
        <v/>
      </c>
      <c r="D165" t="str">
        <f>""</f>
        <v/>
      </c>
      <c r="E165" t="str">
        <f>""</f>
        <v/>
      </c>
      <c r="F165" s="1">
        <v>1280850090.1700001</v>
      </c>
    </row>
    <row r="166" spans="1:6" x14ac:dyDescent="0.25">
      <c r="A166" t="str">
        <f>"1659"</f>
        <v>1659</v>
      </c>
      <c r="B166" t="str">
        <f>"Нематериальные активы"</f>
        <v>Нематериальные активы</v>
      </c>
      <c r="C166" t="str">
        <f>""</f>
        <v/>
      </c>
      <c r="D166" t="str">
        <f>""</f>
        <v/>
      </c>
      <c r="E166" t="str">
        <f>""</f>
        <v/>
      </c>
      <c r="F166" s="1">
        <v>24231148975.25</v>
      </c>
    </row>
    <row r="167" spans="1:6" x14ac:dyDescent="0.25">
      <c r="A167" t="str">
        <f>"1692"</f>
        <v>1692</v>
      </c>
      <c r="B167" t="str">
        <f>"Начисленная амортизация по зданиям и сооружениям"</f>
        <v>Начисленная амортизация по зданиям и сооружениям</v>
      </c>
      <c r="C167" t="str">
        <f>""</f>
        <v/>
      </c>
      <c r="D167" t="str">
        <f>""</f>
        <v/>
      </c>
      <c r="E167" t="str">
        <f>""</f>
        <v/>
      </c>
      <c r="F167" s="1">
        <v>-2824434900</v>
      </c>
    </row>
    <row r="168" spans="1:6" x14ac:dyDescent="0.25">
      <c r="A168" t="str">
        <f>"1693"</f>
        <v>1693</v>
      </c>
      <c r="B168" t="str">
        <f>"Начисленная амортизация по компьютерному оборудованию"</f>
        <v>Начисленная амортизация по компьютерному оборудованию</v>
      </c>
      <c r="C168" t="str">
        <f>""</f>
        <v/>
      </c>
      <c r="D168" t="str">
        <f>""</f>
        <v/>
      </c>
      <c r="E168" t="str">
        <f>""</f>
        <v/>
      </c>
      <c r="F168" s="1">
        <v>-3921864241.04</v>
      </c>
    </row>
    <row r="169" spans="1:6" x14ac:dyDescent="0.25">
      <c r="A169" t="str">
        <f>"1694"</f>
        <v>1694</v>
      </c>
      <c r="B169" t="str">
        <f>"Начисленная амортизация по прочим основным средствам"</f>
        <v>Начисленная амортизация по прочим основным средствам</v>
      </c>
      <c r="C169" t="str">
        <f>""</f>
        <v/>
      </c>
      <c r="D169" t="str">
        <f>""</f>
        <v/>
      </c>
      <c r="E169" t="str">
        <f>""</f>
        <v/>
      </c>
      <c r="F169" s="1">
        <v>-9146561118.3400002</v>
      </c>
    </row>
    <row r="170" spans="1:6" x14ac:dyDescent="0.25">
      <c r="A170" t="str">
        <f>"1695"</f>
        <v>1695</v>
      </c>
      <c r="B17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70" t="str">
        <f>""</f>
        <v/>
      </c>
      <c r="D170" t="str">
        <f>""</f>
        <v/>
      </c>
      <c r="E170" t="str">
        <f>""</f>
        <v/>
      </c>
      <c r="F170" s="1">
        <v>-2936793675.8400002</v>
      </c>
    </row>
    <row r="171" spans="1:6" x14ac:dyDescent="0.25">
      <c r="A171" t="str">
        <f>"1697"</f>
        <v>1697</v>
      </c>
      <c r="B17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71" t="str">
        <f>""</f>
        <v/>
      </c>
      <c r="D171" t="str">
        <f>""</f>
        <v/>
      </c>
      <c r="E171" t="str">
        <f>""</f>
        <v/>
      </c>
      <c r="F171" s="1">
        <v>-785199309.02999997</v>
      </c>
    </row>
    <row r="172" spans="1:6" x14ac:dyDescent="0.25">
      <c r="A172" t="str">
        <f>"1698"</f>
        <v>1698</v>
      </c>
      <c r="B172" t="str">
        <f>"Начисленная амортизация по транспортным средствам"</f>
        <v>Начисленная амортизация по транспортным средствам</v>
      </c>
      <c r="C172" t="str">
        <f>""</f>
        <v/>
      </c>
      <c r="D172" t="str">
        <f>""</f>
        <v/>
      </c>
      <c r="E172" t="str">
        <f>""</f>
        <v/>
      </c>
      <c r="F172" s="1">
        <v>-553032953.58000004</v>
      </c>
    </row>
    <row r="173" spans="1:6" x14ac:dyDescent="0.25">
      <c r="A173" t="str">
        <f>"1699"</f>
        <v>1699</v>
      </c>
      <c r="B173" t="str">
        <f>"Начисленная амортизация по нематериальным активам"</f>
        <v>Начисленная амортизация по нематериальным активам</v>
      </c>
      <c r="C173" t="str">
        <f>""</f>
        <v/>
      </c>
      <c r="D173" t="str">
        <f>""</f>
        <v/>
      </c>
      <c r="E173" t="str">
        <f>""</f>
        <v/>
      </c>
      <c r="F173" s="1">
        <v>-15857340688.52</v>
      </c>
    </row>
    <row r="174" spans="1:6" x14ac:dyDescent="0.25">
      <c r="A174" t="str">
        <f>"1710"</f>
        <v>1710</v>
      </c>
      <c r="B17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4" t="str">
        <f>"1"</f>
        <v>1</v>
      </c>
      <c r="D174" t="str">
        <f>"3"</f>
        <v>3</v>
      </c>
      <c r="E174" t="str">
        <f>"2"</f>
        <v>2</v>
      </c>
      <c r="F174" s="1">
        <v>2892164941.3499999</v>
      </c>
    </row>
    <row r="175" spans="1:6" x14ac:dyDescent="0.25">
      <c r="A175" t="str">
        <f>"1710"</f>
        <v>1710</v>
      </c>
      <c r="B17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5" t="str">
        <f>"1"</f>
        <v>1</v>
      </c>
      <c r="D175" t="str">
        <f>"3"</f>
        <v>3</v>
      </c>
      <c r="E175" t="str">
        <f>"1"</f>
        <v>1</v>
      </c>
      <c r="F175" s="1">
        <v>4305555.5599999996</v>
      </c>
    </row>
    <row r="176" spans="1:6" x14ac:dyDescent="0.25">
      <c r="A176" t="str">
        <f>"1725"</f>
        <v>1725</v>
      </c>
      <c r="B176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C176" t="str">
        <f>"2"</f>
        <v>2</v>
      </c>
      <c r="D176" t="str">
        <f>"4"</f>
        <v>4</v>
      </c>
      <c r="E176" t="str">
        <f>"2"</f>
        <v>2</v>
      </c>
      <c r="F176" s="1">
        <v>2767735.34</v>
      </c>
    </row>
    <row r="177" spans="1:6" x14ac:dyDescent="0.25">
      <c r="A177" t="str">
        <f>"1725"</f>
        <v>1725</v>
      </c>
      <c r="B17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C177" t="str">
        <f>"1"</f>
        <v>1</v>
      </c>
      <c r="D177" t="str">
        <f>"4"</f>
        <v>4</v>
      </c>
      <c r="E177" t="str">
        <f>"1"</f>
        <v>1</v>
      </c>
      <c r="F177" s="1">
        <v>1375000</v>
      </c>
    </row>
    <row r="178" spans="1:6" x14ac:dyDescent="0.25">
      <c r="A178" t="str">
        <f>"1730"</f>
        <v>1730</v>
      </c>
      <c r="B17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C178" t="str">
        <f>"2"</f>
        <v>2</v>
      </c>
      <c r="D178" t="str">
        <f>"4"</f>
        <v>4</v>
      </c>
      <c r="E178" t="str">
        <f>"2"</f>
        <v>2</v>
      </c>
      <c r="F178" s="1">
        <v>13276254.210000001</v>
      </c>
    </row>
    <row r="179" spans="1:6" x14ac:dyDescent="0.25">
      <c r="A179" t="str">
        <f>"1731"</f>
        <v>1731</v>
      </c>
      <c r="B179" t="str">
        <f>"Просроченное вознаграждение по займам и финансовому лизингу, предоставленным другим банкам"</f>
        <v>Просроченное вознаграждение по займам и финансовому лизингу, предоставленным другим банкам</v>
      </c>
      <c r="C179" t="str">
        <f>"2"</f>
        <v>2</v>
      </c>
      <c r="D179" t="str">
        <f>"4"</f>
        <v>4</v>
      </c>
      <c r="E179" t="str">
        <f>"2"</f>
        <v>2</v>
      </c>
      <c r="F179" s="1">
        <v>10947802.16</v>
      </c>
    </row>
    <row r="180" spans="1:6" x14ac:dyDescent="0.25">
      <c r="A180" t="str">
        <f t="shared" ref="A180:A191" si="30">"1740"</f>
        <v>1740</v>
      </c>
      <c r="B180" t="str">
        <f t="shared" ref="B180:B191" si="3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80" t="str">
        <f t="shared" ref="C180:C185" si="32">"1"</f>
        <v>1</v>
      </c>
      <c r="D180" t="str">
        <f>"5"</f>
        <v>5</v>
      </c>
      <c r="E180" t="str">
        <f>"1"</f>
        <v>1</v>
      </c>
      <c r="F180" s="1">
        <v>86719042.329999998</v>
      </c>
    </row>
    <row r="181" spans="1:6" x14ac:dyDescent="0.25">
      <c r="A181" t="str">
        <f t="shared" si="30"/>
        <v>1740</v>
      </c>
      <c r="B181" t="str">
        <f t="shared" si="31"/>
        <v>Начисленные доходы по займам и финансовому лизингу, предоставленным клиентам</v>
      </c>
      <c r="C181" t="str">
        <f t="shared" si="32"/>
        <v>1</v>
      </c>
      <c r="D181" t="str">
        <f>"6"</f>
        <v>6</v>
      </c>
      <c r="E181" t="str">
        <f>"1"</f>
        <v>1</v>
      </c>
      <c r="F181" s="1">
        <v>7295589.3700000001</v>
      </c>
    </row>
    <row r="182" spans="1:6" x14ac:dyDescent="0.25">
      <c r="A182" t="str">
        <f t="shared" si="30"/>
        <v>1740</v>
      </c>
      <c r="B182" t="str">
        <f t="shared" si="31"/>
        <v>Начисленные доходы по займам и финансовому лизингу, предоставленным клиентам</v>
      </c>
      <c r="C182" t="str">
        <f t="shared" si="32"/>
        <v>1</v>
      </c>
      <c r="D182" t="str">
        <f>"5"</f>
        <v>5</v>
      </c>
      <c r="E182" t="str">
        <f>"2"</f>
        <v>2</v>
      </c>
      <c r="F182" s="1">
        <v>13624728.689999999</v>
      </c>
    </row>
    <row r="183" spans="1:6" x14ac:dyDescent="0.25">
      <c r="A183" t="str">
        <f t="shared" si="30"/>
        <v>1740</v>
      </c>
      <c r="B183" t="str">
        <f t="shared" si="31"/>
        <v>Начисленные доходы по займам и финансовому лизингу, предоставленным клиентам</v>
      </c>
      <c r="C183" t="str">
        <f t="shared" si="32"/>
        <v>1</v>
      </c>
      <c r="D183" t="str">
        <f>"7"</f>
        <v>7</v>
      </c>
      <c r="E183" t="str">
        <f>"2"</f>
        <v>2</v>
      </c>
      <c r="F183" s="1">
        <v>21918040010.189999</v>
      </c>
    </row>
    <row r="184" spans="1:6" x14ac:dyDescent="0.25">
      <c r="A184" t="str">
        <f t="shared" si="30"/>
        <v>1740</v>
      </c>
      <c r="B184" t="str">
        <f t="shared" si="31"/>
        <v>Начисленные доходы по займам и финансовому лизингу, предоставленным клиентам</v>
      </c>
      <c r="C184" t="str">
        <f t="shared" si="32"/>
        <v>1</v>
      </c>
      <c r="D184" t="str">
        <f>"7"</f>
        <v>7</v>
      </c>
      <c r="E184" t="str">
        <f>"1"</f>
        <v>1</v>
      </c>
      <c r="F184" s="1">
        <v>8790637024.4300003</v>
      </c>
    </row>
    <row r="185" spans="1:6" x14ac:dyDescent="0.25">
      <c r="A185" t="str">
        <f t="shared" si="30"/>
        <v>1740</v>
      </c>
      <c r="B185" t="str">
        <f t="shared" si="31"/>
        <v>Начисленные доходы по займам и финансовому лизингу, предоставленным клиентам</v>
      </c>
      <c r="C185" t="str">
        <f t="shared" si="32"/>
        <v>1</v>
      </c>
      <c r="D185" t="str">
        <f>"9"</f>
        <v>9</v>
      </c>
      <c r="E185" t="str">
        <f>"1"</f>
        <v>1</v>
      </c>
      <c r="F185" s="1">
        <v>21078347541.200001</v>
      </c>
    </row>
    <row r="186" spans="1:6" x14ac:dyDescent="0.25">
      <c r="A186" t="str">
        <f t="shared" si="30"/>
        <v>1740</v>
      </c>
      <c r="B186" t="str">
        <f t="shared" si="31"/>
        <v>Начисленные доходы по займам и финансовому лизингу, предоставленным клиентам</v>
      </c>
      <c r="C186" t="str">
        <f>"2"</f>
        <v>2</v>
      </c>
      <c r="D186" t="str">
        <f>"7"</f>
        <v>7</v>
      </c>
      <c r="E186" t="str">
        <f>"1"</f>
        <v>1</v>
      </c>
      <c r="F186" s="1">
        <v>58313555.560000002</v>
      </c>
    </row>
    <row r="187" spans="1:6" x14ac:dyDescent="0.25">
      <c r="A187" t="str">
        <f t="shared" si="30"/>
        <v>1740</v>
      </c>
      <c r="B187" t="str">
        <f t="shared" si="31"/>
        <v>Начисленные доходы по займам и финансовому лизингу, предоставленным клиентам</v>
      </c>
      <c r="C187" t="str">
        <f>"2"</f>
        <v>2</v>
      </c>
      <c r="D187" t="str">
        <f>"9"</f>
        <v>9</v>
      </c>
      <c r="E187" t="str">
        <f>"2"</f>
        <v>2</v>
      </c>
      <c r="F187" s="1">
        <v>6724739.2199999997</v>
      </c>
    </row>
    <row r="188" spans="1:6" x14ac:dyDescent="0.25">
      <c r="A188" t="str">
        <f t="shared" si="30"/>
        <v>1740</v>
      </c>
      <c r="B188" t="str">
        <f t="shared" si="31"/>
        <v>Начисленные доходы по займам и финансовому лизингу, предоставленным клиентам</v>
      </c>
      <c r="C188" t="str">
        <f>"2"</f>
        <v>2</v>
      </c>
      <c r="D188" t="str">
        <f>"7"</f>
        <v>7</v>
      </c>
      <c r="E188" t="str">
        <f>"2"</f>
        <v>2</v>
      </c>
      <c r="F188" s="1">
        <v>15583271.9</v>
      </c>
    </row>
    <row r="189" spans="1:6" x14ac:dyDescent="0.25">
      <c r="A189" t="str">
        <f t="shared" si="30"/>
        <v>1740</v>
      </c>
      <c r="B189" t="str">
        <f t="shared" si="31"/>
        <v>Начисленные доходы по займам и финансовому лизингу, предоставленным клиентам</v>
      </c>
      <c r="C189" t="str">
        <f>"1"</f>
        <v>1</v>
      </c>
      <c r="D189" t="str">
        <f>"9"</f>
        <v>9</v>
      </c>
      <c r="E189" t="str">
        <f>"2"</f>
        <v>2</v>
      </c>
      <c r="F189" s="1">
        <v>1688801.26</v>
      </c>
    </row>
    <row r="190" spans="1:6" x14ac:dyDescent="0.25">
      <c r="A190" t="str">
        <f t="shared" si="30"/>
        <v>1740</v>
      </c>
      <c r="B190" t="str">
        <f t="shared" si="31"/>
        <v>Начисленные доходы по займам и финансовому лизингу, предоставленным клиентам</v>
      </c>
      <c r="C190" t="str">
        <f>"2"</f>
        <v>2</v>
      </c>
      <c r="D190" t="str">
        <f>"9"</f>
        <v>9</v>
      </c>
      <c r="E190" t="str">
        <f>"1"</f>
        <v>1</v>
      </c>
      <c r="F190" s="1">
        <v>504468.66</v>
      </c>
    </row>
    <row r="191" spans="1:6" x14ac:dyDescent="0.25">
      <c r="A191" t="str">
        <f t="shared" si="30"/>
        <v>1740</v>
      </c>
      <c r="B191" t="str">
        <f t="shared" si="31"/>
        <v>Начисленные доходы по займам и финансовому лизингу, предоставленным клиентам</v>
      </c>
      <c r="C191" t="str">
        <f>"2"</f>
        <v>2</v>
      </c>
      <c r="D191" t="str">
        <f>"7"</f>
        <v>7</v>
      </c>
      <c r="E191" t="str">
        <f>"3"</f>
        <v>3</v>
      </c>
      <c r="F191" s="1">
        <v>4987879.57</v>
      </c>
    </row>
    <row r="192" spans="1:6" x14ac:dyDescent="0.25">
      <c r="A192" t="str">
        <f>"1741"</f>
        <v>1741</v>
      </c>
      <c r="B19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2" t="str">
        <f>"1"</f>
        <v>1</v>
      </c>
      <c r="D192" t="str">
        <f>"7"</f>
        <v>7</v>
      </c>
      <c r="E192" t="str">
        <f>"1"</f>
        <v>1</v>
      </c>
      <c r="F192" s="1">
        <v>16767442121.030001</v>
      </c>
    </row>
    <row r="193" spans="1:6" x14ac:dyDescent="0.25">
      <c r="A193" t="str">
        <f>"1741"</f>
        <v>1741</v>
      </c>
      <c r="B19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3" t="str">
        <f>"1"</f>
        <v>1</v>
      </c>
      <c r="D193" t="str">
        <f>"9"</f>
        <v>9</v>
      </c>
      <c r="E193" t="str">
        <f>"1"</f>
        <v>1</v>
      </c>
      <c r="F193" s="1">
        <v>13771740388.84</v>
      </c>
    </row>
    <row r="194" spans="1:6" x14ac:dyDescent="0.25">
      <c r="A194" t="str">
        <f>"1741"</f>
        <v>1741</v>
      </c>
      <c r="B19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4" t="str">
        <f>"1"</f>
        <v>1</v>
      </c>
      <c r="D194" t="str">
        <f>"9"</f>
        <v>9</v>
      </c>
      <c r="E194" t="str">
        <f>"2"</f>
        <v>2</v>
      </c>
      <c r="F194" s="1">
        <v>97423962.629999995</v>
      </c>
    </row>
    <row r="195" spans="1:6" x14ac:dyDescent="0.25">
      <c r="A195" t="str">
        <f>"1741"</f>
        <v>1741</v>
      </c>
      <c r="B19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5" t="str">
        <f>"2"</f>
        <v>2</v>
      </c>
      <c r="D195" t="str">
        <f>"9"</f>
        <v>9</v>
      </c>
      <c r="E195" t="str">
        <f>"1"</f>
        <v>1</v>
      </c>
      <c r="F195" s="1">
        <v>5445092.3300000001</v>
      </c>
    </row>
    <row r="196" spans="1:6" x14ac:dyDescent="0.25">
      <c r="A196" t="str">
        <f>"1741"</f>
        <v>1741</v>
      </c>
      <c r="B19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6" t="str">
        <f>"2"</f>
        <v>2</v>
      </c>
      <c r="D196" t="str">
        <f>"9"</f>
        <v>9</v>
      </c>
      <c r="E196" t="str">
        <f>"2"</f>
        <v>2</v>
      </c>
      <c r="F196" s="1">
        <v>96834.58</v>
      </c>
    </row>
    <row r="197" spans="1:6" x14ac:dyDescent="0.25">
      <c r="A197" t="str">
        <f t="shared" ref="A197:A203" si="33">"1745"</f>
        <v>1745</v>
      </c>
      <c r="B197" t="str">
        <f t="shared" ref="B197:B203" si="34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7" t="str">
        <f>"1"</f>
        <v>1</v>
      </c>
      <c r="D197" t="str">
        <f>"1"</f>
        <v>1</v>
      </c>
      <c r="E197" t="str">
        <f>"1"</f>
        <v>1</v>
      </c>
      <c r="F197" s="1">
        <v>698272564.76999998</v>
      </c>
    </row>
    <row r="198" spans="1:6" x14ac:dyDescent="0.25">
      <c r="A198" t="str">
        <f t="shared" si="33"/>
        <v>1745</v>
      </c>
      <c r="B198" t="str">
        <f t="shared" si="34"/>
        <v>Начисленные доходы по ценным бумагам, учитываемым по амортизированной стоимости</v>
      </c>
      <c r="C198" t="str">
        <f>"1"</f>
        <v>1</v>
      </c>
      <c r="D198" t="str">
        <f>"1"</f>
        <v>1</v>
      </c>
      <c r="E198" t="str">
        <f t="shared" ref="E198:E204" si="35">"2"</f>
        <v>2</v>
      </c>
      <c r="F198" s="1">
        <v>977019514.17999995</v>
      </c>
    </row>
    <row r="199" spans="1:6" x14ac:dyDescent="0.25">
      <c r="A199" t="str">
        <f t="shared" si="33"/>
        <v>1745</v>
      </c>
      <c r="B199" t="str">
        <f t="shared" si="34"/>
        <v>Начисленные доходы по ценным бумагам, учитываемым по амортизированной стоимости</v>
      </c>
      <c r="C199" t="str">
        <f>"1"</f>
        <v>1</v>
      </c>
      <c r="D199" t="str">
        <f>"4"</f>
        <v>4</v>
      </c>
      <c r="E199" t="str">
        <f t="shared" si="35"/>
        <v>2</v>
      </c>
      <c r="F199" s="1">
        <v>84771875.280000001</v>
      </c>
    </row>
    <row r="200" spans="1:6" x14ac:dyDescent="0.25">
      <c r="A200" t="str">
        <f t="shared" si="33"/>
        <v>1745</v>
      </c>
      <c r="B200" t="str">
        <f t="shared" si="34"/>
        <v>Начисленные доходы по ценным бумагам, учитываемым по амортизированной стоимости</v>
      </c>
      <c r="C200" t="str">
        <f>"1"</f>
        <v>1</v>
      </c>
      <c r="D200" t="str">
        <f>"6"</f>
        <v>6</v>
      </c>
      <c r="E200" t="str">
        <f t="shared" si="35"/>
        <v>2</v>
      </c>
      <c r="F200" s="1">
        <v>1153227.8</v>
      </c>
    </row>
    <row r="201" spans="1:6" x14ac:dyDescent="0.25">
      <c r="A201" t="str">
        <f t="shared" si="33"/>
        <v>1745</v>
      </c>
      <c r="B201" t="str">
        <f t="shared" si="34"/>
        <v>Начисленные доходы по ценным бумагам, учитываемым по амортизированной стоимости</v>
      </c>
      <c r="C201" t="str">
        <f>"2"</f>
        <v>2</v>
      </c>
      <c r="D201" t="str">
        <f>"1"</f>
        <v>1</v>
      </c>
      <c r="E201" t="str">
        <f t="shared" si="35"/>
        <v>2</v>
      </c>
      <c r="F201" s="1">
        <v>799560968.23000002</v>
      </c>
    </row>
    <row r="202" spans="1:6" x14ac:dyDescent="0.25">
      <c r="A202" t="str">
        <f t="shared" si="33"/>
        <v>1745</v>
      </c>
      <c r="B202" t="str">
        <f t="shared" si="34"/>
        <v>Начисленные доходы по ценным бумагам, учитываемым по амортизированной стоимости</v>
      </c>
      <c r="C202" t="str">
        <f>"2"</f>
        <v>2</v>
      </c>
      <c r="D202" t="str">
        <f>"4"</f>
        <v>4</v>
      </c>
      <c r="E202" t="str">
        <f t="shared" si="35"/>
        <v>2</v>
      </c>
      <c r="F202" s="1">
        <v>19989397.379999999</v>
      </c>
    </row>
    <row r="203" spans="1:6" x14ac:dyDescent="0.25">
      <c r="A203" t="str">
        <f t="shared" si="33"/>
        <v>1745</v>
      </c>
      <c r="B203" t="str">
        <f t="shared" si="34"/>
        <v>Начисленные доходы по ценным бумагам, учитываемым по амортизированной стоимости</v>
      </c>
      <c r="C203" t="str">
        <f>"2"</f>
        <v>2</v>
      </c>
      <c r="D203" t="str">
        <f>"5"</f>
        <v>5</v>
      </c>
      <c r="E203" t="str">
        <f t="shared" si="35"/>
        <v>2</v>
      </c>
      <c r="F203" s="1">
        <v>121589238.45999999</v>
      </c>
    </row>
    <row r="204" spans="1:6" x14ac:dyDescent="0.25">
      <c r="A204" t="str">
        <f t="shared" ref="A204:A210" si="36">"1746"</f>
        <v>1746</v>
      </c>
      <c r="B204" t="str">
        <f t="shared" ref="B204:B210" si="37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C204" t="str">
        <f>"1"</f>
        <v>1</v>
      </c>
      <c r="D204" t="str">
        <f>"1"</f>
        <v>1</v>
      </c>
      <c r="E204" t="str">
        <f t="shared" si="35"/>
        <v>2</v>
      </c>
      <c r="F204" s="1">
        <v>300847280.76999998</v>
      </c>
    </row>
    <row r="205" spans="1:6" x14ac:dyDescent="0.25">
      <c r="A205" t="str">
        <f t="shared" si="36"/>
        <v>1746</v>
      </c>
      <c r="B205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05" t="str">
        <f>"1"</f>
        <v>1</v>
      </c>
      <c r="D205" t="str">
        <f>"1"</f>
        <v>1</v>
      </c>
      <c r="E205" t="str">
        <f>"1"</f>
        <v>1</v>
      </c>
      <c r="F205" s="1">
        <v>11231737638.4</v>
      </c>
    </row>
    <row r="206" spans="1:6" x14ac:dyDescent="0.25">
      <c r="A206" t="str">
        <f t="shared" si="36"/>
        <v>1746</v>
      </c>
      <c r="B206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06" t="str">
        <f>"2"</f>
        <v>2</v>
      </c>
      <c r="D206" t="str">
        <f>"3"</f>
        <v>3</v>
      </c>
      <c r="E206" t="str">
        <f>"2"</f>
        <v>2</v>
      </c>
      <c r="F206" s="1">
        <v>278007530.61000001</v>
      </c>
    </row>
    <row r="207" spans="1:6" x14ac:dyDescent="0.25">
      <c r="A207" t="str">
        <f t="shared" si="36"/>
        <v>1746</v>
      </c>
      <c r="B207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07" t="str">
        <f>"2"</f>
        <v>2</v>
      </c>
      <c r="D207" t="str">
        <f>"4"</f>
        <v>4</v>
      </c>
      <c r="E207" t="str">
        <f>"2"</f>
        <v>2</v>
      </c>
      <c r="F207" s="1">
        <v>5735858.3399999999</v>
      </c>
    </row>
    <row r="208" spans="1:6" x14ac:dyDescent="0.25">
      <c r="A208" t="str">
        <f t="shared" si="36"/>
        <v>1746</v>
      </c>
      <c r="B208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08" t="str">
        <f>"2"</f>
        <v>2</v>
      </c>
      <c r="D208" t="str">
        <f>"5"</f>
        <v>5</v>
      </c>
      <c r="E208" t="str">
        <f>"2"</f>
        <v>2</v>
      </c>
      <c r="F208" s="1">
        <v>158011202.06999999</v>
      </c>
    </row>
    <row r="209" spans="1:6" x14ac:dyDescent="0.25">
      <c r="A209" t="str">
        <f t="shared" si="36"/>
        <v>1746</v>
      </c>
      <c r="B209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09" t="str">
        <f>"2"</f>
        <v>2</v>
      </c>
      <c r="D209" t="str">
        <f>"1"</f>
        <v>1</v>
      </c>
      <c r="E209" t="str">
        <f>"2"</f>
        <v>2</v>
      </c>
      <c r="F209" s="1">
        <v>388887079.94</v>
      </c>
    </row>
    <row r="210" spans="1:6" x14ac:dyDescent="0.25">
      <c r="A210" t="str">
        <f t="shared" si="36"/>
        <v>1746</v>
      </c>
      <c r="B210" t="str">
        <f t="shared" si="37"/>
        <v>Начисленные доходы по ценным бумагам, учитываемым по справедливой стоимости через прочий совокупный доход</v>
      </c>
      <c r="C210" t="str">
        <f>"1"</f>
        <v>1</v>
      </c>
      <c r="D210" t="str">
        <f>"6"</f>
        <v>6</v>
      </c>
      <c r="E210" t="str">
        <f>"2"</f>
        <v>2</v>
      </c>
      <c r="F210" s="1">
        <v>177685119.59999999</v>
      </c>
    </row>
    <row r="211" spans="1:6" x14ac:dyDescent="0.25">
      <c r="A211" t="str">
        <f>"1748"</f>
        <v>1748</v>
      </c>
      <c r="B211" t="s">
        <v>6</v>
      </c>
      <c r="C211" t="str">
        <f>"1"</f>
        <v>1</v>
      </c>
      <c r="D211" t="str">
        <f>"5"</f>
        <v>5</v>
      </c>
      <c r="E211" t="str">
        <f>"1"</f>
        <v>1</v>
      </c>
      <c r="F211" s="1">
        <v>2769945.05</v>
      </c>
    </row>
    <row r="212" spans="1:6" x14ac:dyDescent="0.25">
      <c r="A212" t="str">
        <f>"1750"</f>
        <v>1750</v>
      </c>
      <c r="B212" t="str">
        <f>"Просроченное вознаграждение по ценным бумагам"</f>
        <v>Просроченное вознаграждение по ценным бумагам</v>
      </c>
      <c r="C212" t="str">
        <f>"2"</f>
        <v>2</v>
      </c>
      <c r="D212" t="str">
        <f>"5"</f>
        <v>5</v>
      </c>
      <c r="E212" t="str">
        <f>"2"</f>
        <v>2</v>
      </c>
      <c r="F212" s="1">
        <v>2310943499.5100002</v>
      </c>
    </row>
    <row r="213" spans="1:6" x14ac:dyDescent="0.25">
      <c r="A213" t="str">
        <f>"1750"</f>
        <v>1750</v>
      </c>
      <c r="B213" t="str">
        <f>"Просроченное вознаграждение по ценным бумагам"</f>
        <v>Просроченное вознаграждение по ценным бумагам</v>
      </c>
      <c r="C213" t="str">
        <f>"2"</f>
        <v>2</v>
      </c>
      <c r="D213" t="str">
        <f>"4"</f>
        <v>4</v>
      </c>
      <c r="E213" t="str">
        <f>"2"</f>
        <v>2</v>
      </c>
      <c r="F213" s="1">
        <v>217055790.90000001</v>
      </c>
    </row>
    <row r="214" spans="1:6" x14ac:dyDescent="0.25">
      <c r="A214" t="str">
        <f>"1793"</f>
        <v>1793</v>
      </c>
      <c r="B214" t="str">
        <f>"Расходы будущих периодов"</f>
        <v>Расходы будущих периодов</v>
      </c>
      <c r="C214" t="str">
        <f>"1"</f>
        <v>1</v>
      </c>
      <c r="D214" t="str">
        <f>"7"</f>
        <v>7</v>
      </c>
      <c r="E214" t="str">
        <f t="shared" ref="E214:E222" si="38">"1"</f>
        <v>1</v>
      </c>
      <c r="F214" s="1">
        <v>755533193.22000003</v>
      </c>
    </row>
    <row r="215" spans="1:6" x14ac:dyDescent="0.25">
      <c r="A215" t="str">
        <f>"1793"</f>
        <v>1793</v>
      </c>
      <c r="B215" t="str">
        <f>"Расходы будущих периодов"</f>
        <v>Расходы будущих периодов</v>
      </c>
      <c r="C215" t="str">
        <f>"1"</f>
        <v>1</v>
      </c>
      <c r="D215" t="str">
        <f>"5"</f>
        <v>5</v>
      </c>
      <c r="E215" t="str">
        <f t="shared" si="38"/>
        <v>1</v>
      </c>
      <c r="F215" s="1">
        <v>2260115282.6599998</v>
      </c>
    </row>
    <row r="216" spans="1:6" x14ac:dyDescent="0.25">
      <c r="A216" t="str">
        <f>"1793"</f>
        <v>1793</v>
      </c>
      <c r="B216" t="str">
        <f>"Расходы будущих периодов"</f>
        <v>Расходы будущих периодов</v>
      </c>
      <c r="C216" t="str">
        <f>"2"</f>
        <v>2</v>
      </c>
      <c r="D216" t="str">
        <f>"7"</f>
        <v>7</v>
      </c>
      <c r="E216" t="str">
        <f t="shared" si="38"/>
        <v>1</v>
      </c>
      <c r="F216" s="1">
        <v>30483659.949999999</v>
      </c>
    </row>
    <row r="217" spans="1:6" x14ac:dyDescent="0.25">
      <c r="A217" t="str">
        <f>"1793"</f>
        <v>1793</v>
      </c>
      <c r="B217" t="str">
        <f>"Расходы будущих периодов"</f>
        <v>Расходы будущих периодов</v>
      </c>
      <c r="C217" t="str">
        <f>"1"</f>
        <v>1</v>
      </c>
      <c r="D217" t="str">
        <f>"9"</f>
        <v>9</v>
      </c>
      <c r="E217" t="str">
        <f t="shared" si="38"/>
        <v>1</v>
      </c>
      <c r="F217" s="1">
        <v>1921027.73</v>
      </c>
    </row>
    <row r="218" spans="1:6" x14ac:dyDescent="0.25">
      <c r="A218" t="str">
        <f>"1811"</f>
        <v>1811</v>
      </c>
      <c r="B21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8" t="str">
        <f>"1"</f>
        <v>1</v>
      </c>
      <c r="D218" t="str">
        <f>""</f>
        <v/>
      </c>
      <c r="E218" t="str">
        <f t="shared" si="38"/>
        <v>1</v>
      </c>
      <c r="F218" s="1">
        <v>158608790.91</v>
      </c>
    </row>
    <row r="219" spans="1:6" x14ac:dyDescent="0.25">
      <c r="A219" t="str">
        <f>"1811"</f>
        <v>1811</v>
      </c>
      <c r="B21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9" t="str">
        <f>"2"</f>
        <v>2</v>
      </c>
      <c r="D219" t="str">
        <f>""</f>
        <v/>
      </c>
      <c r="E219" t="str">
        <f t="shared" si="38"/>
        <v>1</v>
      </c>
      <c r="F219" s="1">
        <v>54413.65</v>
      </c>
    </row>
    <row r="220" spans="1:6" x14ac:dyDescent="0.25">
      <c r="A220" t="str">
        <f>"1812"</f>
        <v>1812</v>
      </c>
      <c r="B220" t="str">
        <f>"Начисленные комиссионные доходы за агентские услуги"</f>
        <v>Начисленные комиссионные доходы за агентские услуги</v>
      </c>
      <c r="C220" t="str">
        <f t="shared" ref="C220:C225" si="39">"1"</f>
        <v>1</v>
      </c>
      <c r="D220" t="str">
        <f>""</f>
        <v/>
      </c>
      <c r="E220" t="str">
        <f t="shared" si="38"/>
        <v>1</v>
      </c>
      <c r="F220" s="1">
        <v>453371424.57999998</v>
      </c>
    </row>
    <row r="221" spans="1:6" x14ac:dyDescent="0.25">
      <c r="A221" t="str">
        <f>"1815"</f>
        <v>1815</v>
      </c>
      <c r="B22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221" t="str">
        <f t="shared" si="39"/>
        <v>1</v>
      </c>
      <c r="D221" t="str">
        <f>""</f>
        <v/>
      </c>
      <c r="E221" t="str">
        <f t="shared" si="38"/>
        <v>1</v>
      </c>
      <c r="F221" s="1">
        <v>476324.47</v>
      </c>
    </row>
    <row r="222" spans="1:6" x14ac:dyDescent="0.25">
      <c r="A222" t="str">
        <f>"1816"</f>
        <v>1816</v>
      </c>
      <c r="B22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2" t="str">
        <f t="shared" si="39"/>
        <v>1</v>
      </c>
      <c r="D222" t="str">
        <f>""</f>
        <v/>
      </c>
      <c r="E222" t="str">
        <f t="shared" si="38"/>
        <v>1</v>
      </c>
      <c r="F222" s="1">
        <v>631581003.24000001</v>
      </c>
    </row>
    <row r="223" spans="1:6" x14ac:dyDescent="0.25">
      <c r="A223" t="str">
        <f>"1816"</f>
        <v>1816</v>
      </c>
      <c r="B22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3" t="str">
        <f t="shared" si="39"/>
        <v>1</v>
      </c>
      <c r="D223" t="str">
        <f>""</f>
        <v/>
      </c>
      <c r="E223" t="str">
        <f>"2"</f>
        <v>2</v>
      </c>
      <c r="F223" s="1">
        <v>86776762.5</v>
      </c>
    </row>
    <row r="224" spans="1:6" x14ac:dyDescent="0.25">
      <c r="A224" t="str">
        <f>"1816"</f>
        <v>1816</v>
      </c>
      <c r="B22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4" t="str">
        <f t="shared" si="39"/>
        <v>1</v>
      </c>
      <c r="D224" t="str">
        <f>""</f>
        <v/>
      </c>
      <c r="E224" t="str">
        <f>"3"</f>
        <v>3</v>
      </c>
      <c r="F224" s="1">
        <v>13933775.18</v>
      </c>
    </row>
    <row r="225" spans="1:6" x14ac:dyDescent="0.25">
      <c r="A225" t="str">
        <f>"1817"</f>
        <v>1817</v>
      </c>
      <c r="B22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5" t="str">
        <f t="shared" si="39"/>
        <v>1</v>
      </c>
      <c r="D225" t="str">
        <f>""</f>
        <v/>
      </c>
      <c r="E225" t="str">
        <f>"1"</f>
        <v>1</v>
      </c>
      <c r="F225" s="1">
        <v>1177449.08</v>
      </c>
    </row>
    <row r="226" spans="1:6" x14ac:dyDescent="0.25">
      <c r="A226" t="str">
        <f>"1817"</f>
        <v>1817</v>
      </c>
      <c r="B22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6" t="str">
        <f>"2"</f>
        <v>2</v>
      </c>
      <c r="D226" t="str">
        <f>""</f>
        <v/>
      </c>
      <c r="E226" t="str">
        <f>"1"</f>
        <v>1</v>
      </c>
      <c r="F226" s="1">
        <v>1797.91</v>
      </c>
    </row>
    <row r="227" spans="1:6" x14ac:dyDescent="0.25">
      <c r="A227" t="str">
        <f>"1818"</f>
        <v>1818</v>
      </c>
      <c r="B227" t="str">
        <f>"Начисленные прочие комиссионные доходы"</f>
        <v>Начисленные прочие комиссионные доходы</v>
      </c>
      <c r="C227" t="str">
        <f>"1"</f>
        <v>1</v>
      </c>
      <c r="D227" t="str">
        <f>""</f>
        <v/>
      </c>
      <c r="E227" t="str">
        <f>"1"</f>
        <v>1</v>
      </c>
      <c r="F227" s="1">
        <v>167018880.02000001</v>
      </c>
    </row>
    <row r="228" spans="1:6" x14ac:dyDescent="0.25">
      <c r="A228" t="str">
        <f>"1818"</f>
        <v>1818</v>
      </c>
      <c r="B228" t="str">
        <f>"Начисленные прочие комиссионные доходы"</f>
        <v>Начисленные прочие комиссионные доходы</v>
      </c>
      <c r="C228" t="str">
        <f>"2"</f>
        <v>2</v>
      </c>
      <c r="D228" t="str">
        <f>""</f>
        <v/>
      </c>
      <c r="E228" t="str">
        <f>"1"</f>
        <v>1</v>
      </c>
      <c r="F228" s="1">
        <v>188108.45</v>
      </c>
    </row>
    <row r="229" spans="1:6" x14ac:dyDescent="0.25">
      <c r="A229" t="str">
        <f>"1818"</f>
        <v>1818</v>
      </c>
      <c r="B229" t="str">
        <f>"Начисленные прочие комиссионные доходы"</f>
        <v>Начисленные прочие комиссионные доходы</v>
      </c>
      <c r="C229" t="str">
        <f>"2"</f>
        <v>2</v>
      </c>
      <c r="D229" t="str">
        <f>""</f>
        <v/>
      </c>
      <c r="E229" t="str">
        <f>"2"</f>
        <v>2</v>
      </c>
      <c r="F229" s="1">
        <v>48657063.399999999</v>
      </c>
    </row>
    <row r="230" spans="1:6" x14ac:dyDescent="0.25">
      <c r="A230" t="str">
        <f>"1818"</f>
        <v>1818</v>
      </c>
      <c r="B230" t="str">
        <f>"Начисленные прочие комиссионные доходы"</f>
        <v>Начисленные прочие комиссионные доходы</v>
      </c>
      <c r="C230" t="str">
        <f>"2"</f>
        <v>2</v>
      </c>
      <c r="D230" t="str">
        <f>""</f>
        <v/>
      </c>
      <c r="E230" t="str">
        <f>"3"</f>
        <v>3</v>
      </c>
      <c r="F230" s="1">
        <v>0.28999999999999998</v>
      </c>
    </row>
    <row r="231" spans="1:6" x14ac:dyDescent="0.25">
      <c r="A231" t="str">
        <f>"1819"</f>
        <v>1819</v>
      </c>
      <c r="B23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31" t="str">
        <f>"1"</f>
        <v>1</v>
      </c>
      <c r="D231" t="str">
        <f>""</f>
        <v/>
      </c>
      <c r="E231" t="str">
        <f>"1"</f>
        <v>1</v>
      </c>
      <c r="F231" s="1">
        <v>46566856.359999999</v>
      </c>
    </row>
    <row r="232" spans="1:6" x14ac:dyDescent="0.25">
      <c r="A232" t="str">
        <f>"1821"</f>
        <v>1821</v>
      </c>
      <c r="B23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2" t="str">
        <f>"1"</f>
        <v>1</v>
      </c>
      <c r="D232" t="str">
        <f>""</f>
        <v/>
      </c>
      <c r="E232" t="str">
        <f>"1"</f>
        <v>1</v>
      </c>
      <c r="F232" s="1">
        <v>41373508.119999997</v>
      </c>
    </row>
    <row r="233" spans="1:6" x14ac:dyDescent="0.25">
      <c r="A233" t="str">
        <f>"1821"</f>
        <v>1821</v>
      </c>
      <c r="B23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3" t="str">
        <f>"2"</f>
        <v>2</v>
      </c>
      <c r="D233" t="str">
        <f>""</f>
        <v/>
      </c>
      <c r="E233" t="str">
        <f>"1"</f>
        <v>1</v>
      </c>
      <c r="F233" s="1">
        <v>3281833.94</v>
      </c>
    </row>
    <row r="234" spans="1:6" x14ac:dyDescent="0.25">
      <c r="A234" t="str">
        <f>"1822"</f>
        <v>1822</v>
      </c>
      <c r="B23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4" t="str">
        <f>"1"</f>
        <v>1</v>
      </c>
      <c r="D234" t="str">
        <f>""</f>
        <v/>
      </c>
      <c r="E234" t="str">
        <f>"1"</f>
        <v>1</v>
      </c>
      <c r="F234" s="1">
        <v>76160</v>
      </c>
    </row>
    <row r="235" spans="1:6" x14ac:dyDescent="0.25">
      <c r="A235" t="str">
        <f>"1822"</f>
        <v>1822</v>
      </c>
      <c r="B23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5" t="str">
        <f>"2"</f>
        <v>2</v>
      </c>
      <c r="D235" t="str">
        <f>""</f>
        <v/>
      </c>
      <c r="E235" t="str">
        <f>"2"</f>
        <v>2</v>
      </c>
      <c r="F235" s="1">
        <v>520399.73</v>
      </c>
    </row>
    <row r="236" spans="1:6" x14ac:dyDescent="0.25">
      <c r="A236" t="str">
        <f>"1825"</f>
        <v>1825</v>
      </c>
      <c r="B236" t="str">
        <f>"Начисленные комиссионные доходы за услуги по инкассации"</f>
        <v>Начисленные комиссионные доходы за услуги по инкассации</v>
      </c>
      <c r="C236" t="str">
        <f>"1"</f>
        <v>1</v>
      </c>
      <c r="D236" t="str">
        <f>""</f>
        <v/>
      </c>
      <c r="E236" t="str">
        <f t="shared" ref="E236:E241" si="40">"1"</f>
        <v>1</v>
      </c>
      <c r="F236" s="1">
        <v>393000</v>
      </c>
    </row>
    <row r="237" spans="1:6" x14ac:dyDescent="0.25">
      <c r="A237" t="str">
        <f>"1831"</f>
        <v>1831</v>
      </c>
      <c r="B23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7" t="str">
        <f>"1"</f>
        <v>1</v>
      </c>
      <c r="D237" t="str">
        <f>""</f>
        <v/>
      </c>
      <c r="E237" t="str">
        <f t="shared" si="40"/>
        <v>1</v>
      </c>
      <c r="F237" s="1">
        <v>2317502.9</v>
      </c>
    </row>
    <row r="238" spans="1:6" x14ac:dyDescent="0.25">
      <c r="A238" t="str">
        <f>"1836"</f>
        <v>1836</v>
      </c>
      <c r="B23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38" t="str">
        <f>"1"</f>
        <v>1</v>
      </c>
      <c r="D238" t="str">
        <f>""</f>
        <v/>
      </c>
      <c r="E238" t="str">
        <f t="shared" si="40"/>
        <v>1</v>
      </c>
      <c r="F238" s="1">
        <v>14661597.02</v>
      </c>
    </row>
    <row r="239" spans="1:6" x14ac:dyDescent="0.25">
      <c r="A239" t="str">
        <f>"1837"</f>
        <v>1837</v>
      </c>
      <c r="B23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39" t="str">
        <f>"1"</f>
        <v>1</v>
      </c>
      <c r="D239" t="str">
        <f>""</f>
        <v/>
      </c>
      <c r="E239" t="str">
        <f t="shared" si="40"/>
        <v>1</v>
      </c>
      <c r="F239" s="1">
        <v>7714210.8499999996</v>
      </c>
    </row>
    <row r="240" spans="1:6" x14ac:dyDescent="0.25">
      <c r="A240" t="str">
        <f>"1837"</f>
        <v>1837</v>
      </c>
      <c r="B240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40" t="str">
        <f>"2"</f>
        <v>2</v>
      </c>
      <c r="D240" t="str">
        <f>""</f>
        <v/>
      </c>
      <c r="E240" t="str">
        <f t="shared" si="40"/>
        <v>1</v>
      </c>
      <c r="F240" s="1">
        <v>65700</v>
      </c>
    </row>
    <row r="241" spans="1:6" x14ac:dyDescent="0.25">
      <c r="A241" t="str">
        <f>"1838"</f>
        <v>1838</v>
      </c>
      <c r="B241" t="str">
        <f>"Просроченные прочие комиссионные доходы"</f>
        <v>Просроченные прочие комиссионные доходы</v>
      </c>
      <c r="C241" t="str">
        <f>"2"</f>
        <v>2</v>
      </c>
      <c r="D241" t="str">
        <f>""</f>
        <v/>
      </c>
      <c r="E241" t="str">
        <f t="shared" si="40"/>
        <v>1</v>
      </c>
      <c r="F241" s="1">
        <v>27370.39</v>
      </c>
    </row>
    <row r="242" spans="1:6" x14ac:dyDescent="0.25">
      <c r="A242" t="str">
        <f>"1838"</f>
        <v>1838</v>
      </c>
      <c r="B242" t="str">
        <f>"Просроченные прочие комиссионные доходы"</f>
        <v>Просроченные прочие комиссионные доходы</v>
      </c>
      <c r="C242" t="str">
        <f t="shared" ref="C242:C248" si="41">"1"</f>
        <v>1</v>
      </c>
      <c r="D242" t="str">
        <f>""</f>
        <v/>
      </c>
      <c r="E242" t="str">
        <f>"2"</f>
        <v>2</v>
      </c>
      <c r="F242" s="1">
        <v>1914885</v>
      </c>
    </row>
    <row r="243" spans="1:6" x14ac:dyDescent="0.25">
      <c r="A243" t="str">
        <f>"1838"</f>
        <v>1838</v>
      </c>
      <c r="B243" t="str">
        <f>"Просроченные прочие комиссионные доходы"</f>
        <v>Просроченные прочие комиссионные доходы</v>
      </c>
      <c r="C243" t="str">
        <f t="shared" si="41"/>
        <v>1</v>
      </c>
      <c r="D243" t="str">
        <f>""</f>
        <v/>
      </c>
      <c r="E243" t="str">
        <f>"1"</f>
        <v>1</v>
      </c>
      <c r="F243" s="1">
        <v>190460354.28999999</v>
      </c>
    </row>
    <row r="244" spans="1:6" x14ac:dyDescent="0.25">
      <c r="A244" t="str">
        <f>"1839"</f>
        <v>1839</v>
      </c>
      <c r="B244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44" t="str">
        <f t="shared" si="41"/>
        <v>1</v>
      </c>
      <c r="D244" t="str">
        <f>""</f>
        <v/>
      </c>
      <c r="E244" t="str">
        <f>"1"</f>
        <v>1</v>
      </c>
      <c r="F244" s="1">
        <v>5476391.0300000003</v>
      </c>
    </row>
    <row r="245" spans="1:6" x14ac:dyDescent="0.25">
      <c r="A245" t="str">
        <f>"1841"</f>
        <v>1841</v>
      </c>
      <c r="B245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45" t="str">
        <f t="shared" si="41"/>
        <v>1</v>
      </c>
      <c r="D245" t="str">
        <f>""</f>
        <v/>
      </c>
      <c r="E245" t="str">
        <f>"1"</f>
        <v>1</v>
      </c>
      <c r="F245" s="1">
        <v>988236.93</v>
      </c>
    </row>
    <row r="246" spans="1:6" x14ac:dyDescent="0.25">
      <c r="A246" t="str">
        <f>"1845"</f>
        <v>1845</v>
      </c>
      <c r="B24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6" t="str">
        <f t="shared" si="41"/>
        <v>1</v>
      </c>
      <c r="D246" t="str">
        <f>""</f>
        <v/>
      </c>
      <c r="E246" t="str">
        <f>"1"</f>
        <v>1</v>
      </c>
      <c r="F246" s="1">
        <v>-200105936.5</v>
      </c>
    </row>
    <row r="247" spans="1:6" x14ac:dyDescent="0.25">
      <c r="A247" t="str">
        <f>"1845"</f>
        <v>1845</v>
      </c>
      <c r="B24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7" t="str">
        <f t="shared" si="41"/>
        <v>1</v>
      </c>
      <c r="D247" t="str">
        <f>""</f>
        <v/>
      </c>
      <c r="E247" t="str">
        <f>"2"</f>
        <v>2</v>
      </c>
      <c r="F247" s="1">
        <v>-3437516.17</v>
      </c>
    </row>
    <row r="248" spans="1:6" x14ac:dyDescent="0.25">
      <c r="A248" t="str">
        <f>"1845"</f>
        <v>1845</v>
      </c>
      <c r="B24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8" t="str">
        <f t="shared" si="41"/>
        <v>1</v>
      </c>
      <c r="D248" t="str">
        <f>""</f>
        <v/>
      </c>
      <c r="E248" t="str">
        <f>"3"</f>
        <v>3</v>
      </c>
      <c r="F248" s="1">
        <v>-274261.81</v>
      </c>
    </row>
    <row r="249" spans="1:6" x14ac:dyDescent="0.25">
      <c r="A249" t="str">
        <f>"1845"</f>
        <v>1845</v>
      </c>
      <c r="B24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9" t="str">
        <f>"2"</f>
        <v>2</v>
      </c>
      <c r="D249" t="str">
        <f>""</f>
        <v/>
      </c>
      <c r="E249" t="str">
        <f>"1"</f>
        <v>1</v>
      </c>
      <c r="F249" s="1">
        <v>-71000.899999999994</v>
      </c>
    </row>
    <row r="250" spans="1:6" x14ac:dyDescent="0.25">
      <c r="A250" t="str">
        <f>"1845"</f>
        <v>1845</v>
      </c>
      <c r="B25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0" t="str">
        <f>"2"</f>
        <v>2</v>
      </c>
      <c r="D250" t="str">
        <f>""</f>
        <v/>
      </c>
      <c r="E250" t="str">
        <f>"2"</f>
        <v>2</v>
      </c>
      <c r="F250" s="1">
        <v>-1548.99</v>
      </c>
    </row>
    <row r="251" spans="1:6" x14ac:dyDescent="0.25">
      <c r="A251" t="str">
        <f>"1851"</f>
        <v>1851</v>
      </c>
      <c r="B25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51" t="str">
        <f>"1"</f>
        <v>1</v>
      </c>
      <c r="D251" t="str">
        <f>"1"</f>
        <v>1</v>
      </c>
      <c r="E251" t="str">
        <f>"1"</f>
        <v>1</v>
      </c>
      <c r="F251" s="1">
        <v>2130403698.8699999</v>
      </c>
    </row>
    <row r="252" spans="1:6" x14ac:dyDescent="0.25">
      <c r="A252" t="str">
        <f>"1852"</f>
        <v>1852</v>
      </c>
      <c r="B25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2" t="str">
        <f>"1"</f>
        <v>1</v>
      </c>
      <c r="D252" t="str">
        <f>"5"</f>
        <v>5</v>
      </c>
      <c r="E252" t="str">
        <f>"2"</f>
        <v>2</v>
      </c>
      <c r="F252" s="1">
        <v>21398597000</v>
      </c>
    </row>
    <row r="253" spans="1:6" x14ac:dyDescent="0.25">
      <c r="A253" t="str">
        <f>"1854"</f>
        <v>1854</v>
      </c>
      <c r="B253" t="str">
        <f>"Расчеты с работниками"</f>
        <v>Расчеты с работниками</v>
      </c>
      <c r="C253" t="str">
        <f>""</f>
        <v/>
      </c>
      <c r="D253" t="str">
        <f>""</f>
        <v/>
      </c>
      <c r="E253" t="str">
        <f>""</f>
        <v/>
      </c>
      <c r="F253" s="1">
        <v>8111103.5700000003</v>
      </c>
    </row>
    <row r="254" spans="1:6" x14ac:dyDescent="0.25">
      <c r="A254" t="str">
        <f>"1856"</f>
        <v>1856</v>
      </c>
      <c r="B254" t="str">
        <f>"Дебиторы по капитальным вложениям"</f>
        <v>Дебиторы по капитальным вложениям</v>
      </c>
      <c r="C254" t="str">
        <f>"1"</f>
        <v>1</v>
      </c>
      <c r="D254" t="str">
        <f>"7"</f>
        <v>7</v>
      </c>
      <c r="E254" t="str">
        <f>"1"</f>
        <v>1</v>
      </c>
      <c r="F254" s="1">
        <v>317479252.16000003</v>
      </c>
    </row>
    <row r="255" spans="1:6" x14ac:dyDescent="0.25">
      <c r="A255" t="str">
        <f>"1856"</f>
        <v>1856</v>
      </c>
      <c r="B255" t="str">
        <f>"Дебиторы по капитальным вложениям"</f>
        <v>Дебиторы по капитальным вложениям</v>
      </c>
      <c r="C255" t="str">
        <f>"1"</f>
        <v>1</v>
      </c>
      <c r="D255" t="str">
        <f>"9"</f>
        <v>9</v>
      </c>
      <c r="E255" t="str">
        <f>"1"</f>
        <v>1</v>
      </c>
      <c r="F255" s="1">
        <v>54226836.539999999</v>
      </c>
    </row>
    <row r="256" spans="1:6" x14ac:dyDescent="0.25">
      <c r="A256" t="str">
        <f>"1856"</f>
        <v>1856</v>
      </c>
      <c r="B256" t="str">
        <f>"Дебиторы по капитальным вложениям"</f>
        <v>Дебиторы по капитальным вложениям</v>
      </c>
      <c r="C256" t="str">
        <f>"2"</f>
        <v>2</v>
      </c>
      <c r="D256" t="str">
        <f>"7"</f>
        <v>7</v>
      </c>
      <c r="E256" t="str">
        <f>"1"</f>
        <v>1</v>
      </c>
      <c r="F256" s="1">
        <v>136402985.52000001</v>
      </c>
    </row>
    <row r="257" spans="1:6" x14ac:dyDescent="0.25">
      <c r="A257" t="str">
        <f>"1857"</f>
        <v>1857</v>
      </c>
      <c r="B257" t="str">
        <f>"Отложенные налоговые активы"</f>
        <v>Отложенные налоговые активы</v>
      </c>
      <c r="C257" t="str">
        <f>""</f>
        <v/>
      </c>
      <c r="D257" t="str">
        <f>""</f>
        <v/>
      </c>
      <c r="E257" t="str">
        <f>""</f>
        <v/>
      </c>
      <c r="F257" s="1">
        <v>744099000</v>
      </c>
    </row>
    <row r="258" spans="1:6" x14ac:dyDescent="0.25">
      <c r="A258" t="str">
        <f t="shared" ref="A258:A274" si="42">"1860"</f>
        <v>1860</v>
      </c>
      <c r="B258" t="str">
        <f t="shared" ref="B258:B274" si="43">"Прочие дебиторы по банковской деятельности"</f>
        <v>Прочие дебиторы по банковской деятельности</v>
      </c>
      <c r="C258" t="str">
        <f t="shared" ref="C258:C263" si="44">"1"</f>
        <v>1</v>
      </c>
      <c r="D258" t="str">
        <f>"4"</f>
        <v>4</v>
      </c>
      <c r="E258" t="str">
        <f>"1"</f>
        <v>1</v>
      </c>
      <c r="F258" s="1">
        <v>543421</v>
      </c>
    </row>
    <row r="259" spans="1:6" x14ac:dyDescent="0.25">
      <c r="A259" t="str">
        <f t="shared" si="42"/>
        <v>1860</v>
      </c>
      <c r="B259" t="str">
        <f t="shared" si="43"/>
        <v>Прочие дебиторы по банковской деятельности</v>
      </c>
      <c r="C259" t="str">
        <f t="shared" si="44"/>
        <v>1</v>
      </c>
      <c r="D259" t="str">
        <f>"5"</f>
        <v>5</v>
      </c>
      <c r="E259" t="str">
        <f>"1"</f>
        <v>1</v>
      </c>
      <c r="F259" s="1">
        <v>62659059.039999999</v>
      </c>
    </row>
    <row r="260" spans="1:6" x14ac:dyDescent="0.25">
      <c r="A260" t="str">
        <f t="shared" si="42"/>
        <v>1860</v>
      </c>
      <c r="B260" t="str">
        <f t="shared" si="43"/>
        <v>Прочие дебиторы по банковской деятельности</v>
      </c>
      <c r="C260" t="str">
        <f t="shared" si="44"/>
        <v>1</v>
      </c>
      <c r="D260" t="str">
        <f>"1"</f>
        <v>1</v>
      </c>
      <c r="E260" t="str">
        <f>"1"</f>
        <v>1</v>
      </c>
      <c r="F260" s="1">
        <v>22739765.68</v>
      </c>
    </row>
    <row r="261" spans="1:6" x14ac:dyDescent="0.25">
      <c r="A261" t="str">
        <f t="shared" si="42"/>
        <v>1860</v>
      </c>
      <c r="B261" t="str">
        <f t="shared" si="43"/>
        <v>Прочие дебиторы по банковской деятельности</v>
      </c>
      <c r="C261" t="str">
        <f t="shared" si="44"/>
        <v>1</v>
      </c>
      <c r="D261" t="str">
        <f>"9"</f>
        <v>9</v>
      </c>
      <c r="E261" t="str">
        <f>"1"</f>
        <v>1</v>
      </c>
      <c r="F261" s="1">
        <v>1451238712.0699999</v>
      </c>
    </row>
    <row r="262" spans="1:6" x14ac:dyDescent="0.25">
      <c r="A262" t="str">
        <f t="shared" si="42"/>
        <v>1860</v>
      </c>
      <c r="B262" t="str">
        <f t="shared" si="43"/>
        <v>Прочие дебиторы по банковской деятельности</v>
      </c>
      <c r="C262" t="str">
        <f t="shared" si="44"/>
        <v>1</v>
      </c>
      <c r="D262" t="str">
        <f>"7"</f>
        <v>7</v>
      </c>
      <c r="E262" t="str">
        <f>"1"</f>
        <v>1</v>
      </c>
      <c r="F262" s="1">
        <v>4621837362.46</v>
      </c>
    </row>
    <row r="263" spans="1:6" x14ac:dyDescent="0.25">
      <c r="A263" t="str">
        <f t="shared" si="42"/>
        <v>1860</v>
      </c>
      <c r="B263" t="str">
        <f t="shared" si="43"/>
        <v>Прочие дебиторы по банковской деятельности</v>
      </c>
      <c r="C263" t="str">
        <f t="shared" si="44"/>
        <v>1</v>
      </c>
      <c r="D263" t="str">
        <f>"7"</f>
        <v>7</v>
      </c>
      <c r="E263" t="str">
        <f>"2"</f>
        <v>2</v>
      </c>
      <c r="F263" s="1">
        <v>150782040.25</v>
      </c>
    </row>
    <row r="264" spans="1:6" x14ac:dyDescent="0.25">
      <c r="A264" t="str">
        <f t="shared" si="42"/>
        <v>1860</v>
      </c>
      <c r="B264" t="str">
        <f t="shared" si="43"/>
        <v>Прочие дебиторы по банковской деятельности</v>
      </c>
      <c r="C264" t="str">
        <f>"2"</f>
        <v>2</v>
      </c>
      <c r="D264" t="str">
        <f>"4"</f>
        <v>4</v>
      </c>
      <c r="E264" t="str">
        <f>"3"</f>
        <v>3</v>
      </c>
      <c r="F264" s="1">
        <v>40431798.840000004</v>
      </c>
    </row>
    <row r="265" spans="1:6" x14ac:dyDescent="0.25">
      <c r="A265" t="str">
        <f t="shared" si="42"/>
        <v>1860</v>
      </c>
      <c r="B265" t="str">
        <f t="shared" si="43"/>
        <v>Прочие дебиторы по банковской деятельности</v>
      </c>
      <c r="C265" t="str">
        <f>"1"</f>
        <v>1</v>
      </c>
      <c r="D265" t="str">
        <f>"6"</f>
        <v>6</v>
      </c>
      <c r="E265" t="str">
        <f>"1"</f>
        <v>1</v>
      </c>
      <c r="F265" s="1">
        <v>10464979.800000001</v>
      </c>
    </row>
    <row r="266" spans="1:6" x14ac:dyDescent="0.25">
      <c r="A266" t="str">
        <f t="shared" si="42"/>
        <v>1860</v>
      </c>
      <c r="B266" t="str">
        <f t="shared" si="43"/>
        <v>Прочие дебиторы по банковской деятельности</v>
      </c>
      <c r="C266" t="str">
        <f>"2"</f>
        <v>2</v>
      </c>
      <c r="D266" t="str">
        <f>"4"</f>
        <v>4</v>
      </c>
      <c r="E266" t="str">
        <f>"2"</f>
        <v>2</v>
      </c>
      <c r="F266" s="1">
        <v>245707848.03</v>
      </c>
    </row>
    <row r="267" spans="1:6" x14ac:dyDescent="0.25">
      <c r="A267" t="str">
        <f t="shared" si="42"/>
        <v>1860</v>
      </c>
      <c r="B267" t="str">
        <f t="shared" si="43"/>
        <v>Прочие дебиторы по банковской деятельности</v>
      </c>
      <c r="C267" t="str">
        <f>"1"</f>
        <v>1</v>
      </c>
      <c r="D267" t="str">
        <f>"8"</f>
        <v>8</v>
      </c>
      <c r="E267" t="str">
        <f>"1"</f>
        <v>1</v>
      </c>
      <c r="F267" s="1">
        <v>6210000</v>
      </c>
    </row>
    <row r="268" spans="1:6" x14ac:dyDescent="0.25">
      <c r="A268" t="str">
        <f t="shared" si="42"/>
        <v>1860</v>
      </c>
      <c r="B268" t="str">
        <f t="shared" si="43"/>
        <v>Прочие дебиторы по банковской деятельности</v>
      </c>
      <c r="C268" t="str">
        <f>"1"</f>
        <v>1</v>
      </c>
      <c r="D268" t="str">
        <f>"9"</f>
        <v>9</v>
      </c>
      <c r="E268" t="str">
        <f>"2"</f>
        <v>2</v>
      </c>
      <c r="F268" s="1">
        <v>12806231.67</v>
      </c>
    </row>
    <row r="269" spans="1:6" x14ac:dyDescent="0.25">
      <c r="A269" t="str">
        <f t="shared" si="42"/>
        <v>1860</v>
      </c>
      <c r="B269" t="str">
        <f t="shared" si="43"/>
        <v>Прочие дебиторы по банковской деятельности</v>
      </c>
      <c r="C269" t="str">
        <f t="shared" ref="C269:C274" si="45">"2"</f>
        <v>2</v>
      </c>
      <c r="D269" t="str">
        <f>"5"</f>
        <v>5</v>
      </c>
      <c r="E269" t="str">
        <f>"1"</f>
        <v>1</v>
      </c>
      <c r="F269" s="1">
        <v>945922.5</v>
      </c>
    </row>
    <row r="270" spans="1:6" x14ac:dyDescent="0.25">
      <c r="A270" t="str">
        <f t="shared" si="42"/>
        <v>1860</v>
      </c>
      <c r="B270" t="str">
        <f t="shared" si="43"/>
        <v>Прочие дебиторы по банковской деятельности</v>
      </c>
      <c r="C270" t="str">
        <f t="shared" si="45"/>
        <v>2</v>
      </c>
      <c r="D270" t="str">
        <f>"7"</f>
        <v>7</v>
      </c>
      <c r="E270" t="str">
        <f>"3"</f>
        <v>3</v>
      </c>
      <c r="F270" s="1">
        <v>52506911.640000001</v>
      </c>
    </row>
    <row r="271" spans="1:6" x14ac:dyDescent="0.25">
      <c r="A271" t="str">
        <f t="shared" si="42"/>
        <v>1860</v>
      </c>
      <c r="B271" t="str">
        <f t="shared" si="43"/>
        <v>Прочие дебиторы по банковской деятельности</v>
      </c>
      <c r="C271" t="str">
        <f t="shared" si="45"/>
        <v>2</v>
      </c>
      <c r="D271" t="str">
        <f>"7"</f>
        <v>7</v>
      </c>
      <c r="E271" t="str">
        <f>"1"</f>
        <v>1</v>
      </c>
      <c r="F271" s="1">
        <v>52456.59</v>
      </c>
    </row>
    <row r="272" spans="1:6" x14ac:dyDescent="0.25">
      <c r="A272" t="str">
        <f t="shared" si="42"/>
        <v>1860</v>
      </c>
      <c r="B272" t="str">
        <f t="shared" si="43"/>
        <v>Прочие дебиторы по банковской деятельности</v>
      </c>
      <c r="C272" t="str">
        <f t="shared" si="45"/>
        <v>2</v>
      </c>
      <c r="D272" t="str">
        <f>"9"</f>
        <v>9</v>
      </c>
      <c r="E272" t="str">
        <f>"1"</f>
        <v>1</v>
      </c>
      <c r="F272" s="1">
        <v>2971867.62</v>
      </c>
    </row>
    <row r="273" spans="1:6" x14ac:dyDescent="0.25">
      <c r="A273" t="str">
        <f t="shared" si="42"/>
        <v>1860</v>
      </c>
      <c r="B273" t="str">
        <f t="shared" si="43"/>
        <v>Прочие дебиторы по банковской деятельности</v>
      </c>
      <c r="C273" t="str">
        <f t="shared" si="45"/>
        <v>2</v>
      </c>
      <c r="D273" t="str">
        <f>"5"</f>
        <v>5</v>
      </c>
      <c r="E273" t="str">
        <f>"2"</f>
        <v>2</v>
      </c>
      <c r="F273" s="1">
        <v>109383962.69</v>
      </c>
    </row>
    <row r="274" spans="1:6" x14ac:dyDescent="0.25">
      <c r="A274" t="str">
        <f t="shared" si="42"/>
        <v>1860</v>
      </c>
      <c r="B274" t="str">
        <f t="shared" si="43"/>
        <v>Прочие дебиторы по банковской деятельности</v>
      </c>
      <c r="C274" t="str">
        <f t="shared" si="45"/>
        <v>2</v>
      </c>
      <c r="D274" t="str">
        <f>"9"</f>
        <v>9</v>
      </c>
      <c r="E274" t="str">
        <f>"2"</f>
        <v>2</v>
      </c>
      <c r="F274" s="1">
        <v>1370385.73</v>
      </c>
    </row>
    <row r="275" spans="1:6" x14ac:dyDescent="0.25">
      <c r="A275" t="str">
        <f>"1861"</f>
        <v>1861</v>
      </c>
      <c r="B275" t="str">
        <f>"Дебиторы по гарантиям"</f>
        <v>Дебиторы по гарантиям</v>
      </c>
      <c r="C275" t="str">
        <f t="shared" ref="C275:C281" si="46">"1"</f>
        <v>1</v>
      </c>
      <c r="D275" t="str">
        <f>"7"</f>
        <v>7</v>
      </c>
      <c r="E275" t="str">
        <f t="shared" ref="E275:E282" si="47">"1"</f>
        <v>1</v>
      </c>
      <c r="F275" s="1">
        <v>1195370404</v>
      </c>
    </row>
    <row r="276" spans="1:6" x14ac:dyDescent="0.25">
      <c r="A276" t="str">
        <f t="shared" ref="A276:A282" si="48">"1867"</f>
        <v>1867</v>
      </c>
      <c r="B276" t="str">
        <f t="shared" ref="B276:B282" si="49">"Прочие дебиторы по неосновной деятельности"</f>
        <v>Прочие дебиторы по неосновной деятельности</v>
      </c>
      <c r="C276" t="str">
        <f t="shared" si="46"/>
        <v>1</v>
      </c>
      <c r="D276" t="str">
        <f>"6"</f>
        <v>6</v>
      </c>
      <c r="E276" t="str">
        <f t="shared" si="47"/>
        <v>1</v>
      </c>
      <c r="F276" s="1">
        <v>29125756.030000001</v>
      </c>
    </row>
    <row r="277" spans="1:6" x14ac:dyDescent="0.25">
      <c r="A277" t="str">
        <f t="shared" si="48"/>
        <v>1867</v>
      </c>
      <c r="B277" t="str">
        <f t="shared" si="49"/>
        <v>Прочие дебиторы по неосновной деятельности</v>
      </c>
      <c r="C277" t="str">
        <f t="shared" si="46"/>
        <v>1</v>
      </c>
      <c r="D277" t="str">
        <f>"1"</f>
        <v>1</v>
      </c>
      <c r="E277" t="str">
        <f t="shared" si="47"/>
        <v>1</v>
      </c>
      <c r="F277" s="1">
        <v>71115</v>
      </c>
    </row>
    <row r="278" spans="1:6" x14ac:dyDescent="0.25">
      <c r="A278" t="str">
        <f t="shared" si="48"/>
        <v>1867</v>
      </c>
      <c r="B278" t="str">
        <f t="shared" si="49"/>
        <v>Прочие дебиторы по неосновной деятельности</v>
      </c>
      <c r="C278" t="str">
        <f t="shared" si="46"/>
        <v>1</v>
      </c>
      <c r="D278" t="str">
        <f>"7"</f>
        <v>7</v>
      </c>
      <c r="E278" t="str">
        <f t="shared" si="47"/>
        <v>1</v>
      </c>
      <c r="F278" s="1">
        <v>1540248076.8</v>
      </c>
    </row>
    <row r="279" spans="1:6" x14ac:dyDescent="0.25">
      <c r="A279" t="str">
        <f t="shared" si="48"/>
        <v>1867</v>
      </c>
      <c r="B279" t="str">
        <f t="shared" si="49"/>
        <v>Прочие дебиторы по неосновной деятельности</v>
      </c>
      <c r="C279" t="str">
        <f t="shared" si="46"/>
        <v>1</v>
      </c>
      <c r="D279" t="str">
        <f>"8"</f>
        <v>8</v>
      </c>
      <c r="E279" t="str">
        <f t="shared" si="47"/>
        <v>1</v>
      </c>
      <c r="F279" s="1">
        <v>3912876</v>
      </c>
    </row>
    <row r="280" spans="1:6" x14ac:dyDescent="0.25">
      <c r="A280" t="str">
        <f t="shared" si="48"/>
        <v>1867</v>
      </c>
      <c r="B280" t="str">
        <f t="shared" si="49"/>
        <v>Прочие дебиторы по неосновной деятельности</v>
      </c>
      <c r="C280" t="str">
        <f t="shared" si="46"/>
        <v>1</v>
      </c>
      <c r="D280" t="str">
        <f>"5"</f>
        <v>5</v>
      </c>
      <c r="E280" t="str">
        <f t="shared" si="47"/>
        <v>1</v>
      </c>
      <c r="F280" s="1">
        <v>15118484</v>
      </c>
    </row>
    <row r="281" spans="1:6" x14ac:dyDescent="0.25">
      <c r="A281" t="str">
        <f t="shared" si="48"/>
        <v>1867</v>
      </c>
      <c r="B281" t="str">
        <f t="shared" si="49"/>
        <v>Прочие дебиторы по неосновной деятельности</v>
      </c>
      <c r="C281" t="str">
        <f t="shared" si="46"/>
        <v>1</v>
      </c>
      <c r="D281" t="str">
        <f>"9"</f>
        <v>9</v>
      </c>
      <c r="E281" t="str">
        <f t="shared" si="47"/>
        <v>1</v>
      </c>
      <c r="F281" s="1">
        <v>348789492.18000001</v>
      </c>
    </row>
    <row r="282" spans="1:6" x14ac:dyDescent="0.25">
      <c r="A282" t="str">
        <f t="shared" si="48"/>
        <v>1867</v>
      </c>
      <c r="B282" t="str">
        <f t="shared" si="49"/>
        <v>Прочие дебиторы по неосновной деятельности</v>
      </c>
      <c r="C282" t="str">
        <f>"2"</f>
        <v>2</v>
      </c>
      <c r="D282" t="str">
        <f>"7"</f>
        <v>7</v>
      </c>
      <c r="E282" t="str">
        <f t="shared" si="47"/>
        <v>1</v>
      </c>
      <c r="F282" s="1">
        <v>165440578.86000001</v>
      </c>
    </row>
    <row r="283" spans="1:6" x14ac:dyDescent="0.25">
      <c r="A283" t="str">
        <f t="shared" ref="A283:A288" si="50">"1870"</f>
        <v>1870</v>
      </c>
      <c r="B283" t="str">
        <f t="shared" ref="B283:B288" si="51">"Прочие транзитные счета"</f>
        <v>Прочие транзитные счета</v>
      </c>
      <c r="C283" t="str">
        <f>"1"</f>
        <v>1</v>
      </c>
      <c r="D283" t="str">
        <f>"9"</f>
        <v>9</v>
      </c>
      <c r="E283" t="str">
        <f>"2"</f>
        <v>2</v>
      </c>
      <c r="F283" s="1">
        <v>34471062.689999998</v>
      </c>
    </row>
    <row r="284" spans="1:6" x14ac:dyDescent="0.25">
      <c r="A284" t="str">
        <f t="shared" si="50"/>
        <v>1870</v>
      </c>
      <c r="B284" t="str">
        <f t="shared" si="51"/>
        <v>Прочие транзитные счета</v>
      </c>
      <c r="C284" t="str">
        <f>"1"</f>
        <v>1</v>
      </c>
      <c r="D284" t="str">
        <f>"3"</f>
        <v>3</v>
      </c>
      <c r="E284" t="str">
        <f>"1"</f>
        <v>1</v>
      </c>
      <c r="F284" s="1">
        <v>969241.42</v>
      </c>
    </row>
    <row r="285" spans="1:6" x14ac:dyDescent="0.25">
      <c r="A285" t="str">
        <f t="shared" si="50"/>
        <v>1870</v>
      </c>
      <c r="B285" t="str">
        <f t="shared" si="51"/>
        <v>Прочие транзитные счета</v>
      </c>
      <c r="C285" t="str">
        <f>"1"</f>
        <v>1</v>
      </c>
      <c r="D285" t="str">
        <f>"9"</f>
        <v>9</v>
      </c>
      <c r="E285" t="str">
        <f>"1"</f>
        <v>1</v>
      </c>
      <c r="F285" s="1">
        <v>4891551266.4399996</v>
      </c>
    </row>
    <row r="286" spans="1:6" x14ac:dyDescent="0.25">
      <c r="A286" t="str">
        <f t="shared" si="50"/>
        <v>1870</v>
      </c>
      <c r="B286" t="str">
        <f t="shared" si="51"/>
        <v>Прочие транзитные счета</v>
      </c>
      <c r="C286" t="str">
        <f>"2"</f>
        <v>2</v>
      </c>
      <c r="D286" t="str">
        <f>"4"</f>
        <v>4</v>
      </c>
      <c r="E286" t="str">
        <f>"2"</f>
        <v>2</v>
      </c>
      <c r="F286" s="1">
        <v>198886.45</v>
      </c>
    </row>
    <row r="287" spans="1:6" x14ac:dyDescent="0.25">
      <c r="A287" t="str">
        <f t="shared" si="50"/>
        <v>1870</v>
      </c>
      <c r="B287" t="str">
        <f t="shared" si="51"/>
        <v>Прочие транзитные счета</v>
      </c>
      <c r="C287" t="str">
        <f>"2"</f>
        <v>2</v>
      </c>
      <c r="D287" t="str">
        <f>"4"</f>
        <v>4</v>
      </c>
      <c r="E287" t="str">
        <f>"3"</f>
        <v>3</v>
      </c>
      <c r="F287" s="1">
        <v>3571210.89</v>
      </c>
    </row>
    <row r="288" spans="1:6" x14ac:dyDescent="0.25">
      <c r="A288" t="str">
        <f t="shared" si="50"/>
        <v>1870</v>
      </c>
      <c r="B288" t="str">
        <f t="shared" si="51"/>
        <v>Прочие транзитные счета</v>
      </c>
      <c r="C288" t="str">
        <f>"1"</f>
        <v>1</v>
      </c>
      <c r="D288" t="str">
        <f>"9"</f>
        <v>9</v>
      </c>
      <c r="E288" t="str">
        <f>"3"</f>
        <v>3</v>
      </c>
      <c r="F288" s="1">
        <v>153.22999999999999</v>
      </c>
    </row>
    <row r="289" spans="1:6" x14ac:dyDescent="0.25">
      <c r="A289" t="str">
        <f t="shared" ref="A289:A297" si="52">"1877"</f>
        <v>1877</v>
      </c>
      <c r="B289" t="str">
        <f t="shared" ref="B289:B297" si="53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89" t="str">
        <f>"1"</f>
        <v>1</v>
      </c>
      <c r="D289" t="str">
        <f>"9"</f>
        <v>9</v>
      </c>
      <c r="E289" t="str">
        <f>"2"</f>
        <v>2</v>
      </c>
      <c r="F289" s="1">
        <v>-2293793.27</v>
      </c>
    </row>
    <row r="290" spans="1:6" x14ac:dyDescent="0.25">
      <c r="A290" t="str">
        <f t="shared" si="52"/>
        <v>1877</v>
      </c>
      <c r="B290" t="str">
        <f t="shared" si="53"/>
        <v>Резервы (провизии) по дебиторской задолженности, связанной с банковской деятельностью</v>
      </c>
      <c r="C290" t="str">
        <f>"2"</f>
        <v>2</v>
      </c>
      <c r="D290" t="str">
        <f>"4"</f>
        <v>4</v>
      </c>
      <c r="E290" t="str">
        <f>"2"</f>
        <v>2</v>
      </c>
      <c r="F290" s="1">
        <v>-8010073.71</v>
      </c>
    </row>
    <row r="291" spans="1:6" x14ac:dyDescent="0.25">
      <c r="A291" t="str">
        <f t="shared" si="52"/>
        <v>1877</v>
      </c>
      <c r="B291" t="str">
        <f t="shared" si="53"/>
        <v>Резервы (провизии) по дебиторской задолженности, связанной с банковской деятельностью</v>
      </c>
      <c r="C291" t="str">
        <f>"1"</f>
        <v>1</v>
      </c>
      <c r="D291" t="str">
        <f>"7"</f>
        <v>7</v>
      </c>
      <c r="E291" t="str">
        <f>"1"</f>
        <v>1</v>
      </c>
      <c r="F291" s="1">
        <v>-2561506884.4000001</v>
      </c>
    </row>
    <row r="292" spans="1:6" x14ac:dyDescent="0.25">
      <c r="A292" t="str">
        <f t="shared" si="52"/>
        <v>1877</v>
      </c>
      <c r="B292" t="str">
        <f t="shared" si="53"/>
        <v>Резервы (провизии) по дебиторской задолженности, связанной с банковской деятельностью</v>
      </c>
      <c r="C292" t="str">
        <f>"1"</f>
        <v>1</v>
      </c>
      <c r="D292" t="str">
        <f>"9"</f>
        <v>9</v>
      </c>
      <c r="E292" t="str">
        <f>"1"</f>
        <v>1</v>
      </c>
      <c r="F292" s="1">
        <v>-1602178304.8299999</v>
      </c>
    </row>
    <row r="293" spans="1:6" x14ac:dyDescent="0.25">
      <c r="A293" t="str">
        <f t="shared" si="52"/>
        <v>1877</v>
      </c>
      <c r="B293" t="str">
        <f t="shared" si="53"/>
        <v>Резервы (провизии) по дебиторской задолженности, связанной с банковской деятельностью</v>
      </c>
      <c r="C293" t="str">
        <f>"2"</f>
        <v>2</v>
      </c>
      <c r="D293" t="str">
        <f>"5"</f>
        <v>5</v>
      </c>
      <c r="E293" t="str">
        <f>"2"</f>
        <v>2</v>
      </c>
      <c r="F293" s="1">
        <v>-105533989.75</v>
      </c>
    </row>
    <row r="294" spans="1:6" x14ac:dyDescent="0.25">
      <c r="A294" t="str">
        <f t="shared" si="52"/>
        <v>1877</v>
      </c>
      <c r="B294" t="str">
        <f t="shared" si="53"/>
        <v>Резервы (провизии) по дебиторской задолженности, связанной с банковской деятельностью</v>
      </c>
      <c r="C294" t="str">
        <f>"2"</f>
        <v>2</v>
      </c>
      <c r="D294" t="str">
        <f>"9"</f>
        <v>9</v>
      </c>
      <c r="E294" t="str">
        <f>"1"</f>
        <v>1</v>
      </c>
      <c r="F294" s="1">
        <v>-1412139.16</v>
      </c>
    </row>
    <row r="295" spans="1:6" x14ac:dyDescent="0.25">
      <c r="A295" t="str">
        <f t="shared" si="52"/>
        <v>1877</v>
      </c>
      <c r="B295" t="str">
        <f t="shared" si="53"/>
        <v>Резервы (провизии) по дебиторской задолженности, связанной с банковской деятельностью</v>
      </c>
      <c r="C295" t="str">
        <f>"2"</f>
        <v>2</v>
      </c>
      <c r="D295" t="str">
        <f>"7"</f>
        <v>7</v>
      </c>
      <c r="E295" t="str">
        <f>"3"</f>
        <v>3</v>
      </c>
      <c r="F295" s="1">
        <v>-84586360.480000004</v>
      </c>
    </row>
    <row r="296" spans="1:6" x14ac:dyDescent="0.25">
      <c r="A296" t="str">
        <f t="shared" si="52"/>
        <v>1877</v>
      </c>
      <c r="B296" t="str">
        <f t="shared" si="53"/>
        <v>Резервы (провизии) по дебиторской задолженности, связанной с банковской деятельностью</v>
      </c>
      <c r="C296" t="str">
        <f>"2"</f>
        <v>2</v>
      </c>
      <c r="D296" t="str">
        <f>"9"</f>
        <v>9</v>
      </c>
      <c r="E296" t="str">
        <f>"2"</f>
        <v>2</v>
      </c>
      <c r="F296" s="1">
        <v>-803282.83</v>
      </c>
    </row>
    <row r="297" spans="1:6" x14ac:dyDescent="0.25">
      <c r="A297" t="str">
        <f t="shared" si="52"/>
        <v>1877</v>
      </c>
      <c r="B297" t="str">
        <f t="shared" si="53"/>
        <v>Резервы (провизии) по дебиторской задолженности, связанной с банковской деятельностью</v>
      </c>
      <c r="C297" t="str">
        <f>"1"</f>
        <v>1</v>
      </c>
      <c r="D297" t="str">
        <f>"4"</f>
        <v>4</v>
      </c>
      <c r="E297" t="str">
        <f t="shared" ref="E297:E305" si="54">"1"</f>
        <v>1</v>
      </c>
      <c r="F297" s="1">
        <v>-4340599.25</v>
      </c>
    </row>
    <row r="298" spans="1:6" x14ac:dyDescent="0.25">
      <c r="A298" t="str">
        <f>"1878"</f>
        <v>1878</v>
      </c>
      <c r="B29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8" t="str">
        <f>"1"</f>
        <v>1</v>
      </c>
      <c r="D298" t="str">
        <f>"7"</f>
        <v>7</v>
      </c>
      <c r="E298" t="str">
        <f t="shared" si="54"/>
        <v>1</v>
      </c>
      <c r="F298" s="1">
        <v>-80000</v>
      </c>
    </row>
    <row r="299" spans="1:6" x14ac:dyDescent="0.25">
      <c r="A299" t="str">
        <f>"1878"</f>
        <v>1878</v>
      </c>
      <c r="B29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9" t="str">
        <f>"1"</f>
        <v>1</v>
      </c>
      <c r="D299" t="str">
        <f>"9"</f>
        <v>9</v>
      </c>
      <c r="E299" t="str">
        <f t="shared" si="54"/>
        <v>1</v>
      </c>
      <c r="F299" s="1">
        <v>-24212705.300000001</v>
      </c>
    </row>
    <row r="300" spans="1:6" x14ac:dyDescent="0.25">
      <c r="A300" t="str">
        <f>"1878"</f>
        <v>1878</v>
      </c>
      <c r="B30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00" t="str">
        <f>"2"</f>
        <v>2</v>
      </c>
      <c r="D300" t="str">
        <f>"7"</f>
        <v>7</v>
      </c>
      <c r="E300" t="str">
        <f t="shared" si="54"/>
        <v>1</v>
      </c>
      <c r="F300" s="1">
        <v>-4662500</v>
      </c>
    </row>
    <row r="301" spans="1:6" x14ac:dyDescent="0.25">
      <c r="A301" t="str">
        <f>"1879"</f>
        <v>1879</v>
      </c>
      <c r="B301" t="str">
        <f>"Начисленная неустойка (штраф, пеня)"</f>
        <v>Начисленная неустойка (штраф, пеня)</v>
      </c>
      <c r="C301" t="str">
        <f>"1"</f>
        <v>1</v>
      </c>
      <c r="D301" t="str">
        <f>"9"</f>
        <v>9</v>
      </c>
      <c r="E301" t="str">
        <f t="shared" si="54"/>
        <v>1</v>
      </c>
      <c r="F301" s="1">
        <v>894576470.72000003</v>
      </c>
    </row>
    <row r="302" spans="1:6" x14ac:dyDescent="0.25">
      <c r="A302" t="str">
        <f>"1879"</f>
        <v>1879</v>
      </c>
      <c r="B302" t="str">
        <f>"Начисленная неустойка (штраф, пеня)"</f>
        <v>Начисленная неустойка (штраф, пеня)</v>
      </c>
      <c r="C302" t="str">
        <f>"1"</f>
        <v>1</v>
      </c>
      <c r="D302" t="str">
        <f>"5"</f>
        <v>5</v>
      </c>
      <c r="E302" t="str">
        <f t="shared" si="54"/>
        <v>1</v>
      </c>
      <c r="F302" s="1">
        <v>3644969.99</v>
      </c>
    </row>
    <row r="303" spans="1:6" x14ac:dyDescent="0.25">
      <c r="A303" t="str">
        <f>"1879"</f>
        <v>1879</v>
      </c>
      <c r="B303" t="str">
        <f>"Начисленная неустойка (штраф, пеня)"</f>
        <v>Начисленная неустойка (штраф, пеня)</v>
      </c>
      <c r="C303" t="str">
        <f>"1"</f>
        <v>1</v>
      </c>
      <c r="D303" t="str">
        <f>"7"</f>
        <v>7</v>
      </c>
      <c r="E303" t="str">
        <f t="shared" si="54"/>
        <v>1</v>
      </c>
      <c r="F303" s="1">
        <v>589043077.86000001</v>
      </c>
    </row>
    <row r="304" spans="1:6" x14ac:dyDescent="0.25">
      <c r="A304" t="str">
        <f>"1879"</f>
        <v>1879</v>
      </c>
      <c r="B304" t="str">
        <f>"Начисленная неустойка (штраф, пеня)"</f>
        <v>Начисленная неустойка (штраф, пеня)</v>
      </c>
      <c r="C304" t="str">
        <f>"2"</f>
        <v>2</v>
      </c>
      <c r="D304" t="str">
        <f>"9"</f>
        <v>9</v>
      </c>
      <c r="E304" t="str">
        <f t="shared" si="54"/>
        <v>1</v>
      </c>
      <c r="F304" s="1">
        <v>1057417.8400000001</v>
      </c>
    </row>
    <row r="305" spans="1:6" x14ac:dyDescent="0.25">
      <c r="A305" t="str">
        <f t="shared" ref="A305:A314" si="55">"1894"</f>
        <v>1894</v>
      </c>
      <c r="B305" t="str">
        <f t="shared" ref="B305:B314" si="56">"Требования по операциям спот"</f>
        <v>Требования по операциям спот</v>
      </c>
      <c r="C305" t="str">
        <f>"1"</f>
        <v>1</v>
      </c>
      <c r="D305" t="str">
        <f>"4"</f>
        <v>4</v>
      </c>
      <c r="E305" t="str">
        <f t="shared" si="54"/>
        <v>1</v>
      </c>
      <c r="F305" s="1">
        <v>16187800000</v>
      </c>
    </row>
    <row r="306" spans="1:6" x14ac:dyDescent="0.25">
      <c r="A306" t="str">
        <f t="shared" si="55"/>
        <v>1894</v>
      </c>
      <c r="B306" t="str">
        <f t="shared" si="56"/>
        <v>Требования по операциям спот</v>
      </c>
      <c r="C306" t="str">
        <f>"1"</f>
        <v>1</v>
      </c>
      <c r="D306" t="str">
        <f>"4"</f>
        <v>4</v>
      </c>
      <c r="E306" t="str">
        <f>"2"</f>
        <v>2</v>
      </c>
      <c r="F306" s="1">
        <v>49974406796</v>
      </c>
    </row>
    <row r="307" spans="1:6" x14ac:dyDescent="0.25">
      <c r="A307" t="str">
        <f t="shared" si="55"/>
        <v>1894</v>
      </c>
      <c r="B307" t="str">
        <f t="shared" si="56"/>
        <v>Требования по операциям спот</v>
      </c>
      <c r="C307" t="str">
        <f>"1"</f>
        <v>1</v>
      </c>
      <c r="D307" t="str">
        <f>"5"</f>
        <v>5</v>
      </c>
      <c r="E307" t="str">
        <f>"1"</f>
        <v>1</v>
      </c>
      <c r="F307" s="1">
        <v>13336465648.700001</v>
      </c>
    </row>
    <row r="308" spans="1:6" x14ac:dyDescent="0.25">
      <c r="A308" t="str">
        <f t="shared" si="55"/>
        <v>1894</v>
      </c>
      <c r="B308" t="str">
        <f t="shared" si="56"/>
        <v>Требования по операциям спот</v>
      </c>
      <c r="C308" t="str">
        <f>"2"</f>
        <v>2</v>
      </c>
      <c r="D308" t="str">
        <f>"4"</f>
        <v>4</v>
      </c>
      <c r="E308" t="str">
        <f>"1"</f>
        <v>1</v>
      </c>
      <c r="F308" s="1">
        <v>5079343000</v>
      </c>
    </row>
    <row r="309" spans="1:6" x14ac:dyDescent="0.25">
      <c r="A309" t="str">
        <f t="shared" si="55"/>
        <v>1894</v>
      </c>
      <c r="B309" t="str">
        <f t="shared" si="56"/>
        <v>Требования по операциям спот</v>
      </c>
      <c r="C309" t="str">
        <f>"1"</f>
        <v>1</v>
      </c>
      <c r="D309" t="str">
        <f>"5"</f>
        <v>5</v>
      </c>
      <c r="E309" t="str">
        <f>"2"</f>
        <v>2</v>
      </c>
      <c r="F309" s="1">
        <v>7562055413</v>
      </c>
    </row>
    <row r="310" spans="1:6" x14ac:dyDescent="0.25">
      <c r="A310" t="str">
        <f t="shared" si="55"/>
        <v>1894</v>
      </c>
      <c r="B310" t="str">
        <f t="shared" si="56"/>
        <v>Требования по операциям спот</v>
      </c>
      <c r="C310" t="str">
        <f>"2"</f>
        <v>2</v>
      </c>
      <c r="D310" t="str">
        <f>"4"</f>
        <v>4</v>
      </c>
      <c r="E310" t="str">
        <f>"3"</f>
        <v>3</v>
      </c>
      <c r="F310" s="1">
        <v>8805960039.0400009</v>
      </c>
    </row>
    <row r="311" spans="1:6" x14ac:dyDescent="0.25">
      <c r="A311" t="str">
        <f t="shared" si="55"/>
        <v>1894</v>
      </c>
      <c r="B311" t="str">
        <f t="shared" si="56"/>
        <v>Требования по операциям спот</v>
      </c>
      <c r="C311" t="str">
        <f>"2"</f>
        <v>2</v>
      </c>
      <c r="D311" t="str">
        <f>"5"</f>
        <v>5</v>
      </c>
      <c r="E311" t="str">
        <f>"3"</f>
        <v>3</v>
      </c>
      <c r="F311" s="1">
        <v>13930098384.6</v>
      </c>
    </row>
    <row r="312" spans="1:6" x14ac:dyDescent="0.25">
      <c r="A312" t="str">
        <f t="shared" si="55"/>
        <v>1894</v>
      </c>
      <c r="B312" t="str">
        <f t="shared" si="56"/>
        <v>Требования по операциям спот</v>
      </c>
      <c r="C312" t="str">
        <f>"2"</f>
        <v>2</v>
      </c>
      <c r="D312" t="str">
        <f>"4"</f>
        <v>4</v>
      </c>
      <c r="E312" t="str">
        <f>"2"</f>
        <v>2</v>
      </c>
      <c r="F312" s="1">
        <v>4099375800</v>
      </c>
    </row>
    <row r="313" spans="1:6" x14ac:dyDescent="0.25">
      <c r="A313" t="str">
        <f t="shared" si="55"/>
        <v>1894</v>
      </c>
      <c r="B313" t="str">
        <f t="shared" si="56"/>
        <v>Требования по операциям спот</v>
      </c>
      <c r="C313" t="str">
        <f>"2"</f>
        <v>2</v>
      </c>
      <c r="D313" t="str">
        <f>"5"</f>
        <v>5</v>
      </c>
      <c r="E313" t="str">
        <f>"1"</f>
        <v>1</v>
      </c>
      <c r="F313" s="1">
        <v>1467205730</v>
      </c>
    </row>
    <row r="314" spans="1:6" x14ac:dyDescent="0.25">
      <c r="A314" t="str">
        <f t="shared" si="55"/>
        <v>1894</v>
      </c>
      <c r="B314" t="str">
        <f t="shared" si="56"/>
        <v>Требования по операциям спот</v>
      </c>
      <c r="C314" t="str">
        <f>"2"</f>
        <v>2</v>
      </c>
      <c r="D314" t="str">
        <f>"5"</f>
        <v>5</v>
      </c>
      <c r="E314" t="str">
        <f>"2"</f>
        <v>2</v>
      </c>
      <c r="F314" s="1">
        <v>2274609180</v>
      </c>
    </row>
    <row r="315" spans="1:6" x14ac:dyDescent="0.25">
      <c r="A315" t="str">
        <f>"1895"</f>
        <v>1895</v>
      </c>
      <c r="B315" t="str">
        <f>"Требования по операциям своп"</f>
        <v>Требования по операциям своп</v>
      </c>
      <c r="C315" t="str">
        <f>"1"</f>
        <v>1</v>
      </c>
      <c r="D315" t="str">
        <f>"5"</f>
        <v>5</v>
      </c>
      <c r="E315" t="str">
        <f>"1"</f>
        <v>1</v>
      </c>
      <c r="F315" s="1">
        <v>1418133082.1700001</v>
      </c>
    </row>
    <row r="316" spans="1:6" x14ac:dyDescent="0.25">
      <c r="A316" t="str">
        <f>"2013"</f>
        <v>2013</v>
      </c>
      <c r="B316" t="str">
        <f>"Корреспондентские счета других банков"</f>
        <v>Корреспондентские счета других банков</v>
      </c>
      <c r="C316" t="str">
        <f>"2"</f>
        <v>2</v>
      </c>
      <c r="D316" t="str">
        <f>"4"</f>
        <v>4</v>
      </c>
      <c r="E316" t="str">
        <f>"1"</f>
        <v>1</v>
      </c>
      <c r="F316" s="1">
        <v>291395808.01999998</v>
      </c>
    </row>
    <row r="317" spans="1:6" x14ac:dyDescent="0.25">
      <c r="A317" t="str">
        <f>"2013"</f>
        <v>2013</v>
      </c>
      <c r="B317" t="str">
        <f>"Корреспондентские счета других банков"</f>
        <v>Корреспондентские счета других банков</v>
      </c>
      <c r="C317" t="str">
        <f>"1"</f>
        <v>1</v>
      </c>
      <c r="D317" t="str">
        <f>"4"</f>
        <v>4</v>
      </c>
      <c r="E317" t="str">
        <f>"3"</f>
        <v>3</v>
      </c>
      <c r="F317" s="1">
        <v>2572950811.5999999</v>
      </c>
    </row>
    <row r="318" spans="1:6" x14ac:dyDescent="0.25">
      <c r="A318" t="str">
        <f>"2013"</f>
        <v>2013</v>
      </c>
      <c r="B318" t="str">
        <f>"Корреспондентские счета других банков"</f>
        <v>Корреспондентские счета других банков</v>
      </c>
      <c r="C318" t="str">
        <f>"1"</f>
        <v>1</v>
      </c>
      <c r="D318" t="str">
        <f>"4"</f>
        <v>4</v>
      </c>
      <c r="E318" t="str">
        <f>"2"</f>
        <v>2</v>
      </c>
      <c r="F318" s="1">
        <v>10103067234.700001</v>
      </c>
    </row>
    <row r="319" spans="1:6" x14ac:dyDescent="0.25">
      <c r="A319" t="str">
        <f>"2013"</f>
        <v>2013</v>
      </c>
      <c r="B319" t="str">
        <f>"Корреспондентские счета других банков"</f>
        <v>Корреспондентские счета других банков</v>
      </c>
      <c r="C319" t="str">
        <f>"2"</f>
        <v>2</v>
      </c>
      <c r="D319" t="str">
        <f>"4"</f>
        <v>4</v>
      </c>
      <c r="E319" t="str">
        <f>"2"</f>
        <v>2</v>
      </c>
      <c r="F319" s="1">
        <v>5896736615.7399998</v>
      </c>
    </row>
    <row r="320" spans="1:6" x14ac:dyDescent="0.25">
      <c r="A320" t="str">
        <f>"2013"</f>
        <v>2013</v>
      </c>
      <c r="B320" t="str">
        <f>"Корреспондентские счета других банков"</f>
        <v>Корреспондентские счета других банков</v>
      </c>
      <c r="C320" t="str">
        <f>"2"</f>
        <v>2</v>
      </c>
      <c r="D320" t="str">
        <f>"4"</f>
        <v>4</v>
      </c>
      <c r="E320" t="str">
        <f>"3"</f>
        <v>3</v>
      </c>
      <c r="F320" s="1">
        <v>84388303.099999994</v>
      </c>
    </row>
    <row r="321" spans="1:6" x14ac:dyDescent="0.25">
      <c r="A321" t="str">
        <f>"2014"</f>
        <v>2014</v>
      </c>
      <c r="B32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21" t="str">
        <f>"2"</f>
        <v>2</v>
      </c>
      <c r="D321" t="str">
        <f>"5"</f>
        <v>5</v>
      </c>
      <c r="E321" t="str">
        <f>"2"</f>
        <v>2</v>
      </c>
      <c r="F321" s="1">
        <v>39082.449999999997</v>
      </c>
    </row>
    <row r="322" spans="1:6" x14ac:dyDescent="0.25">
      <c r="A322" t="str">
        <f>"2036"</f>
        <v>2036</v>
      </c>
      <c r="B322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C322" t="str">
        <f>"1"</f>
        <v>1</v>
      </c>
      <c r="D322" t="str">
        <f>"1"</f>
        <v>1</v>
      </c>
      <c r="E322" t="str">
        <f>"1"</f>
        <v>1</v>
      </c>
      <c r="F322" s="1">
        <v>50098749</v>
      </c>
    </row>
    <row r="323" spans="1:6" x14ac:dyDescent="0.25">
      <c r="A323" t="str">
        <f>"2036"</f>
        <v>2036</v>
      </c>
      <c r="B32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C323" t="str">
        <f>"1"</f>
        <v>1</v>
      </c>
      <c r="D323" t="str">
        <f>"1"</f>
        <v>1</v>
      </c>
      <c r="E323" t="str">
        <f>"2"</f>
        <v>2</v>
      </c>
      <c r="F323" s="1">
        <v>51463863.030000001</v>
      </c>
    </row>
    <row r="324" spans="1:6" x14ac:dyDescent="0.25">
      <c r="A324" t="str">
        <f>"2056"</f>
        <v>2056</v>
      </c>
      <c r="B324" t="str">
        <f>"Долгосрочные займы, полученные от других банков"</f>
        <v>Долгосрочные займы, полученные от других банков</v>
      </c>
      <c r="C324" t="str">
        <f>"1"</f>
        <v>1</v>
      </c>
      <c r="D324" t="str">
        <f>"4"</f>
        <v>4</v>
      </c>
      <c r="E324" t="str">
        <f>"1"</f>
        <v>1</v>
      </c>
      <c r="F324" s="1">
        <v>23893122019.099998</v>
      </c>
    </row>
    <row r="325" spans="1:6" x14ac:dyDescent="0.25">
      <c r="A325" t="str">
        <f>"2066"</f>
        <v>2066</v>
      </c>
      <c r="B325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325" t="str">
        <f>"1"</f>
        <v>1</v>
      </c>
      <c r="D325" t="str">
        <f>"5"</f>
        <v>5</v>
      </c>
      <c r="E325" t="str">
        <f>"1"</f>
        <v>1</v>
      </c>
      <c r="F325" s="1">
        <v>43611255742.139999</v>
      </c>
    </row>
    <row r="326" spans="1:6" x14ac:dyDescent="0.25">
      <c r="A326" t="str">
        <f>"2123"</f>
        <v>2123</v>
      </c>
      <c r="B326" t="str">
        <f>"Краткосрочные вклады других банков (до одного месяца)"</f>
        <v>Краткосрочные вклады других банков (до одного месяца)</v>
      </c>
      <c r="C326" t="str">
        <f>"2"</f>
        <v>2</v>
      </c>
      <c r="D326" t="str">
        <f>"4"</f>
        <v>4</v>
      </c>
      <c r="E326" t="str">
        <f>"3"</f>
        <v>3</v>
      </c>
      <c r="F326" s="1">
        <v>585600000</v>
      </c>
    </row>
    <row r="327" spans="1:6" x14ac:dyDescent="0.25">
      <c r="A327" t="str">
        <f>"2125"</f>
        <v>2125</v>
      </c>
      <c r="B327" t="str">
        <f>"Вклады, привлеченные от других банков на одну ночь"</f>
        <v>Вклады, привлеченные от других банков на одну ночь</v>
      </c>
      <c r="C327" t="str">
        <f>"2"</f>
        <v>2</v>
      </c>
      <c r="D327" t="str">
        <f>"4"</f>
        <v>4</v>
      </c>
      <c r="E327" t="str">
        <f>"1"</f>
        <v>1</v>
      </c>
      <c r="F327" s="1">
        <v>470000000</v>
      </c>
    </row>
    <row r="328" spans="1:6" x14ac:dyDescent="0.25">
      <c r="A328" t="str">
        <f>"2130"</f>
        <v>2130</v>
      </c>
      <c r="B328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328" t="str">
        <f t="shared" ref="C328:C343" si="57">"1"</f>
        <v>1</v>
      </c>
      <c r="D328" t="str">
        <f>"4"</f>
        <v>4</v>
      </c>
      <c r="E328" t="str">
        <f>"2"</f>
        <v>2</v>
      </c>
      <c r="F328" s="1">
        <v>711705000</v>
      </c>
    </row>
    <row r="329" spans="1:6" x14ac:dyDescent="0.25">
      <c r="A329" t="str">
        <f>"2202"</f>
        <v>2202</v>
      </c>
      <c r="B329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29" t="str">
        <f t="shared" si="57"/>
        <v>1</v>
      </c>
      <c r="D329" t="str">
        <f>"5"</f>
        <v>5</v>
      </c>
      <c r="E329" t="str">
        <f>"2"</f>
        <v>2</v>
      </c>
      <c r="F329" s="1">
        <v>447752689.43000001</v>
      </c>
    </row>
    <row r="330" spans="1:6" x14ac:dyDescent="0.25">
      <c r="A330" t="str">
        <f>"2202"</f>
        <v>2202</v>
      </c>
      <c r="B330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30" t="str">
        <f t="shared" si="57"/>
        <v>1</v>
      </c>
      <c r="D330" t="str">
        <f>"5"</f>
        <v>5</v>
      </c>
      <c r="E330" t="str">
        <f>"1"</f>
        <v>1</v>
      </c>
      <c r="F330" s="1">
        <v>59035702.020000003</v>
      </c>
    </row>
    <row r="331" spans="1:6" x14ac:dyDescent="0.25">
      <c r="A331" t="str">
        <f t="shared" ref="A331:A353" si="58">"2203"</f>
        <v>2203</v>
      </c>
      <c r="B331" t="str">
        <f t="shared" ref="B331:B353" si="59">"Текущие счета юридических лиц"</f>
        <v>Текущие счета юридических лиц</v>
      </c>
      <c r="C331" t="str">
        <f t="shared" si="57"/>
        <v>1</v>
      </c>
      <c r="D331" t="str">
        <f>"2"</f>
        <v>2</v>
      </c>
      <c r="E331" t="str">
        <f>"1"</f>
        <v>1</v>
      </c>
      <c r="F331" s="1">
        <v>11011072.619999999</v>
      </c>
    </row>
    <row r="332" spans="1:6" x14ac:dyDescent="0.25">
      <c r="A332" t="str">
        <f t="shared" si="58"/>
        <v>2203</v>
      </c>
      <c r="B332" t="str">
        <f t="shared" si="59"/>
        <v>Текущие счета юридических лиц</v>
      </c>
      <c r="C332" t="str">
        <f t="shared" si="57"/>
        <v>1</v>
      </c>
      <c r="D332" t="str">
        <f>"5"</f>
        <v>5</v>
      </c>
      <c r="E332" t="str">
        <f>"1"</f>
        <v>1</v>
      </c>
      <c r="F332" s="1">
        <v>1117394935.77</v>
      </c>
    </row>
    <row r="333" spans="1:6" x14ac:dyDescent="0.25">
      <c r="A333" t="str">
        <f t="shared" si="58"/>
        <v>2203</v>
      </c>
      <c r="B333" t="str">
        <f t="shared" si="59"/>
        <v>Текущие счета юридических лиц</v>
      </c>
      <c r="C333" t="str">
        <f t="shared" si="57"/>
        <v>1</v>
      </c>
      <c r="D333" t="str">
        <f>"5"</f>
        <v>5</v>
      </c>
      <c r="E333" t="str">
        <f>"2"</f>
        <v>2</v>
      </c>
      <c r="F333" s="1">
        <v>4355720375.6099997</v>
      </c>
    </row>
    <row r="334" spans="1:6" x14ac:dyDescent="0.25">
      <c r="A334" t="str">
        <f t="shared" si="58"/>
        <v>2203</v>
      </c>
      <c r="B334" t="str">
        <f t="shared" si="59"/>
        <v>Текущие счета юридических лиц</v>
      </c>
      <c r="C334" t="str">
        <f t="shared" si="57"/>
        <v>1</v>
      </c>
      <c r="D334" t="str">
        <f>"6"</f>
        <v>6</v>
      </c>
      <c r="E334" t="str">
        <f>"1"</f>
        <v>1</v>
      </c>
      <c r="F334" s="1">
        <v>43807601365.449997</v>
      </c>
    </row>
    <row r="335" spans="1:6" x14ac:dyDescent="0.25">
      <c r="A335" t="str">
        <f t="shared" si="58"/>
        <v>2203</v>
      </c>
      <c r="B335" t="str">
        <f t="shared" si="59"/>
        <v>Текущие счета юридических лиц</v>
      </c>
      <c r="C335" t="str">
        <f t="shared" si="57"/>
        <v>1</v>
      </c>
      <c r="D335" t="str">
        <f>"6"</f>
        <v>6</v>
      </c>
      <c r="E335" t="str">
        <f>"3"</f>
        <v>3</v>
      </c>
      <c r="F335" s="1">
        <v>5412670.25</v>
      </c>
    </row>
    <row r="336" spans="1:6" x14ac:dyDescent="0.25">
      <c r="A336" t="str">
        <f t="shared" si="58"/>
        <v>2203</v>
      </c>
      <c r="B336" t="str">
        <f t="shared" si="59"/>
        <v>Текущие счета юридических лиц</v>
      </c>
      <c r="C336" t="str">
        <f t="shared" si="57"/>
        <v>1</v>
      </c>
      <c r="D336" t="str">
        <f>"5"</f>
        <v>5</v>
      </c>
      <c r="E336" t="str">
        <f>"3"</f>
        <v>3</v>
      </c>
      <c r="F336" s="1">
        <v>740869521.32000005</v>
      </c>
    </row>
    <row r="337" spans="1:6" x14ac:dyDescent="0.25">
      <c r="A337" t="str">
        <f t="shared" si="58"/>
        <v>2203</v>
      </c>
      <c r="B337" t="str">
        <f t="shared" si="59"/>
        <v>Текущие счета юридических лиц</v>
      </c>
      <c r="C337" t="str">
        <f t="shared" si="57"/>
        <v>1</v>
      </c>
      <c r="D337" t="str">
        <f>"7"</f>
        <v>7</v>
      </c>
      <c r="E337" t="str">
        <f>"1"</f>
        <v>1</v>
      </c>
      <c r="F337" s="1">
        <v>47121856128.480003</v>
      </c>
    </row>
    <row r="338" spans="1:6" x14ac:dyDescent="0.25">
      <c r="A338" t="str">
        <f t="shared" si="58"/>
        <v>2203</v>
      </c>
      <c r="B338" t="str">
        <f t="shared" si="59"/>
        <v>Текущие счета юридических лиц</v>
      </c>
      <c r="C338" t="str">
        <f t="shared" si="57"/>
        <v>1</v>
      </c>
      <c r="D338" t="str">
        <f>"7"</f>
        <v>7</v>
      </c>
      <c r="E338" t="str">
        <f>"2"</f>
        <v>2</v>
      </c>
      <c r="F338" s="1">
        <v>73807619426.860001</v>
      </c>
    </row>
    <row r="339" spans="1:6" x14ac:dyDescent="0.25">
      <c r="A339" t="str">
        <f t="shared" si="58"/>
        <v>2203</v>
      </c>
      <c r="B339" t="str">
        <f t="shared" si="59"/>
        <v>Текущие счета юридических лиц</v>
      </c>
      <c r="C339" t="str">
        <f t="shared" si="57"/>
        <v>1</v>
      </c>
      <c r="D339" t="str">
        <f>"6"</f>
        <v>6</v>
      </c>
      <c r="E339" t="str">
        <f>"2"</f>
        <v>2</v>
      </c>
      <c r="F339" s="1">
        <v>1302394217.8599999</v>
      </c>
    </row>
    <row r="340" spans="1:6" x14ac:dyDescent="0.25">
      <c r="A340" t="str">
        <f t="shared" si="58"/>
        <v>2203</v>
      </c>
      <c r="B340" t="str">
        <f t="shared" si="59"/>
        <v>Текущие счета юридических лиц</v>
      </c>
      <c r="C340" t="str">
        <f t="shared" si="57"/>
        <v>1</v>
      </c>
      <c r="D340" t="str">
        <f>"8"</f>
        <v>8</v>
      </c>
      <c r="E340" t="str">
        <f>"1"</f>
        <v>1</v>
      </c>
      <c r="F340" s="1">
        <v>1723313661.46</v>
      </c>
    </row>
    <row r="341" spans="1:6" x14ac:dyDescent="0.25">
      <c r="A341" t="str">
        <f t="shared" si="58"/>
        <v>2203</v>
      </c>
      <c r="B341" t="str">
        <f t="shared" si="59"/>
        <v>Текущие счета юридических лиц</v>
      </c>
      <c r="C341" t="str">
        <f t="shared" si="57"/>
        <v>1</v>
      </c>
      <c r="D341" t="str">
        <f>"7"</f>
        <v>7</v>
      </c>
      <c r="E341" t="str">
        <f>"3"</f>
        <v>3</v>
      </c>
      <c r="F341" s="1">
        <v>2453812296.5599999</v>
      </c>
    </row>
    <row r="342" spans="1:6" x14ac:dyDescent="0.25">
      <c r="A342" t="str">
        <f t="shared" si="58"/>
        <v>2203</v>
      </c>
      <c r="B342" t="str">
        <f t="shared" si="59"/>
        <v>Текущие счета юридических лиц</v>
      </c>
      <c r="C342" t="str">
        <f t="shared" si="57"/>
        <v>1</v>
      </c>
      <c r="D342" t="str">
        <f>"8"</f>
        <v>8</v>
      </c>
      <c r="E342" t="str">
        <f>"2"</f>
        <v>2</v>
      </c>
      <c r="F342" s="1">
        <v>4020584121.5300002</v>
      </c>
    </row>
    <row r="343" spans="1:6" x14ac:dyDescent="0.25">
      <c r="A343" t="str">
        <f t="shared" si="58"/>
        <v>2203</v>
      </c>
      <c r="B343" t="str">
        <f t="shared" si="59"/>
        <v>Текущие счета юридических лиц</v>
      </c>
      <c r="C343" t="str">
        <f t="shared" si="57"/>
        <v>1</v>
      </c>
      <c r="D343" t="str">
        <f>"8"</f>
        <v>8</v>
      </c>
      <c r="E343" t="str">
        <f>"3"</f>
        <v>3</v>
      </c>
      <c r="F343" s="1">
        <v>2404405.48</v>
      </c>
    </row>
    <row r="344" spans="1:6" x14ac:dyDescent="0.25">
      <c r="A344" t="str">
        <f t="shared" si="58"/>
        <v>2203</v>
      </c>
      <c r="B344" t="str">
        <f t="shared" si="59"/>
        <v>Текущие счета юридических лиц</v>
      </c>
      <c r="C344" t="str">
        <f t="shared" ref="C344:C353" si="60">"2"</f>
        <v>2</v>
      </c>
      <c r="D344" t="str">
        <f>"1"</f>
        <v>1</v>
      </c>
      <c r="E344" t="str">
        <f>"1"</f>
        <v>1</v>
      </c>
      <c r="F344" s="1">
        <v>71948007.620000005</v>
      </c>
    </row>
    <row r="345" spans="1:6" x14ac:dyDescent="0.25">
      <c r="A345" t="str">
        <f t="shared" si="58"/>
        <v>2203</v>
      </c>
      <c r="B345" t="str">
        <f t="shared" si="59"/>
        <v>Текущие счета юридических лиц</v>
      </c>
      <c r="C345" t="str">
        <f t="shared" si="60"/>
        <v>2</v>
      </c>
      <c r="D345" t="str">
        <f>"5"</f>
        <v>5</v>
      </c>
      <c r="E345" t="str">
        <f>"1"</f>
        <v>1</v>
      </c>
      <c r="F345" s="1">
        <v>53884715.130000003</v>
      </c>
    </row>
    <row r="346" spans="1:6" x14ac:dyDescent="0.25">
      <c r="A346" t="str">
        <f t="shared" si="58"/>
        <v>2203</v>
      </c>
      <c r="B346" t="str">
        <f t="shared" si="59"/>
        <v>Текущие счета юридических лиц</v>
      </c>
      <c r="C346" t="str">
        <f t="shared" si="60"/>
        <v>2</v>
      </c>
      <c r="D346" t="str">
        <f>"7"</f>
        <v>7</v>
      </c>
      <c r="E346" t="str">
        <f>"1"</f>
        <v>1</v>
      </c>
      <c r="F346" s="1">
        <v>448824668.24000001</v>
      </c>
    </row>
    <row r="347" spans="1:6" x14ac:dyDescent="0.25">
      <c r="A347" t="str">
        <f t="shared" si="58"/>
        <v>2203</v>
      </c>
      <c r="B347" t="str">
        <f t="shared" si="59"/>
        <v>Текущие счета юридических лиц</v>
      </c>
      <c r="C347" t="str">
        <f t="shared" si="60"/>
        <v>2</v>
      </c>
      <c r="D347" t="str">
        <f>"5"</f>
        <v>5</v>
      </c>
      <c r="E347" t="str">
        <f>"3"</f>
        <v>3</v>
      </c>
      <c r="F347" s="1">
        <v>8380484.9100000001</v>
      </c>
    </row>
    <row r="348" spans="1:6" x14ac:dyDescent="0.25">
      <c r="A348" t="str">
        <f t="shared" si="58"/>
        <v>2203</v>
      </c>
      <c r="B348" t="str">
        <f t="shared" si="59"/>
        <v>Текущие счета юридических лиц</v>
      </c>
      <c r="C348" t="str">
        <f t="shared" si="60"/>
        <v>2</v>
      </c>
      <c r="D348" t="str">
        <f>"5"</f>
        <v>5</v>
      </c>
      <c r="E348" t="str">
        <f>"2"</f>
        <v>2</v>
      </c>
      <c r="F348" s="1">
        <v>11245438592.85</v>
      </c>
    </row>
    <row r="349" spans="1:6" x14ac:dyDescent="0.25">
      <c r="A349" t="str">
        <f t="shared" si="58"/>
        <v>2203</v>
      </c>
      <c r="B349" t="str">
        <f t="shared" si="59"/>
        <v>Текущие счета юридических лиц</v>
      </c>
      <c r="C349" t="str">
        <f t="shared" si="60"/>
        <v>2</v>
      </c>
      <c r="D349" t="str">
        <f>"1"</f>
        <v>1</v>
      </c>
      <c r="E349" t="str">
        <f>"2"</f>
        <v>2</v>
      </c>
      <c r="F349" s="1">
        <v>70355610.219999999</v>
      </c>
    </row>
    <row r="350" spans="1:6" x14ac:dyDescent="0.25">
      <c r="A350" t="str">
        <f t="shared" si="58"/>
        <v>2203</v>
      </c>
      <c r="B350" t="str">
        <f t="shared" si="59"/>
        <v>Текущие счета юридических лиц</v>
      </c>
      <c r="C350" t="str">
        <f t="shared" si="60"/>
        <v>2</v>
      </c>
      <c r="D350" t="str">
        <f>"7"</f>
        <v>7</v>
      </c>
      <c r="E350" t="str">
        <f>"2"</f>
        <v>2</v>
      </c>
      <c r="F350" s="1">
        <v>129475291110.47</v>
      </c>
    </row>
    <row r="351" spans="1:6" x14ac:dyDescent="0.25">
      <c r="A351" t="str">
        <f t="shared" si="58"/>
        <v>2203</v>
      </c>
      <c r="B351" t="str">
        <f t="shared" si="59"/>
        <v>Текущие счета юридических лиц</v>
      </c>
      <c r="C351" t="str">
        <f t="shared" si="60"/>
        <v>2</v>
      </c>
      <c r="D351" t="str">
        <f>"7"</f>
        <v>7</v>
      </c>
      <c r="E351" t="str">
        <f>"3"</f>
        <v>3</v>
      </c>
      <c r="F351" s="1">
        <v>11106075631.879999</v>
      </c>
    </row>
    <row r="352" spans="1:6" x14ac:dyDescent="0.25">
      <c r="A352" t="str">
        <f t="shared" si="58"/>
        <v>2203</v>
      </c>
      <c r="B352" t="str">
        <f t="shared" si="59"/>
        <v>Текущие счета юридических лиц</v>
      </c>
      <c r="C352" t="str">
        <f t="shared" si="60"/>
        <v>2</v>
      </c>
      <c r="D352" t="str">
        <f>"8"</f>
        <v>8</v>
      </c>
      <c r="E352" t="str">
        <f>"1"</f>
        <v>1</v>
      </c>
      <c r="F352" s="1">
        <v>5184582.2699999996</v>
      </c>
    </row>
    <row r="353" spans="1:6" x14ac:dyDescent="0.25">
      <c r="A353" t="str">
        <f t="shared" si="58"/>
        <v>2203</v>
      </c>
      <c r="B353" t="str">
        <f t="shared" si="59"/>
        <v>Текущие счета юридических лиц</v>
      </c>
      <c r="C353" t="str">
        <f t="shared" si="60"/>
        <v>2</v>
      </c>
      <c r="D353" t="str">
        <f>"8"</f>
        <v>8</v>
      </c>
      <c r="E353" t="str">
        <f>"2"</f>
        <v>2</v>
      </c>
      <c r="F353" s="1">
        <v>9986673.0299999993</v>
      </c>
    </row>
    <row r="354" spans="1:6" x14ac:dyDescent="0.25">
      <c r="A354" t="str">
        <f t="shared" ref="A354:A359" si="61">"2204"</f>
        <v>2204</v>
      </c>
      <c r="B354" t="str">
        <f t="shared" ref="B354:B359" si="62">"Текущие счета физических лиц"</f>
        <v>Текущие счета физических лиц</v>
      </c>
      <c r="C354" t="str">
        <f>"1"</f>
        <v>1</v>
      </c>
      <c r="D354" t="str">
        <f t="shared" ref="D354:D379" si="63">"9"</f>
        <v>9</v>
      </c>
      <c r="E354" t="str">
        <f>"1"</f>
        <v>1</v>
      </c>
      <c r="F354" s="1">
        <v>51846774501.029999</v>
      </c>
    </row>
    <row r="355" spans="1:6" x14ac:dyDescent="0.25">
      <c r="A355" t="str">
        <f t="shared" si="61"/>
        <v>2204</v>
      </c>
      <c r="B355" t="str">
        <f t="shared" si="62"/>
        <v>Текущие счета физических лиц</v>
      </c>
      <c r="C355" t="str">
        <f>"1"</f>
        <v>1</v>
      </c>
      <c r="D355" t="str">
        <f t="shared" si="63"/>
        <v>9</v>
      </c>
      <c r="E355" t="str">
        <f>"2"</f>
        <v>2</v>
      </c>
      <c r="F355" s="1">
        <v>13767222063.76</v>
      </c>
    </row>
    <row r="356" spans="1:6" x14ac:dyDescent="0.25">
      <c r="A356" t="str">
        <f t="shared" si="61"/>
        <v>2204</v>
      </c>
      <c r="B356" t="str">
        <f t="shared" si="62"/>
        <v>Текущие счета физических лиц</v>
      </c>
      <c r="C356" t="str">
        <f>"2"</f>
        <v>2</v>
      </c>
      <c r="D356" t="str">
        <f t="shared" si="63"/>
        <v>9</v>
      </c>
      <c r="E356" t="str">
        <f>"1"</f>
        <v>1</v>
      </c>
      <c r="F356" s="1">
        <v>4608448163.6000004</v>
      </c>
    </row>
    <row r="357" spans="1:6" x14ac:dyDescent="0.25">
      <c r="A357" t="str">
        <f t="shared" si="61"/>
        <v>2204</v>
      </c>
      <c r="B357" t="str">
        <f t="shared" si="62"/>
        <v>Текущие счета физических лиц</v>
      </c>
      <c r="C357" t="str">
        <f>"2"</f>
        <v>2</v>
      </c>
      <c r="D357" t="str">
        <f t="shared" si="63"/>
        <v>9</v>
      </c>
      <c r="E357" t="str">
        <f>"2"</f>
        <v>2</v>
      </c>
      <c r="F357" s="1">
        <v>205600611548.10999</v>
      </c>
    </row>
    <row r="358" spans="1:6" x14ac:dyDescent="0.25">
      <c r="A358" t="str">
        <f t="shared" si="61"/>
        <v>2204</v>
      </c>
      <c r="B358" t="str">
        <f t="shared" si="62"/>
        <v>Текущие счета физических лиц</v>
      </c>
      <c r="C358" t="str">
        <f>"1"</f>
        <v>1</v>
      </c>
      <c r="D358" t="str">
        <f t="shared" si="63"/>
        <v>9</v>
      </c>
      <c r="E358" t="str">
        <f>"3"</f>
        <v>3</v>
      </c>
      <c r="F358" s="1">
        <v>530286019.72000003</v>
      </c>
    </row>
    <row r="359" spans="1:6" x14ac:dyDescent="0.25">
      <c r="A359" t="str">
        <f t="shared" si="61"/>
        <v>2204</v>
      </c>
      <c r="B359" t="str">
        <f t="shared" si="62"/>
        <v>Текущие счета физических лиц</v>
      </c>
      <c r="C359" t="str">
        <f>"2"</f>
        <v>2</v>
      </c>
      <c r="D359" t="str">
        <f t="shared" si="63"/>
        <v>9</v>
      </c>
      <c r="E359" t="str">
        <f>"3"</f>
        <v>3</v>
      </c>
      <c r="F359" s="1">
        <v>27234797680.610001</v>
      </c>
    </row>
    <row r="360" spans="1:6" x14ac:dyDescent="0.25">
      <c r="A360" t="str">
        <f t="shared" ref="A360:A365" si="64">"2205"</f>
        <v>2205</v>
      </c>
      <c r="B360" t="str">
        <f t="shared" ref="B360:B365" si="65">"Вклады до востребования физических лиц"</f>
        <v>Вклады до востребования физических лиц</v>
      </c>
      <c r="C360" t="str">
        <f>"1"</f>
        <v>1</v>
      </c>
      <c r="D360" t="str">
        <f t="shared" si="63"/>
        <v>9</v>
      </c>
      <c r="E360" t="str">
        <f>"1"</f>
        <v>1</v>
      </c>
      <c r="F360" s="1">
        <v>16805282.18</v>
      </c>
    </row>
    <row r="361" spans="1:6" x14ac:dyDescent="0.25">
      <c r="A361" t="str">
        <f t="shared" si="64"/>
        <v>2205</v>
      </c>
      <c r="B361" t="str">
        <f t="shared" si="65"/>
        <v>Вклады до востребования физических лиц</v>
      </c>
      <c r="C361" t="str">
        <f>"2"</f>
        <v>2</v>
      </c>
      <c r="D361" t="str">
        <f t="shared" si="63"/>
        <v>9</v>
      </c>
      <c r="E361" t="str">
        <f>"2"</f>
        <v>2</v>
      </c>
      <c r="F361" s="1">
        <v>29414066037.580002</v>
      </c>
    </row>
    <row r="362" spans="1:6" x14ac:dyDescent="0.25">
      <c r="A362" t="str">
        <f t="shared" si="64"/>
        <v>2205</v>
      </c>
      <c r="B362" t="str">
        <f t="shared" si="65"/>
        <v>Вклады до востребования физических лиц</v>
      </c>
      <c r="C362" t="str">
        <f>"1"</f>
        <v>1</v>
      </c>
      <c r="D362" t="str">
        <f t="shared" si="63"/>
        <v>9</v>
      </c>
      <c r="E362" t="str">
        <f>"2"</f>
        <v>2</v>
      </c>
      <c r="F362" s="1">
        <v>5544418914.6199999</v>
      </c>
    </row>
    <row r="363" spans="1:6" x14ac:dyDescent="0.25">
      <c r="A363" t="str">
        <f t="shared" si="64"/>
        <v>2205</v>
      </c>
      <c r="B363" t="str">
        <f t="shared" si="65"/>
        <v>Вклады до востребования физических лиц</v>
      </c>
      <c r="C363" t="str">
        <f>"2"</f>
        <v>2</v>
      </c>
      <c r="D363" t="str">
        <f t="shared" si="63"/>
        <v>9</v>
      </c>
      <c r="E363" t="str">
        <f>"3"</f>
        <v>3</v>
      </c>
      <c r="F363" s="1">
        <v>365.22</v>
      </c>
    </row>
    <row r="364" spans="1:6" x14ac:dyDescent="0.25">
      <c r="A364" t="str">
        <f t="shared" si="64"/>
        <v>2205</v>
      </c>
      <c r="B364" t="str">
        <f t="shared" si="65"/>
        <v>Вклады до востребования физических лиц</v>
      </c>
      <c r="C364" t="str">
        <f>"1"</f>
        <v>1</v>
      </c>
      <c r="D364" t="str">
        <f t="shared" si="63"/>
        <v>9</v>
      </c>
      <c r="E364" t="str">
        <f>"3"</f>
        <v>3</v>
      </c>
      <c r="F364" s="1">
        <v>4112.67</v>
      </c>
    </row>
    <row r="365" spans="1:6" x14ac:dyDescent="0.25">
      <c r="A365" t="str">
        <f t="shared" si="64"/>
        <v>2205</v>
      </c>
      <c r="B365" t="str">
        <f t="shared" si="65"/>
        <v>Вклады до востребования физических лиц</v>
      </c>
      <c r="C365" t="str">
        <f>"2"</f>
        <v>2</v>
      </c>
      <c r="D365" t="str">
        <f t="shared" si="63"/>
        <v>9</v>
      </c>
      <c r="E365" t="str">
        <f>"1"</f>
        <v>1</v>
      </c>
      <c r="F365" s="1">
        <v>4943187.0599999996</v>
      </c>
    </row>
    <row r="366" spans="1:6" x14ac:dyDescent="0.25">
      <c r="A366" t="str">
        <f t="shared" ref="A366:A371" si="66">"2206"</f>
        <v>2206</v>
      </c>
      <c r="B366" t="str">
        <f t="shared" ref="B366:B371" si="67">"Краткосрочные вклады физических лиц"</f>
        <v>Краткосрочные вклады физических лиц</v>
      </c>
      <c r="C366" t="str">
        <f>"1"</f>
        <v>1</v>
      </c>
      <c r="D366" t="str">
        <f t="shared" si="63"/>
        <v>9</v>
      </c>
      <c r="E366" t="str">
        <f>"3"</f>
        <v>3</v>
      </c>
      <c r="F366" s="1">
        <v>726574496.53999996</v>
      </c>
    </row>
    <row r="367" spans="1:6" x14ac:dyDescent="0.25">
      <c r="A367" t="str">
        <f t="shared" si="66"/>
        <v>2206</v>
      </c>
      <c r="B367" t="str">
        <f t="shared" si="67"/>
        <v>Краткосрочные вклады физических лиц</v>
      </c>
      <c r="C367" t="str">
        <f>"1"</f>
        <v>1</v>
      </c>
      <c r="D367" t="str">
        <f t="shared" si="63"/>
        <v>9</v>
      </c>
      <c r="E367" t="str">
        <f>"2"</f>
        <v>2</v>
      </c>
      <c r="F367" s="1">
        <v>39999026020.290001</v>
      </c>
    </row>
    <row r="368" spans="1:6" x14ac:dyDescent="0.25">
      <c r="A368" t="str">
        <f t="shared" si="66"/>
        <v>2206</v>
      </c>
      <c r="B368" t="str">
        <f t="shared" si="67"/>
        <v>Краткосрочные вклады физических лиц</v>
      </c>
      <c r="C368" t="str">
        <f>"1"</f>
        <v>1</v>
      </c>
      <c r="D368" t="str">
        <f t="shared" si="63"/>
        <v>9</v>
      </c>
      <c r="E368" t="str">
        <f>"1"</f>
        <v>1</v>
      </c>
      <c r="F368" s="1">
        <v>47380031576.629997</v>
      </c>
    </row>
    <row r="369" spans="1:6" x14ac:dyDescent="0.25">
      <c r="A369" t="str">
        <f t="shared" si="66"/>
        <v>2206</v>
      </c>
      <c r="B369" t="str">
        <f t="shared" si="67"/>
        <v>Краткосрочные вклады физических лиц</v>
      </c>
      <c r="C369" t="str">
        <f>"2"</f>
        <v>2</v>
      </c>
      <c r="D369" t="str">
        <f t="shared" si="63"/>
        <v>9</v>
      </c>
      <c r="E369" t="str">
        <f>"2"</f>
        <v>2</v>
      </c>
      <c r="F369" s="1">
        <v>2557030425.3000002</v>
      </c>
    </row>
    <row r="370" spans="1:6" x14ac:dyDescent="0.25">
      <c r="A370" t="str">
        <f t="shared" si="66"/>
        <v>2206</v>
      </c>
      <c r="B370" t="str">
        <f t="shared" si="67"/>
        <v>Краткосрочные вклады физических лиц</v>
      </c>
      <c r="C370" t="str">
        <f>"2"</f>
        <v>2</v>
      </c>
      <c r="D370" t="str">
        <f t="shared" si="63"/>
        <v>9</v>
      </c>
      <c r="E370" t="str">
        <f>"1"</f>
        <v>1</v>
      </c>
      <c r="F370" s="1">
        <v>1337279839.4200001</v>
      </c>
    </row>
    <row r="371" spans="1:6" x14ac:dyDescent="0.25">
      <c r="A371" t="str">
        <f t="shared" si="66"/>
        <v>2206</v>
      </c>
      <c r="B371" t="str">
        <f t="shared" si="67"/>
        <v>Краткосрочные вклады физических лиц</v>
      </c>
      <c r="C371" t="str">
        <f>"2"</f>
        <v>2</v>
      </c>
      <c r="D371" t="str">
        <f t="shared" si="63"/>
        <v>9</v>
      </c>
      <c r="E371" t="str">
        <f>"3"</f>
        <v>3</v>
      </c>
      <c r="F371" s="1">
        <v>4101522.72</v>
      </c>
    </row>
    <row r="372" spans="1:6" x14ac:dyDescent="0.25">
      <c r="A372" t="str">
        <f t="shared" ref="A372:A377" si="68">"2207"</f>
        <v>2207</v>
      </c>
      <c r="B372" t="str">
        <f t="shared" ref="B372:B377" si="69">"Долгосрочные вклады физических лиц"</f>
        <v>Долгосрочные вклады физических лиц</v>
      </c>
      <c r="C372" t="str">
        <f>"1"</f>
        <v>1</v>
      </c>
      <c r="D372" t="str">
        <f t="shared" si="63"/>
        <v>9</v>
      </c>
      <c r="E372" t="str">
        <f>"1"</f>
        <v>1</v>
      </c>
      <c r="F372" s="1">
        <v>215823004330.26001</v>
      </c>
    </row>
    <row r="373" spans="1:6" x14ac:dyDescent="0.25">
      <c r="A373" t="str">
        <f t="shared" si="68"/>
        <v>2207</v>
      </c>
      <c r="B373" t="str">
        <f t="shared" si="69"/>
        <v>Долгосрочные вклады физических лиц</v>
      </c>
      <c r="C373" t="str">
        <f>"1"</f>
        <v>1</v>
      </c>
      <c r="D373" t="str">
        <f t="shared" si="63"/>
        <v>9</v>
      </c>
      <c r="E373" t="str">
        <f>"2"</f>
        <v>2</v>
      </c>
      <c r="F373" s="1">
        <v>68303853603.150002</v>
      </c>
    </row>
    <row r="374" spans="1:6" x14ac:dyDescent="0.25">
      <c r="A374" t="str">
        <f t="shared" si="68"/>
        <v>2207</v>
      </c>
      <c r="B374" t="str">
        <f t="shared" si="69"/>
        <v>Долгосрочные вклады физических лиц</v>
      </c>
      <c r="C374" t="str">
        <f>"2"</f>
        <v>2</v>
      </c>
      <c r="D374" t="str">
        <f t="shared" si="63"/>
        <v>9</v>
      </c>
      <c r="E374" t="str">
        <f>"1"</f>
        <v>1</v>
      </c>
      <c r="F374" s="1">
        <v>35644452640.290001</v>
      </c>
    </row>
    <row r="375" spans="1:6" x14ac:dyDescent="0.25">
      <c r="A375" t="str">
        <f t="shared" si="68"/>
        <v>2207</v>
      </c>
      <c r="B375" t="str">
        <f t="shared" si="69"/>
        <v>Долгосрочные вклады физических лиц</v>
      </c>
      <c r="C375" t="str">
        <f>"1"</f>
        <v>1</v>
      </c>
      <c r="D375" t="str">
        <f t="shared" si="63"/>
        <v>9</v>
      </c>
      <c r="E375" t="str">
        <f>"3"</f>
        <v>3</v>
      </c>
      <c r="F375" s="1">
        <v>490385958.05000001</v>
      </c>
    </row>
    <row r="376" spans="1:6" x14ac:dyDescent="0.25">
      <c r="A376" t="str">
        <f t="shared" si="68"/>
        <v>2207</v>
      </c>
      <c r="B376" t="str">
        <f t="shared" si="69"/>
        <v>Долгосрочные вклады физических лиц</v>
      </c>
      <c r="C376" t="str">
        <f>"2"</f>
        <v>2</v>
      </c>
      <c r="D376" t="str">
        <f t="shared" si="63"/>
        <v>9</v>
      </c>
      <c r="E376" t="str">
        <f>"2"</f>
        <v>2</v>
      </c>
      <c r="F376" s="1">
        <v>110730507162.05</v>
      </c>
    </row>
    <row r="377" spans="1:6" x14ac:dyDescent="0.25">
      <c r="A377" t="str">
        <f t="shared" si="68"/>
        <v>2207</v>
      </c>
      <c r="B377" t="str">
        <f t="shared" si="69"/>
        <v>Долгосрочные вклады физических лиц</v>
      </c>
      <c r="C377" t="str">
        <f>"2"</f>
        <v>2</v>
      </c>
      <c r="D377" t="str">
        <f t="shared" si="63"/>
        <v>9</v>
      </c>
      <c r="E377" t="str">
        <f>"3"</f>
        <v>3</v>
      </c>
      <c r="F377" s="1">
        <v>10408565811.77</v>
      </c>
    </row>
    <row r="378" spans="1:6" x14ac:dyDescent="0.25">
      <c r="A378" t="str">
        <f>"2208"</f>
        <v>2208</v>
      </c>
      <c r="B378" t="str">
        <f>"Условные вклады физических лиц"</f>
        <v>Условные вклады физических лиц</v>
      </c>
      <c r="C378" t="str">
        <f>"1"</f>
        <v>1</v>
      </c>
      <c r="D378" t="str">
        <f t="shared" si="63"/>
        <v>9</v>
      </c>
      <c r="E378" t="str">
        <f>"1"</f>
        <v>1</v>
      </c>
      <c r="F378" s="1">
        <v>2080636.86</v>
      </c>
    </row>
    <row r="379" spans="1:6" x14ac:dyDescent="0.25">
      <c r="A379" t="str">
        <f>"2208"</f>
        <v>2208</v>
      </c>
      <c r="B379" t="str">
        <f>"Условные вклады физических лиц"</f>
        <v>Условные вклады физических лиц</v>
      </c>
      <c r="C379" t="str">
        <f>"1"</f>
        <v>1</v>
      </c>
      <c r="D379" t="str">
        <f t="shared" si="63"/>
        <v>9</v>
      </c>
      <c r="E379" t="str">
        <f>"2"</f>
        <v>2</v>
      </c>
      <c r="F379" s="1">
        <v>3985789.98</v>
      </c>
    </row>
    <row r="380" spans="1:6" x14ac:dyDescent="0.25">
      <c r="A380" t="str">
        <f>"2211"</f>
        <v>2211</v>
      </c>
      <c r="B380" t="str">
        <f>"Вклады до востребования юридических лиц"</f>
        <v>Вклады до востребования юридических лиц</v>
      </c>
      <c r="C380" t="str">
        <f>"1"</f>
        <v>1</v>
      </c>
      <c r="D380" t="str">
        <f>"5"</f>
        <v>5</v>
      </c>
      <c r="E380" t="str">
        <f>"1"</f>
        <v>1</v>
      </c>
      <c r="F380" s="1">
        <v>530.92999999999995</v>
      </c>
    </row>
    <row r="381" spans="1:6" x14ac:dyDescent="0.25">
      <c r="A381" t="str">
        <f>"2211"</f>
        <v>2211</v>
      </c>
      <c r="B381" t="str">
        <f>"Вклады до востребования юридических лиц"</f>
        <v>Вклады до востребования юридических лиц</v>
      </c>
      <c r="C381" t="str">
        <f>"1"</f>
        <v>1</v>
      </c>
      <c r="D381" t="str">
        <f>"7"</f>
        <v>7</v>
      </c>
      <c r="E381" t="str">
        <f>"1"</f>
        <v>1</v>
      </c>
      <c r="F381" s="1">
        <v>138210869.00999999</v>
      </c>
    </row>
    <row r="382" spans="1:6" x14ac:dyDescent="0.25">
      <c r="A382" t="str">
        <f>"2211"</f>
        <v>2211</v>
      </c>
      <c r="B382" t="str">
        <f>"Вклады до востребования юридических лиц"</f>
        <v>Вклады до востребования юридических лиц</v>
      </c>
      <c r="C382" t="str">
        <f>"2"</f>
        <v>2</v>
      </c>
      <c r="D382" t="str">
        <f>"7"</f>
        <v>7</v>
      </c>
      <c r="E382" t="str">
        <f>"2"</f>
        <v>2</v>
      </c>
      <c r="F382" s="1">
        <v>510700.53</v>
      </c>
    </row>
    <row r="383" spans="1:6" x14ac:dyDescent="0.25">
      <c r="A383" t="str">
        <f>"2211"</f>
        <v>2211</v>
      </c>
      <c r="B383" t="str">
        <f>"Вклады до востребования юридических лиц"</f>
        <v>Вклады до востребования юридических лиц</v>
      </c>
      <c r="C383" t="str">
        <f>"1"</f>
        <v>1</v>
      </c>
      <c r="D383" t="str">
        <f>"7"</f>
        <v>7</v>
      </c>
      <c r="E383" t="str">
        <f>"2"</f>
        <v>2</v>
      </c>
      <c r="F383" s="1">
        <v>94894</v>
      </c>
    </row>
    <row r="384" spans="1:6" x14ac:dyDescent="0.25">
      <c r="A384" t="str">
        <f>"2211"</f>
        <v>2211</v>
      </c>
      <c r="B384" t="str">
        <f>"Вклады до востребования юридических лиц"</f>
        <v>Вклады до востребования юридических лиц</v>
      </c>
      <c r="C384" t="str">
        <f>"1"</f>
        <v>1</v>
      </c>
      <c r="D384" t="str">
        <f>"5"</f>
        <v>5</v>
      </c>
      <c r="E384" t="str">
        <f>"2"</f>
        <v>2</v>
      </c>
      <c r="F384" s="1">
        <v>4.74</v>
      </c>
    </row>
    <row r="385" spans="1:6" x14ac:dyDescent="0.25">
      <c r="A385" t="str">
        <f>"2213"</f>
        <v>2213</v>
      </c>
      <c r="B385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C385" t="str">
        <f>"2"</f>
        <v>2</v>
      </c>
      <c r="D385" t="str">
        <f>"9"</f>
        <v>9</v>
      </c>
      <c r="E385" t="str">
        <f>"1"</f>
        <v>1</v>
      </c>
      <c r="F385" s="1">
        <v>20000</v>
      </c>
    </row>
    <row r="386" spans="1:6" x14ac:dyDescent="0.25">
      <c r="A386" t="str">
        <f>"2213"</f>
        <v>2213</v>
      </c>
      <c r="B386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C386" t="str">
        <f>"1"</f>
        <v>1</v>
      </c>
      <c r="D386" t="str">
        <f>"9"</f>
        <v>9</v>
      </c>
      <c r="E386" t="str">
        <f>"1"</f>
        <v>1</v>
      </c>
      <c r="F386" s="1">
        <v>729793073.44000006</v>
      </c>
    </row>
    <row r="387" spans="1:6" x14ac:dyDescent="0.25">
      <c r="A387" t="str">
        <f>"2214"</f>
        <v>2214</v>
      </c>
      <c r="B38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87" t="str">
        <f>"1"</f>
        <v>1</v>
      </c>
      <c r="D387" t="str">
        <f>"9"</f>
        <v>9</v>
      </c>
      <c r="E387" t="str">
        <f>"1"</f>
        <v>1</v>
      </c>
      <c r="F387" s="1">
        <v>153586121354.57001</v>
      </c>
    </row>
    <row r="388" spans="1:6" x14ac:dyDescent="0.25">
      <c r="A388" t="str">
        <f>"2214"</f>
        <v>2214</v>
      </c>
      <c r="B38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88" t="str">
        <f>"2"</f>
        <v>2</v>
      </c>
      <c r="D388" t="str">
        <f>"9"</f>
        <v>9</v>
      </c>
      <c r="E388" t="str">
        <f>"1"</f>
        <v>1</v>
      </c>
      <c r="F388" s="1">
        <v>13516984530.809999</v>
      </c>
    </row>
    <row r="389" spans="1:6" x14ac:dyDescent="0.25">
      <c r="A389" t="str">
        <f t="shared" ref="A389:A402" si="70">"2215"</f>
        <v>2215</v>
      </c>
      <c r="B389" t="str">
        <f t="shared" ref="B389:B402" si="71">"Краткосрочные вклады юридических лиц"</f>
        <v>Краткосрочные вклады юридических лиц</v>
      </c>
      <c r="C389" t="str">
        <f t="shared" ref="C389:C397" si="72">"1"</f>
        <v>1</v>
      </c>
      <c r="D389" t="str">
        <f>"5"</f>
        <v>5</v>
      </c>
      <c r="E389" t="str">
        <f>"1"</f>
        <v>1</v>
      </c>
      <c r="F389" s="1">
        <v>9206033971.5499992</v>
      </c>
    </row>
    <row r="390" spans="1:6" x14ac:dyDescent="0.25">
      <c r="A390" t="str">
        <f t="shared" si="70"/>
        <v>2215</v>
      </c>
      <c r="B390" t="str">
        <f t="shared" si="71"/>
        <v>Краткосрочные вклады юридических лиц</v>
      </c>
      <c r="C390" t="str">
        <f t="shared" si="72"/>
        <v>1</v>
      </c>
      <c r="D390" t="str">
        <f>"5"</f>
        <v>5</v>
      </c>
      <c r="E390" t="str">
        <f>"3"</f>
        <v>3</v>
      </c>
      <c r="F390" s="1">
        <v>28212819.690000001</v>
      </c>
    </row>
    <row r="391" spans="1:6" x14ac:dyDescent="0.25">
      <c r="A391" t="str">
        <f t="shared" si="70"/>
        <v>2215</v>
      </c>
      <c r="B391" t="str">
        <f t="shared" si="71"/>
        <v>Краткосрочные вклады юридических лиц</v>
      </c>
      <c r="C391" t="str">
        <f t="shared" si="72"/>
        <v>1</v>
      </c>
      <c r="D391" t="str">
        <f>"5"</f>
        <v>5</v>
      </c>
      <c r="E391" t="str">
        <f>"2"</f>
        <v>2</v>
      </c>
      <c r="F391" s="1">
        <v>1852343420.25</v>
      </c>
    </row>
    <row r="392" spans="1:6" x14ac:dyDescent="0.25">
      <c r="A392" t="str">
        <f t="shared" si="70"/>
        <v>2215</v>
      </c>
      <c r="B392" t="str">
        <f t="shared" si="71"/>
        <v>Краткосрочные вклады юридических лиц</v>
      </c>
      <c r="C392" t="str">
        <f t="shared" si="72"/>
        <v>1</v>
      </c>
      <c r="D392" t="str">
        <f>"7"</f>
        <v>7</v>
      </c>
      <c r="E392" t="str">
        <f>"1"</f>
        <v>1</v>
      </c>
      <c r="F392" s="1">
        <v>139672123045.67001</v>
      </c>
    </row>
    <row r="393" spans="1:6" x14ac:dyDescent="0.25">
      <c r="A393" t="str">
        <f t="shared" si="70"/>
        <v>2215</v>
      </c>
      <c r="B393" t="str">
        <f t="shared" si="71"/>
        <v>Краткосрочные вклады юридических лиц</v>
      </c>
      <c r="C393" t="str">
        <f t="shared" si="72"/>
        <v>1</v>
      </c>
      <c r="D393" t="str">
        <f>"6"</f>
        <v>6</v>
      </c>
      <c r="E393" t="str">
        <f>"2"</f>
        <v>2</v>
      </c>
      <c r="F393" s="1">
        <v>332129000</v>
      </c>
    </row>
    <row r="394" spans="1:6" x14ac:dyDescent="0.25">
      <c r="A394" t="str">
        <f t="shared" si="70"/>
        <v>2215</v>
      </c>
      <c r="B394" t="str">
        <f t="shared" si="71"/>
        <v>Краткосрочные вклады юридических лиц</v>
      </c>
      <c r="C394" t="str">
        <f t="shared" si="72"/>
        <v>1</v>
      </c>
      <c r="D394" t="str">
        <f>"7"</f>
        <v>7</v>
      </c>
      <c r="E394" t="str">
        <f>"2"</f>
        <v>2</v>
      </c>
      <c r="F394" s="1">
        <v>30348566435.700001</v>
      </c>
    </row>
    <row r="395" spans="1:6" x14ac:dyDescent="0.25">
      <c r="A395" t="str">
        <f t="shared" si="70"/>
        <v>2215</v>
      </c>
      <c r="B395" t="str">
        <f t="shared" si="71"/>
        <v>Краткосрочные вклады юридических лиц</v>
      </c>
      <c r="C395" t="str">
        <f t="shared" si="72"/>
        <v>1</v>
      </c>
      <c r="D395" t="str">
        <f>"8"</f>
        <v>8</v>
      </c>
      <c r="E395" t="str">
        <f>"1"</f>
        <v>1</v>
      </c>
      <c r="F395" s="1">
        <v>34041413734.060001</v>
      </c>
    </row>
    <row r="396" spans="1:6" x14ac:dyDescent="0.25">
      <c r="A396" t="str">
        <f t="shared" si="70"/>
        <v>2215</v>
      </c>
      <c r="B396" t="str">
        <f t="shared" si="71"/>
        <v>Краткосрочные вклады юридических лиц</v>
      </c>
      <c r="C396" t="str">
        <f t="shared" si="72"/>
        <v>1</v>
      </c>
      <c r="D396" t="str">
        <f>"6"</f>
        <v>6</v>
      </c>
      <c r="E396" t="str">
        <f>"1"</f>
        <v>1</v>
      </c>
      <c r="F396" s="1">
        <v>29949418514.77</v>
      </c>
    </row>
    <row r="397" spans="1:6" x14ac:dyDescent="0.25">
      <c r="A397" t="str">
        <f t="shared" si="70"/>
        <v>2215</v>
      </c>
      <c r="B397" t="str">
        <f t="shared" si="71"/>
        <v>Краткосрочные вклады юридических лиц</v>
      </c>
      <c r="C397" t="str">
        <f t="shared" si="72"/>
        <v>1</v>
      </c>
      <c r="D397" t="str">
        <f>"8"</f>
        <v>8</v>
      </c>
      <c r="E397" t="str">
        <f>"2"</f>
        <v>2</v>
      </c>
      <c r="F397" s="1">
        <v>171262287.86000001</v>
      </c>
    </row>
    <row r="398" spans="1:6" x14ac:dyDescent="0.25">
      <c r="A398" t="str">
        <f t="shared" si="70"/>
        <v>2215</v>
      </c>
      <c r="B398" t="str">
        <f t="shared" si="71"/>
        <v>Краткосрочные вклады юридических лиц</v>
      </c>
      <c r="C398" t="str">
        <f>"2"</f>
        <v>2</v>
      </c>
      <c r="D398" t="str">
        <f>"7"</f>
        <v>7</v>
      </c>
      <c r="E398" t="str">
        <f>"1"</f>
        <v>1</v>
      </c>
      <c r="F398" s="1">
        <v>283800000</v>
      </c>
    </row>
    <row r="399" spans="1:6" x14ac:dyDescent="0.25">
      <c r="A399" t="str">
        <f t="shared" si="70"/>
        <v>2215</v>
      </c>
      <c r="B399" t="str">
        <f t="shared" si="71"/>
        <v>Краткосрочные вклады юридических лиц</v>
      </c>
      <c r="C399" t="str">
        <f>"2"</f>
        <v>2</v>
      </c>
      <c r="D399" t="str">
        <f>"5"</f>
        <v>5</v>
      </c>
      <c r="E399" t="str">
        <f>"2"</f>
        <v>2</v>
      </c>
      <c r="F399" s="1">
        <v>9390691261.2000008</v>
      </c>
    </row>
    <row r="400" spans="1:6" x14ac:dyDescent="0.25">
      <c r="A400" t="str">
        <f t="shared" si="70"/>
        <v>2215</v>
      </c>
      <c r="B400" t="str">
        <f t="shared" si="71"/>
        <v>Краткосрочные вклады юридических лиц</v>
      </c>
      <c r="C400" t="str">
        <f>"1"</f>
        <v>1</v>
      </c>
      <c r="D400" t="str">
        <f>"7"</f>
        <v>7</v>
      </c>
      <c r="E400" t="str">
        <f>"3"</f>
        <v>3</v>
      </c>
      <c r="F400" s="1">
        <v>3257988336.9000001</v>
      </c>
    </row>
    <row r="401" spans="1:6" x14ac:dyDescent="0.25">
      <c r="A401" t="str">
        <f t="shared" si="70"/>
        <v>2215</v>
      </c>
      <c r="B401" t="str">
        <f t="shared" si="71"/>
        <v>Краткосрочные вклады юридических лиц</v>
      </c>
      <c r="C401" t="str">
        <f>"2"</f>
        <v>2</v>
      </c>
      <c r="D401" t="str">
        <f>"7"</f>
        <v>7</v>
      </c>
      <c r="E401" t="str">
        <f>"3"</f>
        <v>3</v>
      </c>
      <c r="F401" s="1">
        <v>6849616800</v>
      </c>
    </row>
    <row r="402" spans="1:6" x14ac:dyDescent="0.25">
      <c r="A402" t="str">
        <f t="shared" si="70"/>
        <v>2215</v>
      </c>
      <c r="B402" t="str">
        <f t="shared" si="71"/>
        <v>Краткосрочные вклады юридических лиц</v>
      </c>
      <c r="C402" t="str">
        <f>"2"</f>
        <v>2</v>
      </c>
      <c r="D402" t="str">
        <f>"7"</f>
        <v>7</v>
      </c>
      <c r="E402" t="str">
        <f>"2"</f>
        <v>2</v>
      </c>
      <c r="F402" s="1">
        <v>2372350000</v>
      </c>
    </row>
    <row r="403" spans="1:6" x14ac:dyDescent="0.25">
      <c r="A403" t="str">
        <f t="shared" ref="A403:A415" si="73">"2217"</f>
        <v>2217</v>
      </c>
      <c r="B403" t="str">
        <f t="shared" ref="B403:B415" si="74">"Долгосрочные вклады юридических лиц"</f>
        <v>Долгосрочные вклады юридических лиц</v>
      </c>
      <c r="C403" t="str">
        <f t="shared" ref="C403:C409" si="75">"1"</f>
        <v>1</v>
      </c>
      <c r="D403" t="str">
        <f>"6"</f>
        <v>6</v>
      </c>
      <c r="E403" t="str">
        <f>"1"</f>
        <v>1</v>
      </c>
      <c r="F403" s="1">
        <v>9574251125.7000008</v>
      </c>
    </row>
    <row r="404" spans="1:6" x14ac:dyDescent="0.25">
      <c r="A404" t="str">
        <f t="shared" si="73"/>
        <v>2217</v>
      </c>
      <c r="B404" t="str">
        <f t="shared" si="74"/>
        <v>Долгосрочные вклады юридических лиц</v>
      </c>
      <c r="C404" t="str">
        <f t="shared" si="75"/>
        <v>1</v>
      </c>
      <c r="D404" t="str">
        <f>"5"</f>
        <v>5</v>
      </c>
      <c r="E404" t="str">
        <f>"2"</f>
        <v>2</v>
      </c>
      <c r="F404" s="1">
        <v>8398781483.4700003</v>
      </c>
    </row>
    <row r="405" spans="1:6" x14ac:dyDescent="0.25">
      <c r="A405" t="str">
        <f t="shared" si="73"/>
        <v>2217</v>
      </c>
      <c r="B405" t="str">
        <f t="shared" si="74"/>
        <v>Долгосрочные вклады юридических лиц</v>
      </c>
      <c r="C405" t="str">
        <f t="shared" si="75"/>
        <v>1</v>
      </c>
      <c r="D405" t="str">
        <f>"5"</f>
        <v>5</v>
      </c>
      <c r="E405" t="str">
        <f>"1"</f>
        <v>1</v>
      </c>
      <c r="F405" s="1">
        <v>52956914848.660004</v>
      </c>
    </row>
    <row r="406" spans="1:6" x14ac:dyDescent="0.25">
      <c r="A406" t="str">
        <f t="shared" si="73"/>
        <v>2217</v>
      </c>
      <c r="B406" t="str">
        <f t="shared" si="74"/>
        <v>Долгосрочные вклады юридических лиц</v>
      </c>
      <c r="C406" t="str">
        <f t="shared" si="75"/>
        <v>1</v>
      </c>
      <c r="D406" t="str">
        <f>"7"</f>
        <v>7</v>
      </c>
      <c r="E406" t="str">
        <f>"1"</f>
        <v>1</v>
      </c>
      <c r="F406" s="1">
        <v>51126014595.360001</v>
      </c>
    </row>
    <row r="407" spans="1:6" x14ac:dyDescent="0.25">
      <c r="A407" t="str">
        <f t="shared" si="73"/>
        <v>2217</v>
      </c>
      <c r="B407" t="str">
        <f t="shared" si="74"/>
        <v>Долгосрочные вклады юридических лиц</v>
      </c>
      <c r="C407" t="str">
        <f t="shared" si="75"/>
        <v>1</v>
      </c>
      <c r="D407" t="str">
        <f>"7"</f>
        <v>7</v>
      </c>
      <c r="E407" t="str">
        <f>"3"</f>
        <v>3</v>
      </c>
      <c r="F407" s="1">
        <v>2033442827.23</v>
      </c>
    </row>
    <row r="408" spans="1:6" x14ac:dyDescent="0.25">
      <c r="A408" t="str">
        <f t="shared" si="73"/>
        <v>2217</v>
      </c>
      <c r="B408" t="str">
        <f t="shared" si="74"/>
        <v>Долгосрочные вклады юридических лиц</v>
      </c>
      <c r="C408" t="str">
        <f t="shared" si="75"/>
        <v>1</v>
      </c>
      <c r="D408" t="str">
        <f>"7"</f>
        <v>7</v>
      </c>
      <c r="E408" t="str">
        <f>"2"</f>
        <v>2</v>
      </c>
      <c r="F408" s="1">
        <v>22184831352.529999</v>
      </c>
    </row>
    <row r="409" spans="1:6" x14ac:dyDescent="0.25">
      <c r="A409" t="str">
        <f t="shared" si="73"/>
        <v>2217</v>
      </c>
      <c r="B409" t="str">
        <f t="shared" si="74"/>
        <v>Долгосрочные вклады юридических лиц</v>
      </c>
      <c r="C409" t="str">
        <f t="shared" si="75"/>
        <v>1</v>
      </c>
      <c r="D409" t="str">
        <f>"8"</f>
        <v>8</v>
      </c>
      <c r="E409" t="str">
        <f>"2"</f>
        <v>2</v>
      </c>
      <c r="F409" s="1">
        <v>61961639.880000003</v>
      </c>
    </row>
    <row r="410" spans="1:6" x14ac:dyDescent="0.25">
      <c r="A410" t="str">
        <f t="shared" si="73"/>
        <v>2217</v>
      </c>
      <c r="B410" t="str">
        <f t="shared" si="74"/>
        <v>Долгосрочные вклады юридических лиц</v>
      </c>
      <c r="C410" t="str">
        <f>"2"</f>
        <v>2</v>
      </c>
      <c r="D410" t="str">
        <f>"5"</f>
        <v>5</v>
      </c>
      <c r="E410" t="str">
        <f>"2"</f>
        <v>2</v>
      </c>
      <c r="F410" s="1">
        <v>14234100</v>
      </c>
    </row>
    <row r="411" spans="1:6" x14ac:dyDescent="0.25">
      <c r="A411" t="str">
        <f t="shared" si="73"/>
        <v>2217</v>
      </c>
      <c r="B411" t="str">
        <f t="shared" si="74"/>
        <v>Долгосрочные вклады юридических лиц</v>
      </c>
      <c r="C411" t="str">
        <f>"1"</f>
        <v>1</v>
      </c>
      <c r="D411" t="str">
        <f>"6"</f>
        <v>6</v>
      </c>
      <c r="E411" t="str">
        <f>"2"</f>
        <v>2</v>
      </c>
      <c r="F411" s="1">
        <v>1545393390.1800001</v>
      </c>
    </row>
    <row r="412" spans="1:6" x14ac:dyDescent="0.25">
      <c r="A412" t="str">
        <f t="shared" si="73"/>
        <v>2217</v>
      </c>
      <c r="B412" t="str">
        <f t="shared" si="74"/>
        <v>Долгосрочные вклады юридических лиц</v>
      </c>
      <c r="C412" t="str">
        <f>"1"</f>
        <v>1</v>
      </c>
      <c r="D412" t="str">
        <f>"8"</f>
        <v>8</v>
      </c>
      <c r="E412" t="str">
        <f>"1"</f>
        <v>1</v>
      </c>
      <c r="F412" s="1">
        <v>1347973877.21</v>
      </c>
    </row>
    <row r="413" spans="1:6" x14ac:dyDescent="0.25">
      <c r="A413" t="str">
        <f t="shared" si="73"/>
        <v>2217</v>
      </c>
      <c r="B413" t="str">
        <f t="shared" si="74"/>
        <v>Долгосрочные вклады юридических лиц</v>
      </c>
      <c r="C413" t="str">
        <f>"2"</f>
        <v>2</v>
      </c>
      <c r="D413" t="str">
        <f>"7"</f>
        <v>7</v>
      </c>
      <c r="E413" t="str">
        <f>"1"</f>
        <v>1</v>
      </c>
      <c r="F413" s="1">
        <v>11802207812</v>
      </c>
    </row>
    <row r="414" spans="1:6" x14ac:dyDescent="0.25">
      <c r="A414" t="str">
        <f t="shared" si="73"/>
        <v>2217</v>
      </c>
      <c r="B414" t="str">
        <f t="shared" si="74"/>
        <v>Долгосрочные вклады юридических лиц</v>
      </c>
      <c r="C414" t="str">
        <f>"2"</f>
        <v>2</v>
      </c>
      <c r="D414" t="str">
        <f>"7"</f>
        <v>7</v>
      </c>
      <c r="E414" t="str">
        <f>"2"</f>
        <v>2</v>
      </c>
      <c r="F414" s="1">
        <v>85717927101.389999</v>
      </c>
    </row>
    <row r="415" spans="1:6" x14ac:dyDescent="0.25">
      <c r="A415" t="str">
        <f t="shared" si="73"/>
        <v>2217</v>
      </c>
      <c r="B415" t="str">
        <f t="shared" si="74"/>
        <v>Долгосрочные вклады юридических лиц</v>
      </c>
      <c r="C415" t="str">
        <f>"2"</f>
        <v>2</v>
      </c>
      <c r="D415" t="str">
        <f>"7"</f>
        <v>7</v>
      </c>
      <c r="E415" t="str">
        <f>"3"</f>
        <v>3</v>
      </c>
      <c r="F415" s="1">
        <v>148109032345.60001</v>
      </c>
    </row>
    <row r="416" spans="1:6" x14ac:dyDescent="0.25">
      <c r="A416" t="str">
        <f>"2218"</f>
        <v>2218</v>
      </c>
      <c r="B416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6" t="str">
        <f>"1"</f>
        <v>1</v>
      </c>
      <c r="D416" t="str">
        <f>"5"</f>
        <v>5</v>
      </c>
      <c r="E416" t="str">
        <f>"1"</f>
        <v>1</v>
      </c>
      <c r="F416" s="1">
        <v>11734735</v>
      </c>
    </row>
    <row r="417" spans="1:6" x14ac:dyDescent="0.25">
      <c r="A417" t="str">
        <f>"2218"</f>
        <v>2218</v>
      </c>
      <c r="B41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7" t="str">
        <f>"1"</f>
        <v>1</v>
      </c>
      <c r="D417" t="str">
        <f>"7"</f>
        <v>7</v>
      </c>
      <c r="E417" t="str">
        <f>"2"</f>
        <v>2</v>
      </c>
      <c r="F417" s="1">
        <v>21549365901.48</v>
      </c>
    </row>
    <row r="418" spans="1:6" x14ac:dyDescent="0.25">
      <c r="A418" t="str">
        <f>"2219"</f>
        <v>2219</v>
      </c>
      <c r="B418" t="str">
        <f>"Условные вклады юридических лиц"</f>
        <v>Условные вклады юридических лиц</v>
      </c>
      <c r="C418" t="str">
        <f>"1"</f>
        <v>1</v>
      </c>
      <c r="D418" t="str">
        <f>"8"</f>
        <v>8</v>
      </c>
      <c r="E418" t="str">
        <f>"1"</f>
        <v>1</v>
      </c>
      <c r="F418" s="1">
        <v>193000</v>
      </c>
    </row>
    <row r="419" spans="1:6" x14ac:dyDescent="0.25">
      <c r="A419" t="str">
        <f>"2219"</f>
        <v>2219</v>
      </c>
      <c r="B419" t="str">
        <f>"Условные вклады юридических лиц"</f>
        <v>Условные вклады юридических лиц</v>
      </c>
      <c r="C419" t="str">
        <f>"1"</f>
        <v>1</v>
      </c>
      <c r="D419" t="str">
        <f>"7"</f>
        <v>7</v>
      </c>
      <c r="E419" t="str">
        <f>"2"</f>
        <v>2</v>
      </c>
      <c r="F419" s="1">
        <v>188241.23</v>
      </c>
    </row>
    <row r="420" spans="1:6" x14ac:dyDescent="0.25">
      <c r="A420" t="str">
        <f>"2219"</f>
        <v>2219</v>
      </c>
      <c r="B420" t="str">
        <f>"Условные вклады юридических лиц"</f>
        <v>Условные вклады юридических лиц</v>
      </c>
      <c r="C420" t="str">
        <f>"2"</f>
        <v>2</v>
      </c>
      <c r="D420" t="str">
        <f>"7"</f>
        <v>7</v>
      </c>
      <c r="E420" t="str">
        <f>"1"</f>
        <v>1</v>
      </c>
      <c r="F420" s="1">
        <v>958371.97</v>
      </c>
    </row>
    <row r="421" spans="1:6" x14ac:dyDescent="0.25">
      <c r="A421" t="str">
        <f>"2219"</f>
        <v>2219</v>
      </c>
      <c r="B421" t="str">
        <f>"Условные вклады юридических лиц"</f>
        <v>Условные вклады юридических лиц</v>
      </c>
      <c r="C421" t="str">
        <f t="shared" ref="C421:C429" si="76">"1"</f>
        <v>1</v>
      </c>
      <c r="D421" t="str">
        <f>"7"</f>
        <v>7</v>
      </c>
      <c r="E421" t="str">
        <f>"1"</f>
        <v>1</v>
      </c>
      <c r="F421" s="1">
        <v>21123050.879999999</v>
      </c>
    </row>
    <row r="422" spans="1:6" x14ac:dyDescent="0.25">
      <c r="A422" t="str">
        <f>"2220"</f>
        <v>2220</v>
      </c>
      <c r="B42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2" t="str">
        <f t="shared" si="76"/>
        <v>1</v>
      </c>
      <c r="D422" t="str">
        <f>"6"</f>
        <v>6</v>
      </c>
      <c r="E422" t="str">
        <f>"1"</f>
        <v>1</v>
      </c>
      <c r="F422" s="1">
        <v>80000000</v>
      </c>
    </row>
    <row r="423" spans="1:6" x14ac:dyDescent="0.25">
      <c r="A423" t="str">
        <f>"2220"</f>
        <v>2220</v>
      </c>
      <c r="B423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3" t="str">
        <f t="shared" si="76"/>
        <v>1</v>
      </c>
      <c r="D423" t="str">
        <f>"7"</f>
        <v>7</v>
      </c>
      <c r="E423" t="str">
        <f>"1"</f>
        <v>1</v>
      </c>
      <c r="F423" s="1">
        <v>5000000</v>
      </c>
    </row>
    <row r="424" spans="1:6" x14ac:dyDescent="0.25">
      <c r="A424" t="str">
        <f>"2223"</f>
        <v>2223</v>
      </c>
      <c r="B42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4" t="str">
        <f t="shared" si="76"/>
        <v>1</v>
      </c>
      <c r="D424" t="str">
        <f>"7"</f>
        <v>7</v>
      </c>
      <c r="E424" t="str">
        <f>"1"</f>
        <v>1</v>
      </c>
      <c r="F424" s="1">
        <v>5991350103.6000004</v>
      </c>
    </row>
    <row r="425" spans="1:6" x14ac:dyDescent="0.25">
      <c r="A425" t="str">
        <f>"2223"</f>
        <v>2223</v>
      </c>
      <c r="B425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5" t="str">
        <f t="shared" si="76"/>
        <v>1</v>
      </c>
      <c r="D425" t="str">
        <f>"5"</f>
        <v>5</v>
      </c>
      <c r="E425" t="str">
        <f>"2"</f>
        <v>2</v>
      </c>
      <c r="F425" s="1">
        <v>1510530000</v>
      </c>
    </row>
    <row r="426" spans="1:6" x14ac:dyDescent="0.25">
      <c r="A426" t="str">
        <f>"2223"</f>
        <v>2223</v>
      </c>
      <c r="B426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6" t="str">
        <f t="shared" si="76"/>
        <v>1</v>
      </c>
      <c r="D426" t="str">
        <f>"5"</f>
        <v>5</v>
      </c>
      <c r="E426" t="str">
        <f>"1"</f>
        <v>1</v>
      </c>
      <c r="F426" s="1">
        <v>3115145608</v>
      </c>
    </row>
    <row r="427" spans="1:6" x14ac:dyDescent="0.25">
      <c r="A427" t="str">
        <f>"2223"</f>
        <v>2223</v>
      </c>
      <c r="B427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27" t="str">
        <f t="shared" si="76"/>
        <v>1</v>
      </c>
      <c r="D427" t="str">
        <f>"7"</f>
        <v>7</v>
      </c>
      <c r="E427" t="str">
        <f>"2"</f>
        <v>2</v>
      </c>
      <c r="F427" s="1">
        <v>1657013919.05</v>
      </c>
    </row>
    <row r="428" spans="1:6" x14ac:dyDescent="0.25">
      <c r="A428" t="str">
        <f>"2227"</f>
        <v>2227</v>
      </c>
      <c r="B428" t="str">
        <f>"Обязательства по аренде"</f>
        <v>Обязательства по аренде</v>
      </c>
      <c r="C428" t="str">
        <f t="shared" si="76"/>
        <v>1</v>
      </c>
      <c r="D428" t="str">
        <f>"7"</f>
        <v>7</v>
      </c>
      <c r="E428" t="str">
        <f>"1"</f>
        <v>1</v>
      </c>
      <c r="F428" s="1">
        <v>2457668681.4299998</v>
      </c>
    </row>
    <row r="429" spans="1:6" x14ac:dyDescent="0.25">
      <c r="A429" t="str">
        <f>"2229"</f>
        <v>2229</v>
      </c>
      <c r="B429" t="str">
        <f>"Сберегательные вклады физических лиц (более одного года)"</f>
        <v>Сберегательные вклады физических лиц (более одного года)</v>
      </c>
      <c r="C429" t="str">
        <f t="shared" si="76"/>
        <v>1</v>
      </c>
      <c r="D429" t="str">
        <f>"9"</f>
        <v>9</v>
      </c>
      <c r="E429" t="str">
        <f>"1"</f>
        <v>1</v>
      </c>
      <c r="F429" s="1">
        <v>3461530377.21</v>
      </c>
    </row>
    <row r="430" spans="1:6" x14ac:dyDescent="0.25">
      <c r="A430" t="str">
        <f>"2229"</f>
        <v>2229</v>
      </c>
      <c r="B430" t="str">
        <f>"Сберегательные вклады физических лиц (более одного года)"</f>
        <v>Сберегательные вклады физических лиц (более одного года)</v>
      </c>
      <c r="C430" t="str">
        <f>"2"</f>
        <v>2</v>
      </c>
      <c r="D430" t="str">
        <f>"9"</f>
        <v>9</v>
      </c>
      <c r="E430" t="str">
        <f>"1"</f>
        <v>1</v>
      </c>
      <c r="F430" s="1">
        <v>60054860.100000001</v>
      </c>
    </row>
    <row r="431" spans="1:6" x14ac:dyDescent="0.25">
      <c r="A431" t="str">
        <f t="shared" ref="A431:A451" si="77">"2237"</f>
        <v>2237</v>
      </c>
      <c r="B431" t="str">
        <f t="shared" ref="B431:B451" si="7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431" t="str">
        <f t="shared" ref="C431:C437" si="79">"1"</f>
        <v>1</v>
      </c>
      <c r="D431" t="str">
        <f>"7"</f>
        <v>7</v>
      </c>
      <c r="E431" t="str">
        <f>"2"</f>
        <v>2</v>
      </c>
      <c r="F431" s="1">
        <v>2135325385.8399999</v>
      </c>
    </row>
    <row r="432" spans="1:6" x14ac:dyDescent="0.25">
      <c r="A432" t="str">
        <f t="shared" si="77"/>
        <v>2237</v>
      </c>
      <c r="B432" t="str">
        <f t="shared" si="78"/>
        <v>Счет хранения указаний отправителя в соответствии с валютным законодательством Республики Казахстан</v>
      </c>
      <c r="C432" t="str">
        <f t="shared" si="79"/>
        <v>1</v>
      </c>
      <c r="D432" t="str">
        <f>"9"</f>
        <v>9</v>
      </c>
      <c r="E432" t="str">
        <f>"2"</f>
        <v>2</v>
      </c>
      <c r="F432" s="1">
        <v>244537300.02000001</v>
      </c>
    </row>
    <row r="433" spans="1:6" x14ac:dyDescent="0.25">
      <c r="A433" t="str">
        <f t="shared" si="77"/>
        <v>2237</v>
      </c>
      <c r="B433" t="str">
        <f t="shared" si="78"/>
        <v>Счет хранения указаний отправителя в соответствии с валютным законодательством Республики Казахстан</v>
      </c>
      <c r="C433" t="str">
        <f t="shared" si="79"/>
        <v>1</v>
      </c>
      <c r="D433" t="str">
        <f>"9"</f>
        <v>9</v>
      </c>
      <c r="E433" t="str">
        <f>"1"</f>
        <v>1</v>
      </c>
      <c r="F433" s="1">
        <v>66927490.759999998</v>
      </c>
    </row>
    <row r="434" spans="1:6" x14ac:dyDescent="0.25">
      <c r="A434" t="str">
        <f t="shared" si="77"/>
        <v>2237</v>
      </c>
      <c r="B434" t="str">
        <f t="shared" si="78"/>
        <v>Счет хранения указаний отправителя в соответствии с валютным законодательством Республики Казахстан</v>
      </c>
      <c r="C434" t="str">
        <f t="shared" si="79"/>
        <v>1</v>
      </c>
      <c r="D434" t="str">
        <f>"8"</f>
        <v>8</v>
      </c>
      <c r="E434" t="str">
        <f>"1"</f>
        <v>1</v>
      </c>
      <c r="F434" s="1">
        <v>10988654.720000001</v>
      </c>
    </row>
    <row r="435" spans="1:6" x14ac:dyDescent="0.25">
      <c r="A435" t="str">
        <f t="shared" si="77"/>
        <v>2237</v>
      </c>
      <c r="B435" t="str">
        <f t="shared" si="78"/>
        <v>Счет хранения указаний отправителя в соответствии с валютным законодательством Республики Казахстан</v>
      </c>
      <c r="C435" t="str">
        <f t="shared" si="79"/>
        <v>1</v>
      </c>
      <c r="D435" t="str">
        <f>"9"</f>
        <v>9</v>
      </c>
      <c r="E435" t="str">
        <f>"3"</f>
        <v>3</v>
      </c>
      <c r="F435" s="1">
        <v>109640068.73999999</v>
      </c>
    </row>
    <row r="436" spans="1:6" x14ac:dyDescent="0.25">
      <c r="A436" t="str">
        <f t="shared" si="77"/>
        <v>2237</v>
      </c>
      <c r="B436" t="str">
        <f t="shared" si="78"/>
        <v>Счет хранения указаний отправителя в соответствии с валютным законодательством Республики Казахстан</v>
      </c>
      <c r="C436" t="str">
        <f t="shared" si="79"/>
        <v>1</v>
      </c>
      <c r="D436" t="str">
        <f>"7"</f>
        <v>7</v>
      </c>
      <c r="E436" t="str">
        <f>"3"</f>
        <v>3</v>
      </c>
      <c r="F436" s="1">
        <v>1213819208.2</v>
      </c>
    </row>
    <row r="437" spans="1:6" x14ac:dyDescent="0.25">
      <c r="A437" t="str">
        <f t="shared" si="77"/>
        <v>2237</v>
      </c>
      <c r="B437" t="str">
        <f t="shared" si="78"/>
        <v>Счет хранения указаний отправителя в соответствии с валютным законодательством Республики Казахстан</v>
      </c>
      <c r="C437" t="str">
        <f t="shared" si="79"/>
        <v>1</v>
      </c>
      <c r="D437" t="str">
        <f>"7"</f>
        <v>7</v>
      </c>
      <c r="E437" t="str">
        <f>"1"</f>
        <v>1</v>
      </c>
      <c r="F437" s="1">
        <v>139911693.61000001</v>
      </c>
    </row>
    <row r="438" spans="1:6" x14ac:dyDescent="0.25">
      <c r="A438" t="str">
        <f t="shared" si="77"/>
        <v>2237</v>
      </c>
      <c r="B438" t="str">
        <f t="shared" si="78"/>
        <v>Счет хранения указаний отправителя в соответствии с валютным законодательством Республики Казахстан</v>
      </c>
      <c r="C438" t="str">
        <f t="shared" ref="C438:C445" si="80">"2"</f>
        <v>2</v>
      </c>
      <c r="D438" t="str">
        <f>"1"</f>
        <v>1</v>
      </c>
      <c r="E438" t="str">
        <f>"1"</f>
        <v>1</v>
      </c>
      <c r="F438" s="1">
        <v>37200</v>
      </c>
    </row>
    <row r="439" spans="1:6" x14ac:dyDescent="0.25">
      <c r="A439" t="str">
        <f t="shared" si="77"/>
        <v>2237</v>
      </c>
      <c r="B439" t="str">
        <f t="shared" si="78"/>
        <v>Счет хранения указаний отправителя в соответствии с валютным законодательством Республики Казахстан</v>
      </c>
      <c r="C439" t="str">
        <f t="shared" si="80"/>
        <v>2</v>
      </c>
      <c r="D439" t="str">
        <f>"4"</f>
        <v>4</v>
      </c>
      <c r="E439" t="str">
        <f>"1"</f>
        <v>1</v>
      </c>
      <c r="F439" s="1">
        <v>1691100</v>
      </c>
    </row>
    <row r="440" spans="1:6" x14ac:dyDescent="0.25">
      <c r="A440" t="str">
        <f t="shared" si="77"/>
        <v>2237</v>
      </c>
      <c r="B440" t="str">
        <f t="shared" si="78"/>
        <v>Счет хранения указаний отправителя в соответствии с валютным законодательством Республики Казахстан</v>
      </c>
      <c r="C440" t="str">
        <f t="shared" si="80"/>
        <v>2</v>
      </c>
      <c r="D440" t="str">
        <f>"5"</f>
        <v>5</v>
      </c>
      <c r="E440" t="str">
        <f>"2"</f>
        <v>2</v>
      </c>
      <c r="F440" s="1">
        <v>4407470447.5</v>
      </c>
    </row>
    <row r="441" spans="1:6" x14ac:dyDescent="0.25">
      <c r="A441" t="str">
        <f t="shared" si="77"/>
        <v>2237</v>
      </c>
      <c r="B441" t="str">
        <f t="shared" si="78"/>
        <v>Счет хранения указаний отправителя в соответствии с валютным законодательством Республики Казахстан</v>
      </c>
      <c r="C441" t="str">
        <f t="shared" si="80"/>
        <v>2</v>
      </c>
      <c r="D441" t="str">
        <f>"7"</f>
        <v>7</v>
      </c>
      <c r="E441" t="str">
        <f>"1"</f>
        <v>1</v>
      </c>
      <c r="F441" s="1">
        <v>15673240.710000001</v>
      </c>
    </row>
    <row r="442" spans="1:6" x14ac:dyDescent="0.25">
      <c r="A442" t="str">
        <f t="shared" si="77"/>
        <v>2237</v>
      </c>
      <c r="B442" t="str">
        <f t="shared" si="78"/>
        <v>Счет хранения указаний отправителя в соответствии с валютным законодательством Республики Казахстан</v>
      </c>
      <c r="C442" t="str">
        <f t="shared" si="80"/>
        <v>2</v>
      </c>
      <c r="D442" t="str">
        <f>"7"</f>
        <v>7</v>
      </c>
      <c r="E442" t="str">
        <f>"2"</f>
        <v>2</v>
      </c>
      <c r="F442" s="1">
        <v>420381061.69999999</v>
      </c>
    </row>
    <row r="443" spans="1:6" x14ac:dyDescent="0.25">
      <c r="A443" t="str">
        <f t="shared" si="77"/>
        <v>2237</v>
      </c>
      <c r="B443" t="str">
        <f t="shared" si="78"/>
        <v>Счет хранения указаний отправителя в соответствии с валютным законодательством Республики Казахстан</v>
      </c>
      <c r="C443" t="str">
        <f t="shared" si="80"/>
        <v>2</v>
      </c>
      <c r="D443" t="str">
        <f>"7"</f>
        <v>7</v>
      </c>
      <c r="E443" t="str">
        <f>"3"</f>
        <v>3</v>
      </c>
      <c r="F443" s="1">
        <v>695961058.88</v>
      </c>
    </row>
    <row r="444" spans="1:6" x14ac:dyDescent="0.25">
      <c r="A444" t="str">
        <f t="shared" si="77"/>
        <v>2237</v>
      </c>
      <c r="B444" t="str">
        <f t="shared" si="78"/>
        <v>Счет хранения указаний отправителя в соответствии с валютным законодательством Республики Казахстан</v>
      </c>
      <c r="C444" t="str">
        <f t="shared" si="80"/>
        <v>2</v>
      </c>
      <c r="D444" t="str">
        <f>"9"</f>
        <v>9</v>
      </c>
      <c r="E444" t="str">
        <f>"1"</f>
        <v>1</v>
      </c>
      <c r="F444" s="1">
        <v>215206502.65000001</v>
      </c>
    </row>
    <row r="445" spans="1:6" x14ac:dyDescent="0.25">
      <c r="A445" t="str">
        <f t="shared" si="77"/>
        <v>2237</v>
      </c>
      <c r="B445" t="str">
        <f t="shared" si="78"/>
        <v>Счет хранения указаний отправителя в соответствии с валютным законодательством Республики Казахстан</v>
      </c>
      <c r="C445" t="str">
        <f t="shared" si="80"/>
        <v>2</v>
      </c>
      <c r="D445" t="str">
        <f>"9"</f>
        <v>9</v>
      </c>
      <c r="E445" t="str">
        <f>"3"</f>
        <v>3</v>
      </c>
      <c r="F445" s="1">
        <v>201298062.63999999</v>
      </c>
    </row>
    <row r="446" spans="1:6" x14ac:dyDescent="0.25">
      <c r="A446" t="str">
        <f t="shared" si="77"/>
        <v>2237</v>
      </c>
      <c r="B446" t="str">
        <f t="shared" si="78"/>
        <v>Счет хранения указаний отправителя в соответствии с валютным законодательством Республики Казахстан</v>
      </c>
      <c r="C446" t="str">
        <f>"1"</f>
        <v>1</v>
      </c>
      <c r="D446" t="str">
        <f>"8"</f>
        <v>8</v>
      </c>
      <c r="E446" t="str">
        <f>"2"</f>
        <v>2</v>
      </c>
      <c r="F446" s="1">
        <v>604212</v>
      </c>
    </row>
    <row r="447" spans="1:6" x14ac:dyDescent="0.25">
      <c r="A447" t="str">
        <f t="shared" si="77"/>
        <v>2237</v>
      </c>
      <c r="B447" t="str">
        <f t="shared" si="78"/>
        <v>Счет хранения указаний отправителя в соответствии с валютным законодательством Республики Казахстан</v>
      </c>
      <c r="C447" t="str">
        <f>"2"</f>
        <v>2</v>
      </c>
      <c r="D447" t="str">
        <f>"9"</f>
        <v>9</v>
      </c>
      <c r="E447" t="str">
        <f>"2"</f>
        <v>2</v>
      </c>
      <c r="F447" s="1">
        <v>636322342.61000001</v>
      </c>
    </row>
    <row r="448" spans="1:6" x14ac:dyDescent="0.25">
      <c r="A448" t="str">
        <f t="shared" si="77"/>
        <v>2237</v>
      </c>
      <c r="B448" t="str">
        <f t="shared" si="78"/>
        <v>Счет хранения указаний отправителя в соответствии с валютным законодательством Республики Казахстан</v>
      </c>
      <c r="C448" t="str">
        <f t="shared" ref="C448:C455" si="81">"1"</f>
        <v>1</v>
      </c>
      <c r="D448" t="str">
        <f>"5"</f>
        <v>5</v>
      </c>
      <c r="E448" t="str">
        <f>"2"</f>
        <v>2</v>
      </c>
      <c r="F448" s="1">
        <v>25334291.969999999</v>
      </c>
    </row>
    <row r="449" spans="1:6" x14ac:dyDescent="0.25">
      <c r="A449" t="str">
        <f t="shared" si="77"/>
        <v>2237</v>
      </c>
      <c r="B449" t="str">
        <f t="shared" si="78"/>
        <v>Счет хранения указаний отправителя в соответствии с валютным законодательством Республики Казахстан</v>
      </c>
      <c r="C449" t="str">
        <f t="shared" si="81"/>
        <v>1</v>
      </c>
      <c r="D449" t="str">
        <f>"5"</f>
        <v>5</v>
      </c>
      <c r="E449" t="str">
        <f>"3"</f>
        <v>3</v>
      </c>
      <c r="F449" s="1">
        <v>21647680</v>
      </c>
    </row>
    <row r="450" spans="1:6" x14ac:dyDescent="0.25">
      <c r="A450" t="str">
        <f t="shared" si="77"/>
        <v>2237</v>
      </c>
      <c r="B450" t="str">
        <f t="shared" si="78"/>
        <v>Счет хранения указаний отправителя в соответствии с валютным законодательством Республики Казахстан</v>
      </c>
      <c r="C450" t="str">
        <f t="shared" si="81"/>
        <v>1</v>
      </c>
      <c r="D450" t="str">
        <f>"6"</f>
        <v>6</v>
      </c>
      <c r="E450" t="str">
        <f>"2"</f>
        <v>2</v>
      </c>
      <c r="F450" s="1">
        <v>57494538.039999999</v>
      </c>
    </row>
    <row r="451" spans="1:6" x14ac:dyDescent="0.25">
      <c r="A451" t="str">
        <f t="shared" si="77"/>
        <v>2237</v>
      </c>
      <c r="B451" t="str">
        <f t="shared" si="78"/>
        <v>Счет хранения указаний отправителя в соответствии с валютным законодательством Республики Казахстан</v>
      </c>
      <c r="C451" t="str">
        <f t="shared" si="81"/>
        <v>1</v>
      </c>
      <c r="D451" t="str">
        <f>"6"</f>
        <v>6</v>
      </c>
      <c r="E451" t="str">
        <f>"1"</f>
        <v>1</v>
      </c>
      <c r="F451" s="1">
        <v>5609500</v>
      </c>
    </row>
    <row r="452" spans="1:6" x14ac:dyDescent="0.25">
      <c r="A452" t="str">
        <f t="shared" ref="A452:A457" si="82">"2240"</f>
        <v>2240</v>
      </c>
      <c r="B452" t="str">
        <f t="shared" ref="B452:B457" si="83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52" t="str">
        <f t="shared" si="81"/>
        <v>1</v>
      </c>
      <c r="D452" t="str">
        <f>"6"</f>
        <v>6</v>
      </c>
      <c r="E452" t="str">
        <f>"1"</f>
        <v>1</v>
      </c>
      <c r="F452" s="1">
        <v>248767131.56999999</v>
      </c>
    </row>
    <row r="453" spans="1:6" x14ac:dyDescent="0.25">
      <c r="A453" t="str">
        <f t="shared" si="82"/>
        <v>2240</v>
      </c>
      <c r="B453" t="str">
        <f t="shared" si="83"/>
        <v>Счет хранения денег, принятых в качестве обеспечения (заклад, задаток) обязательств клиентов</v>
      </c>
      <c r="C453" t="str">
        <f t="shared" si="81"/>
        <v>1</v>
      </c>
      <c r="D453" t="str">
        <f>"7"</f>
        <v>7</v>
      </c>
      <c r="E453" t="str">
        <f>"1"</f>
        <v>1</v>
      </c>
      <c r="F453" s="1">
        <v>20529392102.599998</v>
      </c>
    </row>
    <row r="454" spans="1:6" x14ac:dyDescent="0.25">
      <c r="A454" t="str">
        <f t="shared" si="82"/>
        <v>2240</v>
      </c>
      <c r="B454" t="str">
        <f t="shared" si="83"/>
        <v>Счет хранения денег, принятых в качестве обеспечения (заклад, задаток) обязательств клиентов</v>
      </c>
      <c r="C454" t="str">
        <f t="shared" si="81"/>
        <v>1</v>
      </c>
      <c r="D454" t="str">
        <f t="shared" ref="D454:D459" si="84">"9"</f>
        <v>9</v>
      </c>
      <c r="E454" t="str">
        <f>"2"</f>
        <v>2</v>
      </c>
      <c r="F454" s="1">
        <v>100330951.73</v>
      </c>
    </row>
    <row r="455" spans="1:6" x14ac:dyDescent="0.25">
      <c r="A455" t="str">
        <f t="shared" si="82"/>
        <v>2240</v>
      </c>
      <c r="B455" t="str">
        <f t="shared" si="83"/>
        <v>Счет хранения денег, принятых в качестве обеспечения (заклад, задаток) обязательств клиентов</v>
      </c>
      <c r="C455" t="str">
        <f t="shared" si="81"/>
        <v>1</v>
      </c>
      <c r="D455" t="str">
        <f t="shared" si="84"/>
        <v>9</v>
      </c>
      <c r="E455" t="str">
        <f>"1"</f>
        <v>1</v>
      </c>
      <c r="F455" s="1">
        <v>393579140.06999999</v>
      </c>
    </row>
    <row r="456" spans="1:6" x14ac:dyDescent="0.25">
      <c r="A456" t="str">
        <f t="shared" si="82"/>
        <v>2240</v>
      </c>
      <c r="B456" t="str">
        <f t="shared" si="83"/>
        <v>Счет хранения денег, принятых в качестве обеспечения (заклад, задаток) обязательств клиентов</v>
      </c>
      <c r="C456" t="str">
        <f>"2"</f>
        <v>2</v>
      </c>
      <c r="D456" t="str">
        <f t="shared" si="84"/>
        <v>9</v>
      </c>
      <c r="E456" t="str">
        <f>"1"</f>
        <v>1</v>
      </c>
      <c r="F456" s="1">
        <v>3682725</v>
      </c>
    </row>
    <row r="457" spans="1:6" x14ac:dyDescent="0.25">
      <c r="A457" t="str">
        <f t="shared" si="82"/>
        <v>2240</v>
      </c>
      <c r="B457" t="str">
        <f t="shared" si="83"/>
        <v>Счет хранения денег, принятых в качестве обеспечения (заклад, задаток) обязательств клиентов</v>
      </c>
      <c r="C457" t="str">
        <f>"2"</f>
        <v>2</v>
      </c>
      <c r="D457" t="str">
        <f t="shared" si="84"/>
        <v>9</v>
      </c>
      <c r="E457" t="str">
        <f>"2"</f>
        <v>2</v>
      </c>
      <c r="F457" s="1">
        <v>6503085820</v>
      </c>
    </row>
    <row r="458" spans="1:6" x14ac:dyDescent="0.25">
      <c r="A458" t="str">
        <f>"2241"</f>
        <v>2241</v>
      </c>
      <c r="B458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C458" t="str">
        <f t="shared" ref="C458:C471" si="85">"1"</f>
        <v>1</v>
      </c>
      <c r="D458" t="str">
        <f t="shared" si="84"/>
        <v>9</v>
      </c>
      <c r="E458" t="str">
        <f>"2"</f>
        <v>2</v>
      </c>
      <c r="F458" s="1">
        <v>6653584079.04</v>
      </c>
    </row>
    <row r="459" spans="1:6" x14ac:dyDescent="0.25">
      <c r="A459" t="str">
        <f>"2241"</f>
        <v>2241</v>
      </c>
      <c r="B45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C459" t="str">
        <f t="shared" si="85"/>
        <v>1</v>
      </c>
      <c r="D459" t="str">
        <f t="shared" si="84"/>
        <v>9</v>
      </c>
      <c r="E459" t="str">
        <f t="shared" ref="E459:E468" si="86">"1"</f>
        <v>1</v>
      </c>
      <c r="F459" s="1">
        <v>21119726010.099998</v>
      </c>
    </row>
    <row r="460" spans="1:6" x14ac:dyDescent="0.25">
      <c r="A460" t="str">
        <f>"2255"</f>
        <v>2255</v>
      </c>
      <c r="B460" t="str">
        <f>"Операции «РЕПО» с ценными бумагами"</f>
        <v>Операции «РЕПО» с ценными бумагами</v>
      </c>
      <c r="C460" t="str">
        <f t="shared" si="85"/>
        <v>1</v>
      </c>
      <c r="D460" t="str">
        <f t="shared" ref="D460:D466" si="87">"5"</f>
        <v>5</v>
      </c>
      <c r="E460" t="str">
        <f t="shared" si="86"/>
        <v>1</v>
      </c>
      <c r="F460" s="1">
        <v>71227802242.210007</v>
      </c>
    </row>
    <row r="461" spans="1:6" x14ac:dyDescent="0.25">
      <c r="A461" t="str">
        <f>"2301"</f>
        <v>2301</v>
      </c>
      <c r="B461" t="str">
        <f>"Выпущенные в обращение облигации"</f>
        <v>Выпущенные в обращение облигации</v>
      </c>
      <c r="C461" t="str">
        <f t="shared" si="85"/>
        <v>1</v>
      </c>
      <c r="D461" t="str">
        <f t="shared" si="87"/>
        <v>5</v>
      </c>
      <c r="E461" t="str">
        <f t="shared" si="86"/>
        <v>1</v>
      </c>
      <c r="F461" s="1">
        <v>7939822700</v>
      </c>
    </row>
    <row r="462" spans="1:6" x14ac:dyDescent="0.25">
      <c r="A462" t="str">
        <f>"2304"</f>
        <v>2304</v>
      </c>
      <c r="B462" t="str">
        <f>"Премия по выпущенным в обращение ценным бумагам"</f>
        <v>Премия по выпущенным в обращение ценным бумагам</v>
      </c>
      <c r="C462" t="str">
        <f t="shared" si="85"/>
        <v>1</v>
      </c>
      <c r="D462" t="str">
        <f t="shared" si="87"/>
        <v>5</v>
      </c>
      <c r="E462" t="str">
        <f t="shared" si="86"/>
        <v>1</v>
      </c>
      <c r="F462" s="1">
        <v>76046768.150000006</v>
      </c>
    </row>
    <row r="463" spans="1:6" x14ac:dyDescent="0.25">
      <c r="A463" t="str">
        <f>"2305"</f>
        <v>2305</v>
      </c>
      <c r="B463" t="str">
        <f>"Дисконт по выпущенным в обращение ценным бумагам"</f>
        <v>Дисконт по выпущенным в обращение ценным бумагам</v>
      </c>
      <c r="C463" t="str">
        <f t="shared" si="85"/>
        <v>1</v>
      </c>
      <c r="D463" t="str">
        <f t="shared" si="87"/>
        <v>5</v>
      </c>
      <c r="E463" t="str">
        <f t="shared" si="86"/>
        <v>1</v>
      </c>
      <c r="F463" s="1">
        <v>-67423272.599999994</v>
      </c>
    </row>
    <row r="464" spans="1:6" x14ac:dyDescent="0.25">
      <c r="A464" t="str">
        <f>"2404"</f>
        <v>2404</v>
      </c>
      <c r="B46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64" t="str">
        <f t="shared" si="85"/>
        <v>1</v>
      </c>
      <c r="D464" t="str">
        <f t="shared" si="87"/>
        <v>5</v>
      </c>
      <c r="E464" t="str">
        <f t="shared" si="86"/>
        <v>1</v>
      </c>
      <c r="F464" s="1">
        <v>-90766652507.509995</v>
      </c>
    </row>
    <row r="465" spans="1:6" x14ac:dyDescent="0.25">
      <c r="A465" t="str">
        <f>"2405"</f>
        <v>2405</v>
      </c>
      <c r="B465" t="str">
        <f>"Выкупленные субординированные облигации"</f>
        <v>Выкупленные субординированные облигации</v>
      </c>
      <c r="C465" t="str">
        <f t="shared" si="85"/>
        <v>1</v>
      </c>
      <c r="D465" t="str">
        <f t="shared" si="87"/>
        <v>5</v>
      </c>
      <c r="E465" t="str">
        <f t="shared" si="86"/>
        <v>1</v>
      </c>
      <c r="F465" s="1">
        <v>-40450000</v>
      </c>
    </row>
    <row r="466" spans="1:6" x14ac:dyDescent="0.25">
      <c r="A466" t="str">
        <f>"2406"</f>
        <v>2406</v>
      </c>
      <c r="B466" t="str">
        <f>"Субординированные облигации"</f>
        <v>Субординированные облигации</v>
      </c>
      <c r="C466" t="str">
        <f t="shared" si="85"/>
        <v>1</v>
      </c>
      <c r="D466" t="str">
        <f t="shared" si="87"/>
        <v>5</v>
      </c>
      <c r="E466" t="str">
        <f t="shared" si="86"/>
        <v>1</v>
      </c>
      <c r="F466" s="1">
        <v>167967200000</v>
      </c>
    </row>
    <row r="467" spans="1:6" x14ac:dyDescent="0.25">
      <c r="A467" t="str">
        <f>"2551"</f>
        <v>2551</v>
      </c>
      <c r="B467" t="str">
        <f>"Расчеты с другими банками"</f>
        <v>Расчеты с другими банками</v>
      </c>
      <c r="C467" t="str">
        <f t="shared" si="85"/>
        <v>1</v>
      </c>
      <c r="D467" t="str">
        <f>"4"</f>
        <v>4</v>
      </c>
      <c r="E467" t="str">
        <f t="shared" si="86"/>
        <v>1</v>
      </c>
      <c r="F467" s="1">
        <v>29202062.68</v>
      </c>
    </row>
    <row r="468" spans="1:6" x14ac:dyDescent="0.25">
      <c r="A468" t="str">
        <f>"2703"</f>
        <v>2703</v>
      </c>
      <c r="B468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68" t="str">
        <f t="shared" si="85"/>
        <v>1</v>
      </c>
      <c r="D468" t="str">
        <f>"1"</f>
        <v>1</v>
      </c>
      <c r="E468" t="str">
        <f t="shared" si="86"/>
        <v>1</v>
      </c>
      <c r="F468" s="1">
        <v>3146827.33</v>
      </c>
    </row>
    <row r="469" spans="1:6" x14ac:dyDescent="0.25">
      <c r="A469" t="str">
        <f>"2703"</f>
        <v>2703</v>
      </c>
      <c r="B469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69" t="str">
        <f t="shared" si="85"/>
        <v>1</v>
      </c>
      <c r="D469" t="str">
        <f>"1"</f>
        <v>1</v>
      </c>
      <c r="E469" t="str">
        <f>"2"</f>
        <v>2</v>
      </c>
      <c r="F469" s="1">
        <v>378570.13</v>
      </c>
    </row>
    <row r="470" spans="1:6" x14ac:dyDescent="0.25">
      <c r="A470" t="str">
        <f>"2705"</f>
        <v>2705</v>
      </c>
      <c r="B470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70" t="str">
        <f t="shared" si="85"/>
        <v>1</v>
      </c>
      <c r="D470" t="str">
        <f>"4"</f>
        <v>4</v>
      </c>
      <c r="E470" t="str">
        <f>"1"</f>
        <v>1</v>
      </c>
      <c r="F470" s="1">
        <v>73223176.730000004</v>
      </c>
    </row>
    <row r="471" spans="1:6" x14ac:dyDescent="0.25">
      <c r="A471" t="str">
        <f>"2706"</f>
        <v>2706</v>
      </c>
      <c r="B471" t="str">
        <f>"Начисленные расходы по займам и финансовому лизингу"</f>
        <v>Начисленные расходы по займам и финансовому лизингу</v>
      </c>
      <c r="C471" t="str">
        <f t="shared" si="85"/>
        <v>1</v>
      </c>
      <c r="D471" t="str">
        <f>"5"</f>
        <v>5</v>
      </c>
      <c r="E471" t="str">
        <f>"1"</f>
        <v>1</v>
      </c>
      <c r="F471" s="1">
        <v>193746423.03999999</v>
      </c>
    </row>
    <row r="472" spans="1:6" x14ac:dyDescent="0.25">
      <c r="A472" t="str">
        <f>"2712"</f>
        <v>2712</v>
      </c>
      <c r="B472" t="str">
        <f>"Начисленные расходы по срочным вкладам других банков"</f>
        <v>Начисленные расходы по срочным вкладам других банков</v>
      </c>
      <c r="C472" t="str">
        <f>"2"</f>
        <v>2</v>
      </c>
      <c r="D472" t="str">
        <f>"4"</f>
        <v>4</v>
      </c>
      <c r="E472" t="str">
        <f>"1"</f>
        <v>1</v>
      </c>
      <c r="F472" s="1">
        <v>138424.66</v>
      </c>
    </row>
    <row r="473" spans="1:6" x14ac:dyDescent="0.25">
      <c r="A473" t="str">
        <f>"2712"</f>
        <v>2712</v>
      </c>
      <c r="B473" t="str">
        <f>"Начисленные расходы по срочным вкладам других банков"</f>
        <v>Начисленные расходы по срочным вкладам других банков</v>
      </c>
      <c r="C473" t="str">
        <f>"2"</f>
        <v>2</v>
      </c>
      <c r="D473" t="str">
        <f>"4"</f>
        <v>4</v>
      </c>
      <c r="E473" t="str">
        <f>"3"</f>
        <v>3</v>
      </c>
      <c r="F473" s="1">
        <v>160438.29999999999</v>
      </c>
    </row>
    <row r="474" spans="1:6" x14ac:dyDescent="0.25">
      <c r="A474" t="str">
        <f>"2718"</f>
        <v>2718</v>
      </c>
      <c r="B474" t="str">
        <f>"Начисленные расходы по текущим счетам клиентов"</f>
        <v>Начисленные расходы по текущим счетам клиентов</v>
      </c>
      <c r="C474" t="str">
        <f>"1"</f>
        <v>1</v>
      </c>
      <c r="D474" t="str">
        <f>"9"</f>
        <v>9</v>
      </c>
      <c r="E474" t="str">
        <f>"3"</f>
        <v>3</v>
      </c>
      <c r="F474" s="1">
        <v>0</v>
      </c>
    </row>
    <row r="475" spans="1:6" x14ac:dyDescent="0.25">
      <c r="A475" t="str">
        <f>"2718"</f>
        <v>2718</v>
      </c>
      <c r="B475" t="str">
        <f>"Начисленные расходы по текущим счетам клиентов"</f>
        <v>Начисленные расходы по текущим счетам клиентов</v>
      </c>
      <c r="C475" t="str">
        <f>"1"</f>
        <v>1</v>
      </c>
      <c r="D475" t="str">
        <f>"9"</f>
        <v>9</v>
      </c>
      <c r="E475" t="str">
        <f>"2"</f>
        <v>2</v>
      </c>
      <c r="F475" s="1">
        <v>0</v>
      </c>
    </row>
    <row r="476" spans="1:6" x14ac:dyDescent="0.25">
      <c r="A476" t="str">
        <f>"2718"</f>
        <v>2718</v>
      </c>
      <c r="B476" t="str">
        <f>"Начисленные расходы по текущим счетам клиентов"</f>
        <v>Начисленные расходы по текущим счетам клиентов</v>
      </c>
      <c r="C476" t="str">
        <f>"2"</f>
        <v>2</v>
      </c>
      <c r="D476" t="str">
        <f>"9"</f>
        <v>9</v>
      </c>
      <c r="E476" t="str">
        <f>"1"</f>
        <v>1</v>
      </c>
      <c r="F476" s="1">
        <v>0</v>
      </c>
    </row>
    <row r="477" spans="1:6" x14ac:dyDescent="0.25">
      <c r="A477" t="str">
        <f>"2718"</f>
        <v>2718</v>
      </c>
      <c r="B477" t="str">
        <f>"Начисленные расходы по текущим счетам клиентов"</f>
        <v>Начисленные расходы по текущим счетам клиентов</v>
      </c>
      <c r="C477" t="str">
        <f t="shared" ref="C477:C482" si="88">"1"</f>
        <v>1</v>
      </c>
      <c r="D477" t="str">
        <f>"9"</f>
        <v>9</v>
      </c>
      <c r="E477" t="str">
        <f>"1"</f>
        <v>1</v>
      </c>
      <c r="F477" s="1">
        <v>0</v>
      </c>
    </row>
    <row r="478" spans="1:6" x14ac:dyDescent="0.25">
      <c r="A478" t="str">
        <f t="shared" ref="A478:A483" si="89">"2719"</f>
        <v>2719</v>
      </c>
      <c r="B478" t="str">
        <f t="shared" ref="B478:B483" si="90">"Начисленные расходы по условным вкладам клиентов"</f>
        <v>Начисленные расходы по условным вкладам клиентов</v>
      </c>
      <c r="C478" t="str">
        <f t="shared" si="88"/>
        <v>1</v>
      </c>
      <c r="D478" t="str">
        <f>"7"</f>
        <v>7</v>
      </c>
      <c r="E478" t="str">
        <f>"2"</f>
        <v>2</v>
      </c>
      <c r="F478" s="1">
        <v>3307.06</v>
      </c>
    </row>
    <row r="479" spans="1:6" x14ac:dyDescent="0.25">
      <c r="A479" t="str">
        <f t="shared" si="89"/>
        <v>2719</v>
      </c>
      <c r="B479" t="str">
        <f t="shared" si="90"/>
        <v>Начисленные расходы по условным вкладам клиентов</v>
      </c>
      <c r="C479" t="str">
        <f t="shared" si="88"/>
        <v>1</v>
      </c>
      <c r="D479" t="str">
        <f>"7"</f>
        <v>7</v>
      </c>
      <c r="E479" t="str">
        <f>"1"</f>
        <v>1</v>
      </c>
      <c r="F479" s="1">
        <v>83965.72</v>
      </c>
    </row>
    <row r="480" spans="1:6" x14ac:dyDescent="0.25">
      <c r="A480" t="str">
        <f t="shared" si="89"/>
        <v>2719</v>
      </c>
      <c r="B480" t="str">
        <f t="shared" si="90"/>
        <v>Начисленные расходы по условным вкладам клиентов</v>
      </c>
      <c r="C480" t="str">
        <f t="shared" si="88"/>
        <v>1</v>
      </c>
      <c r="D480" t="str">
        <f>"8"</f>
        <v>8</v>
      </c>
      <c r="E480" t="str">
        <f>"1"</f>
        <v>1</v>
      </c>
      <c r="F480" s="1">
        <v>143.29</v>
      </c>
    </row>
    <row r="481" spans="1:6" x14ac:dyDescent="0.25">
      <c r="A481" t="str">
        <f t="shared" si="89"/>
        <v>2719</v>
      </c>
      <c r="B481" t="str">
        <f t="shared" si="90"/>
        <v>Начисленные расходы по условным вкладам клиентов</v>
      </c>
      <c r="C481" t="str">
        <f t="shared" si="88"/>
        <v>1</v>
      </c>
      <c r="D481" t="str">
        <f>"9"</f>
        <v>9</v>
      </c>
      <c r="E481" t="str">
        <f>"1"</f>
        <v>1</v>
      </c>
      <c r="F481" s="1">
        <v>898660.84</v>
      </c>
    </row>
    <row r="482" spans="1:6" x14ac:dyDescent="0.25">
      <c r="A482" t="str">
        <f t="shared" si="89"/>
        <v>2719</v>
      </c>
      <c r="B482" t="str">
        <f t="shared" si="90"/>
        <v>Начисленные расходы по условным вкладам клиентов</v>
      </c>
      <c r="C482" t="str">
        <f t="shared" si="88"/>
        <v>1</v>
      </c>
      <c r="D482" t="str">
        <f>"9"</f>
        <v>9</v>
      </c>
      <c r="E482" t="str">
        <f>"2"</f>
        <v>2</v>
      </c>
      <c r="F482" s="1">
        <v>1795323.31</v>
      </c>
    </row>
    <row r="483" spans="1:6" x14ac:dyDescent="0.25">
      <c r="A483" t="str">
        <f t="shared" si="89"/>
        <v>2719</v>
      </c>
      <c r="B483" t="str">
        <f t="shared" si="90"/>
        <v>Начисленные расходы по условным вкладам клиентов</v>
      </c>
      <c r="C483" t="str">
        <f>"2"</f>
        <v>2</v>
      </c>
      <c r="D483" t="str">
        <f>"7"</f>
        <v>7</v>
      </c>
      <c r="E483" t="str">
        <f>"1"</f>
        <v>1</v>
      </c>
      <c r="F483" s="1">
        <v>905.82</v>
      </c>
    </row>
    <row r="484" spans="1:6" x14ac:dyDescent="0.25">
      <c r="A484" t="str">
        <f t="shared" ref="A484:A493" si="91">"2720"</f>
        <v>2720</v>
      </c>
      <c r="B484" t="str">
        <f t="shared" ref="B484:B493" si="92">"Начисленные расходы по вкладам до востребования клиентов"</f>
        <v>Начисленные расходы по вкладам до востребования клиентов</v>
      </c>
      <c r="C484" t="str">
        <f>"1"</f>
        <v>1</v>
      </c>
      <c r="D484" t="str">
        <f>"9"</f>
        <v>9</v>
      </c>
      <c r="E484" t="str">
        <f>"1"</f>
        <v>1</v>
      </c>
      <c r="F484" s="1">
        <v>12171.42</v>
      </c>
    </row>
    <row r="485" spans="1:6" x14ac:dyDescent="0.25">
      <c r="A485" t="str">
        <f t="shared" si="91"/>
        <v>2720</v>
      </c>
      <c r="B485" t="str">
        <f t="shared" si="92"/>
        <v>Начисленные расходы по вкладам до востребования клиентов</v>
      </c>
      <c r="C485" t="str">
        <f>"1"</f>
        <v>1</v>
      </c>
      <c r="D485" t="str">
        <f>"9"</f>
        <v>9</v>
      </c>
      <c r="E485" t="str">
        <f>"3"</f>
        <v>3</v>
      </c>
      <c r="F485" s="1">
        <v>7.71</v>
      </c>
    </row>
    <row r="486" spans="1:6" x14ac:dyDescent="0.25">
      <c r="A486" t="str">
        <f t="shared" si="91"/>
        <v>2720</v>
      </c>
      <c r="B486" t="str">
        <f t="shared" si="92"/>
        <v>Начисленные расходы по вкладам до востребования клиентов</v>
      </c>
      <c r="C486" t="str">
        <f>"1"</f>
        <v>1</v>
      </c>
      <c r="D486" t="str">
        <f>"5"</f>
        <v>5</v>
      </c>
      <c r="E486" t="str">
        <f>"1"</f>
        <v>1</v>
      </c>
      <c r="F486" s="1">
        <v>2</v>
      </c>
    </row>
    <row r="487" spans="1:6" x14ac:dyDescent="0.25">
      <c r="A487" t="str">
        <f t="shared" si="91"/>
        <v>2720</v>
      </c>
      <c r="B487" t="str">
        <f t="shared" si="92"/>
        <v>Начисленные расходы по вкладам до востребования клиентов</v>
      </c>
      <c r="C487" t="str">
        <f>"1"</f>
        <v>1</v>
      </c>
      <c r="D487" t="str">
        <f>"7"</f>
        <v>7</v>
      </c>
      <c r="E487" t="str">
        <f>"2"</f>
        <v>2</v>
      </c>
      <c r="F487" s="1">
        <v>80.66</v>
      </c>
    </row>
    <row r="488" spans="1:6" x14ac:dyDescent="0.25">
      <c r="A488" t="str">
        <f t="shared" si="91"/>
        <v>2720</v>
      </c>
      <c r="B488" t="str">
        <f t="shared" si="92"/>
        <v>Начисленные расходы по вкладам до востребования клиентов</v>
      </c>
      <c r="C488" t="str">
        <f>"2"</f>
        <v>2</v>
      </c>
      <c r="D488" t="str">
        <f>"7"</f>
        <v>7</v>
      </c>
      <c r="E488" t="str">
        <f>"2"</f>
        <v>2</v>
      </c>
      <c r="F488" s="1">
        <v>33.21</v>
      </c>
    </row>
    <row r="489" spans="1:6" x14ac:dyDescent="0.25">
      <c r="A489" t="str">
        <f t="shared" si="91"/>
        <v>2720</v>
      </c>
      <c r="B489" t="str">
        <f t="shared" si="92"/>
        <v>Начисленные расходы по вкладам до востребования клиентов</v>
      </c>
      <c r="C489" t="str">
        <f>"1"</f>
        <v>1</v>
      </c>
      <c r="D489" t="str">
        <f>"7"</f>
        <v>7</v>
      </c>
      <c r="E489" t="str">
        <f>"1"</f>
        <v>1</v>
      </c>
      <c r="F489" s="1">
        <v>80773.06</v>
      </c>
    </row>
    <row r="490" spans="1:6" x14ac:dyDescent="0.25">
      <c r="A490" t="str">
        <f t="shared" si="91"/>
        <v>2720</v>
      </c>
      <c r="B490" t="str">
        <f t="shared" si="92"/>
        <v>Начисленные расходы по вкладам до востребования клиентов</v>
      </c>
      <c r="C490" t="str">
        <f>"1"</f>
        <v>1</v>
      </c>
      <c r="D490" t="str">
        <f>"9"</f>
        <v>9</v>
      </c>
      <c r="E490" t="str">
        <f>"2"</f>
        <v>2</v>
      </c>
      <c r="F490" s="1">
        <v>15145.06</v>
      </c>
    </row>
    <row r="491" spans="1:6" x14ac:dyDescent="0.25">
      <c r="A491" t="str">
        <f t="shared" si="91"/>
        <v>2720</v>
      </c>
      <c r="B491" t="str">
        <f t="shared" si="92"/>
        <v>Начисленные расходы по вкладам до востребования клиентов</v>
      </c>
      <c r="C491" t="str">
        <f>"2"</f>
        <v>2</v>
      </c>
      <c r="D491" t="str">
        <f>"9"</f>
        <v>9</v>
      </c>
      <c r="E491" t="str">
        <f>"1"</f>
        <v>1</v>
      </c>
      <c r="F491" s="1">
        <v>3861</v>
      </c>
    </row>
    <row r="492" spans="1:6" x14ac:dyDescent="0.25">
      <c r="A492" t="str">
        <f t="shared" si="91"/>
        <v>2720</v>
      </c>
      <c r="B492" t="str">
        <f t="shared" si="92"/>
        <v>Начисленные расходы по вкладам до востребования клиентов</v>
      </c>
      <c r="C492" t="str">
        <f>"2"</f>
        <v>2</v>
      </c>
      <c r="D492" t="str">
        <f>"9"</f>
        <v>9</v>
      </c>
      <c r="E492" t="str">
        <f>"3"</f>
        <v>3</v>
      </c>
      <c r="F492" s="1">
        <v>0.2</v>
      </c>
    </row>
    <row r="493" spans="1:6" x14ac:dyDescent="0.25">
      <c r="A493" t="str">
        <f t="shared" si="91"/>
        <v>2720</v>
      </c>
      <c r="B493" t="str">
        <f t="shared" si="92"/>
        <v>Начисленные расходы по вкладам до востребования клиентов</v>
      </c>
      <c r="C493" t="str">
        <f>"2"</f>
        <v>2</v>
      </c>
      <c r="D493" t="str">
        <f>"9"</f>
        <v>9</v>
      </c>
      <c r="E493" t="str">
        <f>"2"</f>
        <v>2</v>
      </c>
      <c r="F493" s="1">
        <v>12454.86</v>
      </c>
    </row>
    <row r="494" spans="1:6" x14ac:dyDescent="0.25">
      <c r="A494" t="str">
        <f t="shared" ref="A494:A513" si="93">"2721"</f>
        <v>2721</v>
      </c>
      <c r="B494" t="str">
        <f t="shared" ref="B494:B513" si="94">"Начисленные расходы по срочным вкладам клиентов"</f>
        <v>Начисленные расходы по срочным вкладам клиентов</v>
      </c>
      <c r="C494" t="str">
        <f t="shared" ref="C494:C506" si="95">"1"</f>
        <v>1</v>
      </c>
      <c r="D494" t="str">
        <f>"5"</f>
        <v>5</v>
      </c>
      <c r="E494" t="str">
        <f>"2"</f>
        <v>2</v>
      </c>
      <c r="F494" s="1">
        <v>23677033.129999999</v>
      </c>
    </row>
    <row r="495" spans="1:6" x14ac:dyDescent="0.25">
      <c r="A495" t="str">
        <f t="shared" si="93"/>
        <v>2721</v>
      </c>
      <c r="B495" t="str">
        <f t="shared" si="94"/>
        <v>Начисленные расходы по срочным вкладам клиентов</v>
      </c>
      <c r="C495" t="str">
        <f t="shared" si="95"/>
        <v>1</v>
      </c>
      <c r="D495" t="str">
        <f>"5"</f>
        <v>5</v>
      </c>
      <c r="E495" t="str">
        <f>"3"</f>
        <v>3</v>
      </c>
      <c r="F495" s="1">
        <v>5512.16</v>
      </c>
    </row>
    <row r="496" spans="1:6" x14ac:dyDescent="0.25">
      <c r="A496" t="str">
        <f t="shared" si="93"/>
        <v>2721</v>
      </c>
      <c r="B496" t="str">
        <f t="shared" si="94"/>
        <v>Начисленные расходы по срочным вкладам клиентов</v>
      </c>
      <c r="C496" t="str">
        <f t="shared" si="95"/>
        <v>1</v>
      </c>
      <c r="D496" t="str">
        <f>"5"</f>
        <v>5</v>
      </c>
      <c r="E496" t="str">
        <f>"1"</f>
        <v>1</v>
      </c>
      <c r="F496" s="1">
        <v>624739632.38</v>
      </c>
    </row>
    <row r="497" spans="1:6" x14ac:dyDescent="0.25">
      <c r="A497" t="str">
        <f t="shared" si="93"/>
        <v>2721</v>
      </c>
      <c r="B497" t="str">
        <f t="shared" si="94"/>
        <v>Начисленные расходы по срочным вкладам клиентов</v>
      </c>
      <c r="C497" t="str">
        <f t="shared" si="95"/>
        <v>1</v>
      </c>
      <c r="D497" t="str">
        <f>"6"</f>
        <v>6</v>
      </c>
      <c r="E497" t="str">
        <f>"2"</f>
        <v>2</v>
      </c>
      <c r="F497" s="1">
        <v>176621.46</v>
      </c>
    </row>
    <row r="498" spans="1:6" x14ac:dyDescent="0.25">
      <c r="A498" t="str">
        <f t="shared" si="93"/>
        <v>2721</v>
      </c>
      <c r="B498" t="str">
        <f t="shared" si="94"/>
        <v>Начисленные расходы по срочным вкладам клиентов</v>
      </c>
      <c r="C498" t="str">
        <f t="shared" si="95"/>
        <v>1</v>
      </c>
      <c r="D498" t="str">
        <f>"7"</f>
        <v>7</v>
      </c>
      <c r="E498" t="str">
        <f>"2"</f>
        <v>2</v>
      </c>
      <c r="F498" s="1">
        <v>266603112.87</v>
      </c>
    </row>
    <row r="499" spans="1:6" x14ac:dyDescent="0.25">
      <c r="A499" t="str">
        <f t="shared" si="93"/>
        <v>2721</v>
      </c>
      <c r="B499" t="str">
        <f t="shared" si="94"/>
        <v>Начисленные расходы по срочным вкладам клиентов</v>
      </c>
      <c r="C499" t="str">
        <f t="shared" si="95"/>
        <v>1</v>
      </c>
      <c r="D499" t="str">
        <f>"6"</f>
        <v>6</v>
      </c>
      <c r="E499" t="str">
        <f>"1"</f>
        <v>1</v>
      </c>
      <c r="F499" s="1">
        <v>200596257.28</v>
      </c>
    </row>
    <row r="500" spans="1:6" x14ac:dyDescent="0.25">
      <c r="A500" t="str">
        <f t="shared" si="93"/>
        <v>2721</v>
      </c>
      <c r="B500" t="str">
        <f t="shared" si="94"/>
        <v>Начисленные расходы по срочным вкладам клиентов</v>
      </c>
      <c r="C500" t="str">
        <f t="shared" si="95"/>
        <v>1</v>
      </c>
      <c r="D500" t="str">
        <f>"7"</f>
        <v>7</v>
      </c>
      <c r="E500" t="str">
        <f>"1"</f>
        <v>1</v>
      </c>
      <c r="F500" s="1">
        <v>1271116008.95</v>
      </c>
    </row>
    <row r="501" spans="1:6" x14ac:dyDescent="0.25">
      <c r="A501" t="str">
        <f t="shared" si="93"/>
        <v>2721</v>
      </c>
      <c r="B501" t="str">
        <f t="shared" si="94"/>
        <v>Начисленные расходы по срочным вкладам клиентов</v>
      </c>
      <c r="C501" t="str">
        <f t="shared" si="95"/>
        <v>1</v>
      </c>
      <c r="D501" t="str">
        <f>"9"</f>
        <v>9</v>
      </c>
      <c r="E501" t="str">
        <f>"1"</f>
        <v>1</v>
      </c>
      <c r="F501" s="1">
        <v>120634873.53</v>
      </c>
    </row>
    <row r="502" spans="1:6" x14ac:dyDescent="0.25">
      <c r="A502" t="str">
        <f t="shared" si="93"/>
        <v>2721</v>
      </c>
      <c r="B502" t="str">
        <f t="shared" si="94"/>
        <v>Начисленные расходы по срочным вкладам клиентов</v>
      </c>
      <c r="C502" t="str">
        <f t="shared" si="95"/>
        <v>1</v>
      </c>
      <c r="D502" t="str">
        <f>"8"</f>
        <v>8</v>
      </c>
      <c r="E502" t="str">
        <f>"2"</f>
        <v>2</v>
      </c>
      <c r="F502" s="1">
        <v>42417.62</v>
      </c>
    </row>
    <row r="503" spans="1:6" x14ac:dyDescent="0.25">
      <c r="A503" t="str">
        <f t="shared" si="93"/>
        <v>2721</v>
      </c>
      <c r="B503" t="str">
        <f t="shared" si="94"/>
        <v>Начисленные расходы по срочным вкладам клиентов</v>
      </c>
      <c r="C503" t="str">
        <f t="shared" si="95"/>
        <v>1</v>
      </c>
      <c r="D503" t="str">
        <f>"7"</f>
        <v>7</v>
      </c>
      <c r="E503" t="str">
        <f>"3"</f>
        <v>3</v>
      </c>
      <c r="F503" s="1">
        <v>3641101.1</v>
      </c>
    </row>
    <row r="504" spans="1:6" x14ac:dyDescent="0.25">
      <c r="A504" t="str">
        <f t="shared" si="93"/>
        <v>2721</v>
      </c>
      <c r="B504" t="str">
        <f t="shared" si="94"/>
        <v>Начисленные расходы по срочным вкладам клиентов</v>
      </c>
      <c r="C504" t="str">
        <f t="shared" si="95"/>
        <v>1</v>
      </c>
      <c r="D504" t="str">
        <f>"8"</f>
        <v>8</v>
      </c>
      <c r="E504" t="str">
        <f>"1"</f>
        <v>1</v>
      </c>
      <c r="F504" s="1">
        <v>55989663.549999997</v>
      </c>
    </row>
    <row r="505" spans="1:6" x14ac:dyDescent="0.25">
      <c r="A505" t="str">
        <f t="shared" si="93"/>
        <v>2721</v>
      </c>
      <c r="B505" t="str">
        <f t="shared" si="94"/>
        <v>Начисленные расходы по срочным вкладам клиентов</v>
      </c>
      <c r="C505" t="str">
        <f t="shared" si="95"/>
        <v>1</v>
      </c>
      <c r="D505" t="str">
        <f>"9"</f>
        <v>9</v>
      </c>
      <c r="E505" t="str">
        <f>"2"</f>
        <v>2</v>
      </c>
      <c r="F505" s="1">
        <v>2370025.16</v>
      </c>
    </row>
    <row r="506" spans="1:6" x14ac:dyDescent="0.25">
      <c r="A506" t="str">
        <f t="shared" si="93"/>
        <v>2721</v>
      </c>
      <c r="B506" t="str">
        <f t="shared" si="94"/>
        <v>Начисленные расходы по срочным вкладам клиентов</v>
      </c>
      <c r="C506" t="str">
        <f t="shared" si="95"/>
        <v>1</v>
      </c>
      <c r="D506" t="str">
        <f>"9"</f>
        <v>9</v>
      </c>
      <c r="E506" t="str">
        <f>"3"</f>
        <v>3</v>
      </c>
      <c r="F506" s="1">
        <v>32697.9</v>
      </c>
    </row>
    <row r="507" spans="1:6" x14ac:dyDescent="0.25">
      <c r="A507" t="str">
        <f t="shared" si="93"/>
        <v>2721</v>
      </c>
      <c r="B507" t="str">
        <f t="shared" si="94"/>
        <v>Начисленные расходы по срочным вкладам клиентов</v>
      </c>
      <c r="C507" t="str">
        <f t="shared" ref="C507:C513" si="96">"2"</f>
        <v>2</v>
      </c>
      <c r="D507" t="str">
        <f>"5"</f>
        <v>5</v>
      </c>
      <c r="E507" t="str">
        <f>"2"</f>
        <v>2</v>
      </c>
      <c r="F507" s="1">
        <v>9784249.9399999995</v>
      </c>
    </row>
    <row r="508" spans="1:6" x14ac:dyDescent="0.25">
      <c r="A508" t="str">
        <f t="shared" si="93"/>
        <v>2721</v>
      </c>
      <c r="B508" t="str">
        <f t="shared" si="94"/>
        <v>Начисленные расходы по срочным вкладам клиентов</v>
      </c>
      <c r="C508" t="str">
        <f t="shared" si="96"/>
        <v>2</v>
      </c>
      <c r="D508" t="str">
        <f>"7"</f>
        <v>7</v>
      </c>
      <c r="E508" t="str">
        <f>"3"</f>
        <v>3</v>
      </c>
      <c r="F508" s="1">
        <v>168592775.03</v>
      </c>
    </row>
    <row r="509" spans="1:6" x14ac:dyDescent="0.25">
      <c r="A509" t="str">
        <f t="shared" si="93"/>
        <v>2721</v>
      </c>
      <c r="B509" t="str">
        <f t="shared" si="94"/>
        <v>Начисленные расходы по срочным вкладам клиентов</v>
      </c>
      <c r="C509" t="str">
        <f t="shared" si="96"/>
        <v>2</v>
      </c>
      <c r="D509" t="str">
        <f>"7"</f>
        <v>7</v>
      </c>
      <c r="E509" t="str">
        <f>"1"</f>
        <v>1</v>
      </c>
      <c r="F509" s="1">
        <v>101542147.77</v>
      </c>
    </row>
    <row r="510" spans="1:6" x14ac:dyDescent="0.25">
      <c r="A510" t="str">
        <f t="shared" si="93"/>
        <v>2721</v>
      </c>
      <c r="B510" t="str">
        <f t="shared" si="94"/>
        <v>Начисленные расходы по срочным вкладам клиентов</v>
      </c>
      <c r="C510" t="str">
        <f t="shared" si="96"/>
        <v>2</v>
      </c>
      <c r="D510" t="str">
        <f>"9"</f>
        <v>9</v>
      </c>
      <c r="E510" t="str">
        <f>"1"</f>
        <v>1</v>
      </c>
      <c r="F510" s="1">
        <v>15009315.59</v>
      </c>
    </row>
    <row r="511" spans="1:6" x14ac:dyDescent="0.25">
      <c r="A511" t="str">
        <f t="shared" si="93"/>
        <v>2721</v>
      </c>
      <c r="B511" t="str">
        <f t="shared" si="94"/>
        <v>Начисленные расходы по срочным вкладам клиентов</v>
      </c>
      <c r="C511" t="str">
        <f t="shared" si="96"/>
        <v>2</v>
      </c>
      <c r="D511" t="str">
        <f>"7"</f>
        <v>7</v>
      </c>
      <c r="E511" t="str">
        <f>"2"</f>
        <v>2</v>
      </c>
      <c r="F511" s="1">
        <v>140364898.88999999</v>
      </c>
    </row>
    <row r="512" spans="1:6" x14ac:dyDescent="0.25">
      <c r="A512" t="str">
        <f t="shared" si="93"/>
        <v>2721</v>
      </c>
      <c r="B512" t="str">
        <f t="shared" si="94"/>
        <v>Начисленные расходы по срочным вкладам клиентов</v>
      </c>
      <c r="C512" t="str">
        <f t="shared" si="96"/>
        <v>2</v>
      </c>
      <c r="D512" t="str">
        <f>"9"</f>
        <v>9</v>
      </c>
      <c r="E512" t="str">
        <f>"3"</f>
        <v>3</v>
      </c>
      <c r="F512" s="1">
        <v>285580.14</v>
      </c>
    </row>
    <row r="513" spans="1:6" x14ac:dyDescent="0.25">
      <c r="A513" t="str">
        <f t="shared" si="93"/>
        <v>2721</v>
      </c>
      <c r="B513" t="str">
        <f t="shared" si="94"/>
        <v>Начисленные расходы по срочным вкладам клиентов</v>
      </c>
      <c r="C513" t="str">
        <f t="shared" si="96"/>
        <v>2</v>
      </c>
      <c r="D513" t="str">
        <f>"9"</f>
        <v>9</v>
      </c>
      <c r="E513" t="str">
        <f>"2"</f>
        <v>2</v>
      </c>
      <c r="F513" s="1">
        <v>3046733.24</v>
      </c>
    </row>
    <row r="514" spans="1:6" x14ac:dyDescent="0.25">
      <c r="A514" t="str">
        <f t="shared" ref="A514:A520" si="97">"2723"</f>
        <v>2723</v>
      </c>
      <c r="B514" t="str">
        <f t="shared" ref="B514:B520" si="98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514" t="str">
        <f>"1"</f>
        <v>1</v>
      </c>
      <c r="D514" t="str">
        <f>"5"</f>
        <v>5</v>
      </c>
      <c r="E514" t="str">
        <f>"1"</f>
        <v>1</v>
      </c>
      <c r="F514" s="1">
        <v>26499082.57</v>
      </c>
    </row>
    <row r="515" spans="1:6" x14ac:dyDescent="0.25">
      <c r="A515" t="str">
        <f t="shared" si="97"/>
        <v>2723</v>
      </c>
      <c r="B515" t="str">
        <f t="shared" si="98"/>
        <v>Начисленные расходы по вкладу, являющемуся обеспечением обязательств клиентов</v>
      </c>
      <c r="C515" t="str">
        <f>"1"</f>
        <v>1</v>
      </c>
      <c r="D515" t="str">
        <f>"5"</f>
        <v>5</v>
      </c>
      <c r="E515" t="str">
        <f>"2"</f>
        <v>2</v>
      </c>
      <c r="F515" s="1">
        <v>74685.64</v>
      </c>
    </row>
    <row r="516" spans="1:6" x14ac:dyDescent="0.25">
      <c r="A516" t="str">
        <f t="shared" si="97"/>
        <v>2723</v>
      </c>
      <c r="B516" t="str">
        <f t="shared" si="98"/>
        <v>Начисленные расходы по вкладу, являющемуся обеспечением обязательств клиентов</v>
      </c>
      <c r="C516" t="str">
        <f>"1"</f>
        <v>1</v>
      </c>
      <c r="D516" t="str">
        <f>"7"</f>
        <v>7</v>
      </c>
      <c r="E516" t="str">
        <f>"1"</f>
        <v>1</v>
      </c>
      <c r="F516" s="1">
        <v>25378796.66</v>
      </c>
    </row>
    <row r="517" spans="1:6" x14ac:dyDescent="0.25">
      <c r="A517" t="str">
        <f t="shared" si="97"/>
        <v>2723</v>
      </c>
      <c r="B517" t="str">
        <f t="shared" si="98"/>
        <v>Начисленные расходы по вкладу, являющемуся обеспечением обязательств клиентов</v>
      </c>
      <c r="C517" t="str">
        <f>"1"</f>
        <v>1</v>
      </c>
      <c r="D517" t="str">
        <f>"7"</f>
        <v>7</v>
      </c>
      <c r="E517" t="str">
        <f>"2"</f>
        <v>2</v>
      </c>
      <c r="F517" s="1">
        <v>8981176.2100000009</v>
      </c>
    </row>
    <row r="518" spans="1:6" x14ac:dyDescent="0.25">
      <c r="A518" t="str">
        <f t="shared" si="97"/>
        <v>2723</v>
      </c>
      <c r="B518" t="str">
        <f t="shared" si="98"/>
        <v>Начисленные расходы по вкладу, являющемуся обеспечением обязательств клиентов</v>
      </c>
      <c r="C518" t="str">
        <f>"1"</f>
        <v>1</v>
      </c>
      <c r="D518" t="str">
        <f>"9"</f>
        <v>9</v>
      </c>
      <c r="E518" t="str">
        <f>"1"</f>
        <v>1</v>
      </c>
      <c r="F518" s="1">
        <v>8536678.1199999992</v>
      </c>
    </row>
    <row r="519" spans="1:6" x14ac:dyDescent="0.25">
      <c r="A519" t="str">
        <f t="shared" si="97"/>
        <v>2723</v>
      </c>
      <c r="B519" t="str">
        <f t="shared" si="98"/>
        <v>Начисленные расходы по вкладу, являющемуся обеспечением обязательств клиентов</v>
      </c>
      <c r="C519" t="str">
        <f>"2"</f>
        <v>2</v>
      </c>
      <c r="D519" t="str">
        <f>"9"</f>
        <v>9</v>
      </c>
      <c r="E519" t="str">
        <f>"2"</f>
        <v>2</v>
      </c>
      <c r="F519" s="1">
        <v>125.88</v>
      </c>
    </row>
    <row r="520" spans="1:6" x14ac:dyDescent="0.25">
      <c r="A520" t="str">
        <f t="shared" si="97"/>
        <v>2723</v>
      </c>
      <c r="B520" t="str">
        <f t="shared" si="98"/>
        <v>Начисленные расходы по вкладу, являющемуся обеспечением обязательств клиентов</v>
      </c>
      <c r="C520" t="str">
        <f t="shared" ref="C520:C525" si="99">"1"</f>
        <v>1</v>
      </c>
      <c r="D520" t="str">
        <f>"9"</f>
        <v>9</v>
      </c>
      <c r="E520" t="str">
        <f>"2"</f>
        <v>2</v>
      </c>
      <c r="F520" s="1">
        <v>160261.4</v>
      </c>
    </row>
    <row r="521" spans="1:6" x14ac:dyDescent="0.25">
      <c r="A521" t="str">
        <f t="shared" ref="A521:A526" si="100">"2724"</f>
        <v>2724</v>
      </c>
      <c r="B521" t="str">
        <f t="shared" ref="B521:B526" si="101">"Начисленные расходы по сберегательным вкладам клиентов"</f>
        <v>Начисленные расходы по сберегательным вкладам клиентов</v>
      </c>
      <c r="C521" t="str">
        <f t="shared" si="99"/>
        <v>1</v>
      </c>
      <c r="D521" t="str">
        <f>"5"</f>
        <v>5</v>
      </c>
      <c r="E521" t="str">
        <f>"1"</f>
        <v>1</v>
      </c>
      <c r="F521" s="1">
        <v>138196.95000000001</v>
      </c>
    </row>
    <row r="522" spans="1:6" x14ac:dyDescent="0.25">
      <c r="A522" t="str">
        <f t="shared" si="100"/>
        <v>2724</v>
      </c>
      <c r="B522" t="str">
        <f t="shared" si="101"/>
        <v>Начисленные расходы по сберегательным вкладам клиентов</v>
      </c>
      <c r="C522" t="str">
        <f t="shared" si="99"/>
        <v>1</v>
      </c>
      <c r="D522" t="str">
        <f>"6"</f>
        <v>6</v>
      </c>
      <c r="E522" t="str">
        <f>"1"</f>
        <v>1</v>
      </c>
      <c r="F522" s="1">
        <v>5295342.47</v>
      </c>
    </row>
    <row r="523" spans="1:6" x14ac:dyDescent="0.25">
      <c r="A523" t="str">
        <f t="shared" si="100"/>
        <v>2724</v>
      </c>
      <c r="B523" t="str">
        <f t="shared" si="101"/>
        <v>Начисленные расходы по сберегательным вкладам клиентов</v>
      </c>
      <c r="C523" t="str">
        <f t="shared" si="99"/>
        <v>1</v>
      </c>
      <c r="D523" t="str">
        <f>"7"</f>
        <v>7</v>
      </c>
      <c r="E523" t="str">
        <f>"1"</f>
        <v>1</v>
      </c>
      <c r="F523" s="1">
        <v>48049.31</v>
      </c>
    </row>
    <row r="524" spans="1:6" x14ac:dyDescent="0.25">
      <c r="A524" t="str">
        <f t="shared" si="100"/>
        <v>2724</v>
      </c>
      <c r="B524" t="str">
        <f t="shared" si="101"/>
        <v>Начисленные расходы по сберегательным вкладам клиентов</v>
      </c>
      <c r="C524" t="str">
        <f t="shared" si="99"/>
        <v>1</v>
      </c>
      <c r="D524" t="str">
        <f>"9"</f>
        <v>9</v>
      </c>
      <c r="E524" t="str">
        <f>"1"</f>
        <v>1</v>
      </c>
      <c r="F524" s="1">
        <v>120385760.48</v>
      </c>
    </row>
    <row r="525" spans="1:6" x14ac:dyDescent="0.25">
      <c r="A525" t="str">
        <f t="shared" si="100"/>
        <v>2724</v>
      </c>
      <c r="B525" t="str">
        <f t="shared" si="101"/>
        <v>Начисленные расходы по сберегательным вкладам клиентов</v>
      </c>
      <c r="C525" t="str">
        <f t="shared" si="99"/>
        <v>1</v>
      </c>
      <c r="D525" t="str">
        <f>"7"</f>
        <v>7</v>
      </c>
      <c r="E525" t="str">
        <f>"2"</f>
        <v>2</v>
      </c>
      <c r="F525" s="1">
        <v>1010673.3</v>
      </c>
    </row>
    <row r="526" spans="1:6" x14ac:dyDescent="0.25">
      <c r="A526" t="str">
        <f t="shared" si="100"/>
        <v>2724</v>
      </c>
      <c r="B526" t="str">
        <f t="shared" si="101"/>
        <v>Начисленные расходы по сберегательным вкладам клиентов</v>
      </c>
      <c r="C526" t="str">
        <f>"2"</f>
        <v>2</v>
      </c>
      <c r="D526" t="str">
        <f>"9"</f>
        <v>9</v>
      </c>
      <c r="E526" t="str">
        <f t="shared" ref="E526:E540" si="102">"1"</f>
        <v>1</v>
      </c>
      <c r="F526" s="1">
        <v>2312312.64</v>
      </c>
    </row>
    <row r="527" spans="1:6" x14ac:dyDescent="0.25">
      <c r="A527" t="str">
        <f>"2725"</f>
        <v>2725</v>
      </c>
      <c r="B52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C527" t="str">
        <f t="shared" ref="C527:C538" si="103">"1"</f>
        <v>1</v>
      </c>
      <c r="D527" t="str">
        <f>"5"</f>
        <v>5</v>
      </c>
      <c r="E527" t="str">
        <f t="shared" si="102"/>
        <v>1</v>
      </c>
      <c r="F527" s="1">
        <v>368900245.57999998</v>
      </c>
    </row>
    <row r="528" spans="1:6" x14ac:dyDescent="0.25">
      <c r="A528" t="str">
        <f>"2730"</f>
        <v>2730</v>
      </c>
      <c r="B52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528" t="str">
        <f t="shared" si="103"/>
        <v>1</v>
      </c>
      <c r="D528" t="str">
        <f>"5"</f>
        <v>5</v>
      </c>
      <c r="E528" t="str">
        <f t="shared" si="102"/>
        <v>1</v>
      </c>
      <c r="F528" s="1">
        <v>108676323.20999999</v>
      </c>
    </row>
    <row r="529" spans="1:6" x14ac:dyDescent="0.25">
      <c r="A529" t="str">
        <f>"2731"</f>
        <v>2731</v>
      </c>
      <c r="B529" t="str">
        <f>"Начисленные расходы по прочим операциям"</f>
        <v>Начисленные расходы по прочим операциям</v>
      </c>
      <c r="C529" t="str">
        <f t="shared" si="103"/>
        <v>1</v>
      </c>
      <c r="D529" t="str">
        <f>"5"</f>
        <v>5</v>
      </c>
      <c r="E529" t="str">
        <f t="shared" si="102"/>
        <v>1</v>
      </c>
      <c r="F529" s="1">
        <v>677320311.41999996</v>
      </c>
    </row>
    <row r="530" spans="1:6" x14ac:dyDescent="0.25">
      <c r="A530" t="str">
        <f>"2745"</f>
        <v>2745</v>
      </c>
      <c r="B53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0" t="str">
        <f t="shared" si="103"/>
        <v>1</v>
      </c>
      <c r="D530" t="str">
        <f>"5"</f>
        <v>5</v>
      </c>
      <c r="E530" t="str">
        <f t="shared" si="102"/>
        <v>1</v>
      </c>
      <c r="F530" s="1">
        <v>28873.27</v>
      </c>
    </row>
    <row r="531" spans="1:6" x14ac:dyDescent="0.25">
      <c r="A531" t="str">
        <f>"2745"</f>
        <v>2745</v>
      </c>
      <c r="B53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1" t="str">
        <f t="shared" si="103"/>
        <v>1</v>
      </c>
      <c r="D531" t="str">
        <f>"1"</f>
        <v>1</v>
      </c>
      <c r="E531" t="str">
        <f t="shared" si="102"/>
        <v>1</v>
      </c>
      <c r="F531" s="1">
        <v>16019.02</v>
      </c>
    </row>
    <row r="532" spans="1:6" x14ac:dyDescent="0.25">
      <c r="A532" t="str">
        <f>"2745"</f>
        <v>2745</v>
      </c>
      <c r="B53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2" t="str">
        <f t="shared" si="103"/>
        <v>1</v>
      </c>
      <c r="D532" t="str">
        <f>"9"</f>
        <v>9</v>
      </c>
      <c r="E532" t="str">
        <f t="shared" si="102"/>
        <v>1</v>
      </c>
      <c r="F532" s="1">
        <v>7729443.9699999997</v>
      </c>
    </row>
    <row r="533" spans="1:6" x14ac:dyDescent="0.25">
      <c r="A533" t="str">
        <f>"2745"</f>
        <v>2745</v>
      </c>
      <c r="B53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33" t="str">
        <f t="shared" si="103"/>
        <v>1</v>
      </c>
      <c r="D533" t="str">
        <f>"7"</f>
        <v>7</v>
      </c>
      <c r="E533" t="str">
        <f t="shared" si="102"/>
        <v>1</v>
      </c>
      <c r="F533" s="1">
        <v>23816132.41</v>
      </c>
    </row>
    <row r="534" spans="1:6" x14ac:dyDescent="0.25">
      <c r="A534" t="str">
        <f>"2756"</f>
        <v>2756</v>
      </c>
      <c r="B534" t="str">
        <f>"Начисленные расходы по субординированным облигациям"</f>
        <v>Начисленные расходы по субординированным облигациям</v>
      </c>
      <c r="C534" t="str">
        <f t="shared" si="103"/>
        <v>1</v>
      </c>
      <c r="D534" t="str">
        <f>"5"</f>
        <v>5</v>
      </c>
      <c r="E534" t="str">
        <f t="shared" si="102"/>
        <v>1</v>
      </c>
      <c r="F534" s="1">
        <v>6651277604.1700001</v>
      </c>
    </row>
    <row r="535" spans="1:6" x14ac:dyDescent="0.25">
      <c r="A535" t="str">
        <f t="shared" ref="A535:A540" si="104">"2770"</f>
        <v>2770</v>
      </c>
      <c r="B535" t="str">
        <f t="shared" ref="B535:B540" si="105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535" t="str">
        <f t="shared" si="103"/>
        <v>1</v>
      </c>
      <c r="D535" t="str">
        <f>"5"</f>
        <v>5</v>
      </c>
      <c r="E535" t="str">
        <f t="shared" si="102"/>
        <v>1</v>
      </c>
      <c r="F535" s="1">
        <v>940</v>
      </c>
    </row>
    <row r="536" spans="1:6" x14ac:dyDescent="0.25">
      <c r="A536" t="str">
        <f t="shared" si="104"/>
        <v>2770</v>
      </c>
      <c r="B536" t="str">
        <f t="shared" si="105"/>
        <v>Начисленные расходы по административно-хозяйственной деятельности</v>
      </c>
      <c r="C536" t="str">
        <f t="shared" si="103"/>
        <v>1</v>
      </c>
      <c r="D536" t="str">
        <f>"7"</f>
        <v>7</v>
      </c>
      <c r="E536" t="str">
        <f t="shared" si="102"/>
        <v>1</v>
      </c>
      <c r="F536" s="1">
        <v>204412100.15000001</v>
      </c>
    </row>
    <row r="537" spans="1:6" x14ac:dyDescent="0.25">
      <c r="A537" t="str">
        <f t="shared" si="104"/>
        <v>2770</v>
      </c>
      <c r="B537" t="str">
        <f t="shared" si="105"/>
        <v>Начисленные расходы по административно-хозяйственной деятельности</v>
      </c>
      <c r="C537" t="str">
        <f t="shared" si="103"/>
        <v>1</v>
      </c>
      <c r="D537" t="str">
        <f>"8"</f>
        <v>8</v>
      </c>
      <c r="E537" t="str">
        <f t="shared" si="102"/>
        <v>1</v>
      </c>
      <c r="F537" s="1">
        <v>160946.42000000001</v>
      </c>
    </row>
    <row r="538" spans="1:6" x14ac:dyDescent="0.25">
      <c r="A538" t="str">
        <f t="shared" si="104"/>
        <v>2770</v>
      </c>
      <c r="B538" t="str">
        <f t="shared" si="105"/>
        <v>Начисленные расходы по административно-хозяйственной деятельности</v>
      </c>
      <c r="C538" t="str">
        <f t="shared" si="103"/>
        <v>1</v>
      </c>
      <c r="D538" t="str">
        <f>"6"</f>
        <v>6</v>
      </c>
      <c r="E538" t="str">
        <f t="shared" si="102"/>
        <v>1</v>
      </c>
      <c r="F538" s="1">
        <v>44638022.68</v>
      </c>
    </row>
    <row r="539" spans="1:6" x14ac:dyDescent="0.25">
      <c r="A539" t="str">
        <f t="shared" si="104"/>
        <v>2770</v>
      </c>
      <c r="B539" t="str">
        <f t="shared" si="105"/>
        <v>Начисленные расходы по административно-хозяйственной деятельности</v>
      </c>
      <c r="C539" t="str">
        <f>"2"</f>
        <v>2</v>
      </c>
      <c r="D539" t="str">
        <f>"7"</f>
        <v>7</v>
      </c>
      <c r="E539" t="str">
        <f t="shared" si="102"/>
        <v>1</v>
      </c>
      <c r="F539" s="1">
        <v>128242524.73</v>
      </c>
    </row>
    <row r="540" spans="1:6" x14ac:dyDescent="0.25">
      <c r="A540" t="str">
        <f t="shared" si="104"/>
        <v>2770</v>
      </c>
      <c r="B540" t="str">
        <f t="shared" si="105"/>
        <v>Начисленные расходы по административно-хозяйственной деятельности</v>
      </c>
      <c r="C540" t="str">
        <f>"1"</f>
        <v>1</v>
      </c>
      <c r="D540" t="str">
        <f>"9"</f>
        <v>9</v>
      </c>
      <c r="E540" t="str">
        <f t="shared" si="102"/>
        <v>1</v>
      </c>
      <c r="F540" s="1">
        <v>28928486.41</v>
      </c>
    </row>
    <row r="541" spans="1:6" x14ac:dyDescent="0.25">
      <c r="A541" t="str">
        <f>"2792"</f>
        <v>2792</v>
      </c>
      <c r="B541" t="str">
        <f>"Предоплата вознаграждения по предоставленным займам"</f>
        <v>Предоплата вознаграждения по предоставленным займам</v>
      </c>
      <c r="C541" t="str">
        <f>"2"</f>
        <v>2</v>
      </c>
      <c r="D541" t="str">
        <f>"7"</f>
        <v>7</v>
      </c>
      <c r="E541" t="str">
        <f>"2"</f>
        <v>2</v>
      </c>
      <c r="F541" s="1">
        <v>1456.92</v>
      </c>
    </row>
    <row r="542" spans="1:6" x14ac:dyDescent="0.25">
      <c r="A542" t="str">
        <f>"2792"</f>
        <v>2792</v>
      </c>
      <c r="B542" t="str">
        <f>"Предоплата вознаграждения по предоставленным займам"</f>
        <v>Предоплата вознаграждения по предоставленным займам</v>
      </c>
      <c r="C542" t="str">
        <f>"2"</f>
        <v>2</v>
      </c>
      <c r="D542" t="str">
        <f>"7"</f>
        <v>7</v>
      </c>
      <c r="E542" t="str">
        <f>"3"</f>
        <v>3</v>
      </c>
      <c r="F542" s="1">
        <v>1.81</v>
      </c>
    </row>
    <row r="543" spans="1:6" x14ac:dyDescent="0.25">
      <c r="A543" t="str">
        <f t="shared" ref="A543:A550" si="106">"2794"</f>
        <v>2794</v>
      </c>
      <c r="B543" t="str">
        <f t="shared" ref="B543:B550" si="107">"Доходы будущих периодов"</f>
        <v>Доходы будущих периодов</v>
      </c>
      <c r="C543" t="str">
        <f>"1"</f>
        <v>1</v>
      </c>
      <c r="D543" t="str">
        <f>"7"</f>
        <v>7</v>
      </c>
      <c r="E543" t="str">
        <f t="shared" ref="E543:E548" si="108">"1"</f>
        <v>1</v>
      </c>
      <c r="F543" s="1">
        <v>348873607.99000001</v>
      </c>
    </row>
    <row r="544" spans="1:6" x14ac:dyDescent="0.25">
      <c r="A544" t="str">
        <f t="shared" si="106"/>
        <v>2794</v>
      </c>
      <c r="B544" t="str">
        <f t="shared" si="107"/>
        <v>Доходы будущих периодов</v>
      </c>
      <c r="C544" t="str">
        <f>"1"</f>
        <v>1</v>
      </c>
      <c r="D544" t="str">
        <f>"5"</f>
        <v>5</v>
      </c>
      <c r="E544" t="str">
        <f t="shared" si="108"/>
        <v>1</v>
      </c>
      <c r="F544" s="1">
        <v>7372531.75</v>
      </c>
    </row>
    <row r="545" spans="1:6" x14ac:dyDescent="0.25">
      <c r="A545" t="str">
        <f t="shared" si="106"/>
        <v>2794</v>
      </c>
      <c r="B545" t="str">
        <f t="shared" si="107"/>
        <v>Доходы будущих периодов</v>
      </c>
      <c r="C545" t="str">
        <f>"1"</f>
        <v>1</v>
      </c>
      <c r="D545" t="str">
        <f>"6"</f>
        <v>6</v>
      </c>
      <c r="E545" t="str">
        <f t="shared" si="108"/>
        <v>1</v>
      </c>
      <c r="F545" s="1">
        <v>859008.52</v>
      </c>
    </row>
    <row r="546" spans="1:6" x14ac:dyDescent="0.25">
      <c r="A546" t="str">
        <f t="shared" si="106"/>
        <v>2794</v>
      </c>
      <c r="B546" t="str">
        <f t="shared" si="107"/>
        <v>Доходы будущих периодов</v>
      </c>
      <c r="C546" t="str">
        <f>"2"</f>
        <v>2</v>
      </c>
      <c r="D546" t="str">
        <f>"7"</f>
        <v>7</v>
      </c>
      <c r="E546" t="str">
        <f t="shared" si="108"/>
        <v>1</v>
      </c>
      <c r="F546" s="1">
        <v>15058466.67</v>
      </c>
    </row>
    <row r="547" spans="1:6" x14ac:dyDescent="0.25">
      <c r="A547" t="str">
        <f t="shared" si="106"/>
        <v>2794</v>
      </c>
      <c r="B547" t="str">
        <f t="shared" si="107"/>
        <v>Доходы будущих периодов</v>
      </c>
      <c r="C547" t="str">
        <f>"1"</f>
        <v>1</v>
      </c>
      <c r="D547" t="str">
        <f>"8"</f>
        <v>8</v>
      </c>
      <c r="E547" t="str">
        <f t="shared" si="108"/>
        <v>1</v>
      </c>
      <c r="F547" s="1">
        <v>8416.67</v>
      </c>
    </row>
    <row r="548" spans="1:6" x14ac:dyDescent="0.25">
      <c r="A548" t="str">
        <f t="shared" si="106"/>
        <v>2794</v>
      </c>
      <c r="B548" t="str">
        <f t="shared" si="107"/>
        <v>Доходы будущих периодов</v>
      </c>
      <c r="C548" t="str">
        <f>"1"</f>
        <v>1</v>
      </c>
      <c r="D548" t="str">
        <f>"9"</f>
        <v>9</v>
      </c>
      <c r="E548" t="str">
        <f t="shared" si="108"/>
        <v>1</v>
      </c>
      <c r="F548" s="1">
        <v>127637210.38</v>
      </c>
    </row>
    <row r="549" spans="1:6" x14ac:dyDescent="0.25">
      <c r="A549" t="str">
        <f t="shared" si="106"/>
        <v>2794</v>
      </c>
      <c r="B549" t="str">
        <f t="shared" si="107"/>
        <v>Доходы будущих периодов</v>
      </c>
      <c r="C549" t="str">
        <f>"1"</f>
        <v>1</v>
      </c>
      <c r="D549" t="str">
        <f>"7"</f>
        <v>7</v>
      </c>
      <c r="E549" t="str">
        <f>"2"</f>
        <v>2</v>
      </c>
      <c r="F549" s="1">
        <v>1982055.73</v>
      </c>
    </row>
    <row r="550" spans="1:6" x14ac:dyDescent="0.25">
      <c r="A550" t="str">
        <f t="shared" si="106"/>
        <v>2794</v>
      </c>
      <c r="B550" t="str">
        <f t="shared" si="107"/>
        <v>Доходы будущих периодов</v>
      </c>
      <c r="C550" t="str">
        <f>"2"</f>
        <v>2</v>
      </c>
      <c r="D550" t="str">
        <f>"9"</f>
        <v>9</v>
      </c>
      <c r="E550" t="str">
        <f>"1"</f>
        <v>1</v>
      </c>
      <c r="F550" s="1">
        <v>50591426.770000003</v>
      </c>
    </row>
    <row r="551" spans="1:6" x14ac:dyDescent="0.25">
      <c r="A551" t="str">
        <f>"2799"</f>
        <v>2799</v>
      </c>
      <c r="B551" t="str">
        <f>"Прочие предоплаты"</f>
        <v>Прочие предоплаты</v>
      </c>
      <c r="C551" t="str">
        <f>"1"</f>
        <v>1</v>
      </c>
      <c r="D551" t="str">
        <f>"7"</f>
        <v>7</v>
      </c>
      <c r="E551" t="str">
        <f>"1"</f>
        <v>1</v>
      </c>
      <c r="F551" s="1">
        <v>1036600</v>
      </c>
    </row>
    <row r="552" spans="1:6" x14ac:dyDescent="0.25">
      <c r="A552" t="str">
        <f>"2799"</f>
        <v>2799</v>
      </c>
      <c r="B552" t="str">
        <f>"Прочие предоплаты"</f>
        <v>Прочие предоплаты</v>
      </c>
      <c r="C552" t="str">
        <f>"1"</f>
        <v>1</v>
      </c>
      <c r="D552" t="str">
        <f>"9"</f>
        <v>9</v>
      </c>
      <c r="E552" t="str">
        <f>"1"</f>
        <v>1</v>
      </c>
      <c r="F552" s="1">
        <v>381530967.81</v>
      </c>
    </row>
    <row r="553" spans="1:6" x14ac:dyDescent="0.25">
      <c r="A553" t="str">
        <f>"2811"</f>
        <v>2811</v>
      </c>
      <c r="B55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3" t="str">
        <f>"1"</f>
        <v>1</v>
      </c>
      <c r="D553" t="str">
        <f>""</f>
        <v/>
      </c>
      <c r="E553" t="str">
        <f>"1"</f>
        <v>1</v>
      </c>
      <c r="F553" s="1">
        <v>20733132.649999999</v>
      </c>
    </row>
    <row r="554" spans="1:6" x14ac:dyDescent="0.25">
      <c r="A554" t="str">
        <f>"2811"</f>
        <v>2811</v>
      </c>
      <c r="B55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4" t="str">
        <f>"1"</f>
        <v>1</v>
      </c>
      <c r="D554" t="str">
        <f>""</f>
        <v/>
      </c>
      <c r="E554" t="str">
        <f>"2"</f>
        <v>2</v>
      </c>
      <c r="F554" s="1">
        <v>11766.86</v>
      </c>
    </row>
    <row r="555" spans="1:6" x14ac:dyDescent="0.25">
      <c r="A555" t="str">
        <f>"2811"</f>
        <v>2811</v>
      </c>
      <c r="B555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5" t="str">
        <f>"2"</f>
        <v>2</v>
      </c>
      <c r="D555" t="str">
        <f>""</f>
        <v/>
      </c>
      <c r="E555" t="str">
        <f>"2"</f>
        <v>2</v>
      </c>
      <c r="F555" s="1">
        <v>42799176.310000002</v>
      </c>
    </row>
    <row r="556" spans="1:6" x14ac:dyDescent="0.25">
      <c r="A556" t="str">
        <f>"2812"</f>
        <v>2812</v>
      </c>
      <c r="B556" t="str">
        <f>"Начисленные комиссионные расходы по агентским услугам"</f>
        <v>Начисленные комиссионные расходы по агентским услугам</v>
      </c>
      <c r="C556" t="str">
        <f>"1"</f>
        <v>1</v>
      </c>
      <c r="D556" t="str">
        <f>""</f>
        <v/>
      </c>
      <c r="E556" t="str">
        <f>"1"</f>
        <v>1</v>
      </c>
      <c r="F556" s="1">
        <v>999350.44</v>
      </c>
    </row>
    <row r="557" spans="1:6" x14ac:dyDescent="0.25">
      <c r="A557" t="str">
        <f>"2813"</f>
        <v>2813</v>
      </c>
      <c r="B557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57" t="str">
        <f>"1"</f>
        <v>1</v>
      </c>
      <c r="D557" t="str">
        <f>""</f>
        <v/>
      </c>
      <c r="E557" t="str">
        <f>"1"</f>
        <v>1</v>
      </c>
      <c r="F557" s="1">
        <v>3297037.49</v>
      </c>
    </row>
    <row r="558" spans="1:6" x14ac:dyDescent="0.25">
      <c r="A558" t="str">
        <f>"2817"</f>
        <v>2817</v>
      </c>
      <c r="B558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8" t="str">
        <f>"1"</f>
        <v>1</v>
      </c>
      <c r="D558" t="str">
        <f>""</f>
        <v/>
      </c>
      <c r="E558" t="str">
        <f>"3"</f>
        <v>3</v>
      </c>
      <c r="F558" s="1">
        <v>185648.76</v>
      </c>
    </row>
    <row r="559" spans="1:6" x14ac:dyDescent="0.25">
      <c r="A559" t="str">
        <f>"2817"</f>
        <v>2817</v>
      </c>
      <c r="B559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9" t="str">
        <f>"2"</f>
        <v>2</v>
      </c>
      <c r="D559" t="str">
        <f>""</f>
        <v/>
      </c>
      <c r="E559" t="str">
        <f>"2"</f>
        <v>2</v>
      </c>
      <c r="F559" s="1">
        <v>7636665.25</v>
      </c>
    </row>
    <row r="560" spans="1:6" x14ac:dyDescent="0.25">
      <c r="A560" t="str">
        <f>"2817"</f>
        <v>2817</v>
      </c>
      <c r="B560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0" t="str">
        <f>"2"</f>
        <v>2</v>
      </c>
      <c r="D560" t="str">
        <f>""</f>
        <v/>
      </c>
      <c r="E560" t="str">
        <f>"1"</f>
        <v>1</v>
      </c>
      <c r="F560" s="1">
        <v>645768</v>
      </c>
    </row>
    <row r="561" spans="1:6" x14ac:dyDescent="0.25">
      <c r="A561" t="str">
        <f>"2817"</f>
        <v>2817</v>
      </c>
      <c r="B56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61" t="str">
        <f>"2"</f>
        <v>2</v>
      </c>
      <c r="D561" t="str">
        <f>""</f>
        <v/>
      </c>
      <c r="E561" t="str">
        <f>"3"</f>
        <v>3</v>
      </c>
      <c r="F561" s="1">
        <v>638685.62</v>
      </c>
    </row>
    <row r="562" spans="1:6" x14ac:dyDescent="0.25">
      <c r="A562" t="str">
        <f>"2818"</f>
        <v>2818</v>
      </c>
      <c r="B562" t="str">
        <f>"Начисленные прочие комиссионные расходы"</f>
        <v>Начисленные прочие комиссионные расходы</v>
      </c>
      <c r="C562" t="str">
        <f>"1"</f>
        <v>1</v>
      </c>
      <c r="D562" t="str">
        <f>""</f>
        <v/>
      </c>
      <c r="E562" t="str">
        <f>"1"</f>
        <v>1</v>
      </c>
      <c r="F562" s="1">
        <v>426533802.60000002</v>
      </c>
    </row>
    <row r="563" spans="1:6" x14ac:dyDescent="0.25">
      <c r="A563" t="str">
        <f>"2819"</f>
        <v>2819</v>
      </c>
      <c r="B563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63" t="str">
        <f>"1"</f>
        <v>1</v>
      </c>
      <c r="D563" t="str">
        <f>""</f>
        <v/>
      </c>
      <c r="E563" t="str">
        <f>"1"</f>
        <v>1</v>
      </c>
      <c r="F563" s="1">
        <v>67501.649999999994</v>
      </c>
    </row>
    <row r="564" spans="1:6" x14ac:dyDescent="0.25">
      <c r="A564" t="str">
        <f>"2820"</f>
        <v>2820</v>
      </c>
      <c r="B564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64" t="str">
        <f>"1"</f>
        <v>1</v>
      </c>
      <c r="D564" t="str">
        <f>""</f>
        <v/>
      </c>
      <c r="E564" t="str">
        <f>"1"</f>
        <v>1</v>
      </c>
      <c r="F564" s="1">
        <v>166793333.28999999</v>
      </c>
    </row>
    <row r="565" spans="1:6" x14ac:dyDescent="0.25">
      <c r="A565" t="str">
        <f>"2851"</f>
        <v>2851</v>
      </c>
      <c r="B56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65" t="str">
        <f>"1"</f>
        <v>1</v>
      </c>
      <c r="D565" t="str">
        <f>"1"</f>
        <v>1</v>
      </c>
      <c r="E565" t="str">
        <f>"1"</f>
        <v>1</v>
      </c>
      <c r="F565" s="1">
        <v>6984825811.54</v>
      </c>
    </row>
    <row r="566" spans="1:6" x14ac:dyDescent="0.25">
      <c r="A566" t="str">
        <f>"2852"</f>
        <v>2852</v>
      </c>
      <c r="B566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566" t="str">
        <f>"1"</f>
        <v>1</v>
      </c>
      <c r="D566" t="str">
        <f>"5"</f>
        <v>5</v>
      </c>
      <c r="E566" t="str">
        <f>"1"</f>
        <v>1</v>
      </c>
      <c r="F566" s="1">
        <v>266605500</v>
      </c>
    </row>
    <row r="567" spans="1:6" x14ac:dyDescent="0.25">
      <c r="A567" t="str">
        <f>"2854"</f>
        <v>2854</v>
      </c>
      <c r="B567" t="str">
        <f>"Расчеты с работниками"</f>
        <v>Расчеты с работниками</v>
      </c>
      <c r="C567" t="str">
        <f>""</f>
        <v/>
      </c>
      <c r="D567" t="str">
        <f>""</f>
        <v/>
      </c>
      <c r="E567" t="str">
        <f>""</f>
        <v/>
      </c>
      <c r="F567" s="1">
        <v>957926928.28999996</v>
      </c>
    </row>
    <row r="568" spans="1:6" x14ac:dyDescent="0.25">
      <c r="A568" t="str">
        <f>"2855"</f>
        <v>2855</v>
      </c>
      <c r="B568" t="str">
        <f>"Кредиторы по документарным расчетам"</f>
        <v>Кредиторы по документарным расчетам</v>
      </c>
      <c r="C568" t="str">
        <f>"1"</f>
        <v>1</v>
      </c>
      <c r="D568" t="str">
        <f>"7"</f>
        <v>7</v>
      </c>
      <c r="E568" t="str">
        <f>"2"</f>
        <v>2</v>
      </c>
      <c r="F568" s="1">
        <v>198886450</v>
      </c>
    </row>
    <row r="569" spans="1:6" x14ac:dyDescent="0.25">
      <c r="A569" t="str">
        <f>"2856"</f>
        <v>2856</v>
      </c>
      <c r="B569" t="str">
        <f>"Кредиторы по капитальным вложениям"</f>
        <v>Кредиторы по капитальным вложениям</v>
      </c>
      <c r="C569" t="str">
        <f>"1"</f>
        <v>1</v>
      </c>
      <c r="D569" t="str">
        <f>"7"</f>
        <v>7</v>
      </c>
      <c r="E569" t="str">
        <f>"1"</f>
        <v>1</v>
      </c>
      <c r="F569" s="1">
        <v>169507346.80000001</v>
      </c>
    </row>
    <row r="570" spans="1:6" x14ac:dyDescent="0.25">
      <c r="A570" t="str">
        <f>"2856"</f>
        <v>2856</v>
      </c>
      <c r="B570" t="str">
        <f>"Кредиторы по капитальным вложениям"</f>
        <v>Кредиторы по капитальным вложениям</v>
      </c>
      <c r="C570" t="str">
        <f>"1"</f>
        <v>1</v>
      </c>
      <c r="D570" t="str">
        <f>"9"</f>
        <v>9</v>
      </c>
      <c r="E570" t="str">
        <f>"1"</f>
        <v>1</v>
      </c>
      <c r="F570" s="1">
        <v>18416</v>
      </c>
    </row>
    <row r="571" spans="1:6" x14ac:dyDescent="0.25">
      <c r="A571" t="str">
        <f>"2857"</f>
        <v>2857</v>
      </c>
      <c r="B571" t="str">
        <f>"Отложенные налоговые обязательства"</f>
        <v>Отложенные налоговые обязательства</v>
      </c>
      <c r="C571" t="str">
        <f>""</f>
        <v/>
      </c>
      <c r="D571" t="str">
        <f>""</f>
        <v/>
      </c>
      <c r="E571" t="str">
        <f>""</f>
        <v/>
      </c>
      <c r="F571" s="1">
        <v>18842116505.389999</v>
      </c>
    </row>
    <row r="572" spans="1:6" x14ac:dyDescent="0.25">
      <c r="A572" t="str">
        <f t="shared" ref="A572:A587" si="109">"2860"</f>
        <v>2860</v>
      </c>
      <c r="B572" t="str">
        <f t="shared" ref="B572:B587" si="110">"Прочие кредиторы по банковской деятельности"</f>
        <v>Прочие кредиторы по банковской деятельности</v>
      </c>
      <c r="C572" t="str">
        <f>"1"</f>
        <v>1</v>
      </c>
      <c r="D572" t="str">
        <f>"1"</f>
        <v>1</v>
      </c>
      <c r="E572" t="str">
        <f>"1"</f>
        <v>1</v>
      </c>
      <c r="F572" s="1">
        <v>342757686.31999999</v>
      </c>
    </row>
    <row r="573" spans="1:6" x14ac:dyDescent="0.25">
      <c r="A573" t="str">
        <f t="shared" si="109"/>
        <v>2860</v>
      </c>
      <c r="B573" t="str">
        <f t="shared" si="110"/>
        <v>Прочие кредиторы по банковской деятельности</v>
      </c>
      <c r="C573" t="str">
        <f>"1"</f>
        <v>1</v>
      </c>
      <c r="D573" t="str">
        <f>"3"</f>
        <v>3</v>
      </c>
      <c r="E573" t="str">
        <f>"1"</f>
        <v>1</v>
      </c>
      <c r="F573" s="1">
        <v>1936058.65</v>
      </c>
    </row>
    <row r="574" spans="1:6" x14ac:dyDescent="0.25">
      <c r="A574" t="str">
        <f t="shared" si="109"/>
        <v>2860</v>
      </c>
      <c r="B574" t="str">
        <f t="shared" si="110"/>
        <v>Прочие кредиторы по банковской деятельности</v>
      </c>
      <c r="C574" t="str">
        <f>"1"</f>
        <v>1</v>
      </c>
      <c r="D574" t="str">
        <f>"4"</f>
        <v>4</v>
      </c>
      <c r="E574" t="str">
        <f>"1"</f>
        <v>1</v>
      </c>
      <c r="F574" s="1">
        <v>9222246602.4599991</v>
      </c>
    </row>
    <row r="575" spans="1:6" x14ac:dyDescent="0.25">
      <c r="A575" t="str">
        <f t="shared" si="109"/>
        <v>2860</v>
      </c>
      <c r="B575" t="str">
        <f t="shared" si="110"/>
        <v>Прочие кредиторы по банковской деятельности</v>
      </c>
      <c r="C575" t="str">
        <f>"1"</f>
        <v>1</v>
      </c>
      <c r="D575" t="str">
        <f>"5"</f>
        <v>5</v>
      </c>
      <c r="E575" t="str">
        <f>"1"</f>
        <v>1</v>
      </c>
      <c r="F575" s="1">
        <v>766160007.42999995</v>
      </c>
    </row>
    <row r="576" spans="1:6" x14ac:dyDescent="0.25">
      <c r="A576" t="str">
        <f t="shared" si="109"/>
        <v>2860</v>
      </c>
      <c r="B576" t="str">
        <f t="shared" si="110"/>
        <v>Прочие кредиторы по банковской деятельности</v>
      </c>
      <c r="C576" t="str">
        <f>"1"</f>
        <v>1</v>
      </c>
      <c r="D576" t="str">
        <f>"7"</f>
        <v>7</v>
      </c>
      <c r="E576" t="str">
        <f>"1"</f>
        <v>1</v>
      </c>
      <c r="F576" s="1">
        <v>9325726805.7700005</v>
      </c>
    </row>
    <row r="577" spans="1:6" x14ac:dyDescent="0.25">
      <c r="A577" t="str">
        <f t="shared" si="109"/>
        <v>2860</v>
      </c>
      <c r="B577" t="str">
        <f t="shared" si="110"/>
        <v>Прочие кредиторы по банковской деятельности</v>
      </c>
      <c r="C577" t="str">
        <f>"2"</f>
        <v>2</v>
      </c>
      <c r="D577" t="str">
        <f>"5"</f>
        <v>5</v>
      </c>
      <c r="E577" t="str">
        <f>"2"</f>
        <v>2</v>
      </c>
      <c r="F577" s="1">
        <v>845666967.25</v>
      </c>
    </row>
    <row r="578" spans="1:6" x14ac:dyDescent="0.25">
      <c r="A578" t="str">
        <f t="shared" si="109"/>
        <v>2860</v>
      </c>
      <c r="B578" t="str">
        <f t="shared" si="110"/>
        <v>Прочие кредиторы по банковской деятельности</v>
      </c>
      <c r="C578" t="str">
        <f>"1"</f>
        <v>1</v>
      </c>
      <c r="D578" t="str">
        <f>"9"</f>
        <v>9</v>
      </c>
      <c r="E578" t="str">
        <f>"1"</f>
        <v>1</v>
      </c>
      <c r="F578" s="1">
        <v>3183958600.0700002</v>
      </c>
    </row>
    <row r="579" spans="1:6" x14ac:dyDescent="0.25">
      <c r="A579" t="str">
        <f t="shared" si="109"/>
        <v>2860</v>
      </c>
      <c r="B579" t="str">
        <f t="shared" si="110"/>
        <v>Прочие кредиторы по банковской деятельности</v>
      </c>
      <c r="C579" t="str">
        <f>"1"</f>
        <v>1</v>
      </c>
      <c r="D579" t="str">
        <f>"9"</f>
        <v>9</v>
      </c>
      <c r="E579" t="str">
        <f>"2"</f>
        <v>2</v>
      </c>
      <c r="F579" s="1">
        <v>11154483.720000001</v>
      </c>
    </row>
    <row r="580" spans="1:6" x14ac:dyDescent="0.25">
      <c r="A580" t="str">
        <f t="shared" si="109"/>
        <v>2860</v>
      </c>
      <c r="B580" t="str">
        <f t="shared" si="110"/>
        <v>Прочие кредиторы по банковской деятельности</v>
      </c>
      <c r="C580" t="str">
        <f>"1"</f>
        <v>1</v>
      </c>
      <c r="D580" t="str">
        <f>"6"</f>
        <v>6</v>
      </c>
      <c r="E580" t="str">
        <f>"1"</f>
        <v>1</v>
      </c>
      <c r="F580" s="1">
        <v>5707199.6799999997</v>
      </c>
    </row>
    <row r="581" spans="1:6" x14ac:dyDescent="0.25">
      <c r="A581" t="str">
        <f t="shared" si="109"/>
        <v>2860</v>
      </c>
      <c r="B581" t="str">
        <f t="shared" si="110"/>
        <v>Прочие кредиторы по банковской деятельности</v>
      </c>
      <c r="C581" t="str">
        <f>"1"</f>
        <v>1</v>
      </c>
      <c r="D581" t="str">
        <f>"9"</f>
        <v>9</v>
      </c>
      <c r="E581" t="str">
        <f>"3"</f>
        <v>3</v>
      </c>
      <c r="F581" s="1">
        <v>166820.66</v>
      </c>
    </row>
    <row r="582" spans="1:6" x14ac:dyDescent="0.25">
      <c r="A582" t="str">
        <f t="shared" si="109"/>
        <v>2860</v>
      </c>
      <c r="B582" t="str">
        <f t="shared" si="110"/>
        <v>Прочие кредиторы по банковской деятельности</v>
      </c>
      <c r="C582" t="str">
        <f t="shared" ref="C582:C587" si="111">"2"</f>
        <v>2</v>
      </c>
      <c r="D582" t="str">
        <f>"7"</f>
        <v>7</v>
      </c>
      <c r="E582" t="str">
        <f>"1"</f>
        <v>1</v>
      </c>
      <c r="F582" s="1">
        <v>15174978.779999999</v>
      </c>
    </row>
    <row r="583" spans="1:6" x14ac:dyDescent="0.25">
      <c r="A583" t="str">
        <f t="shared" si="109"/>
        <v>2860</v>
      </c>
      <c r="B583" t="str">
        <f t="shared" si="110"/>
        <v>Прочие кредиторы по банковской деятельности</v>
      </c>
      <c r="C583" t="str">
        <f t="shared" si="111"/>
        <v>2</v>
      </c>
      <c r="D583" t="str">
        <f>"9"</f>
        <v>9</v>
      </c>
      <c r="E583" t="str">
        <f>"2"</f>
        <v>2</v>
      </c>
      <c r="F583" s="1">
        <v>490896.14</v>
      </c>
    </row>
    <row r="584" spans="1:6" x14ac:dyDescent="0.25">
      <c r="A584" t="str">
        <f t="shared" si="109"/>
        <v>2860</v>
      </c>
      <c r="B584" t="str">
        <f t="shared" si="110"/>
        <v>Прочие кредиторы по банковской деятельности</v>
      </c>
      <c r="C584" t="str">
        <f t="shared" si="111"/>
        <v>2</v>
      </c>
      <c r="D584" t="str">
        <f>"7"</f>
        <v>7</v>
      </c>
      <c r="E584" t="str">
        <f>"2"</f>
        <v>2</v>
      </c>
      <c r="F584" s="1">
        <v>70991.039999999994</v>
      </c>
    </row>
    <row r="585" spans="1:6" x14ac:dyDescent="0.25">
      <c r="A585" t="str">
        <f t="shared" si="109"/>
        <v>2860</v>
      </c>
      <c r="B585" t="str">
        <f t="shared" si="110"/>
        <v>Прочие кредиторы по банковской деятельности</v>
      </c>
      <c r="C585" t="str">
        <f t="shared" si="111"/>
        <v>2</v>
      </c>
      <c r="D585" t="str">
        <f>"9"</f>
        <v>9</v>
      </c>
      <c r="E585" t="str">
        <f>"1"</f>
        <v>1</v>
      </c>
      <c r="F585" s="1">
        <v>8338604.5</v>
      </c>
    </row>
    <row r="586" spans="1:6" x14ac:dyDescent="0.25">
      <c r="A586" t="str">
        <f t="shared" si="109"/>
        <v>2860</v>
      </c>
      <c r="B586" t="str">
        <f t="shared" si="110"/>
        <v>Прочие кредиторы по банковской деятельности</v>
      </c>
      <c r="C586" t="str">
        <f t="shared" si="111"/>
        <v>2</v>
      </c>
      <c r="D586" t="str">
        <f>"7"</f>
        <v>7</v>
      </c>
      <c r="E586" t="str">
        <f>"3"</f>
        <v>3</v>
      </c>
      <c r="F586" s="1">
        <v>263490.71999999997</v>
      </c>
    </row>
    <row r="587" spans="1:6" x14ac:dyDescent="0.25">
      <c r="A587" t="str">
        <f t="shared" si="109"/>
        <v>2860</v>
      </c>
      <c r="B587" t="str">
        <f t="shared" si="110"/>
        <v>Прочие кредиторы по банковской деятельности</v>
      </c>
      <c r="C587" t="str">
        <f t="shared" si="111"/>
        <v>2</v>
      </c>
      <c r="D587" t="str">
        <f>"9"</f>
        <v>9</v>
      </c>
      <c r="E587" t="str">
        <f>"3"</f>
        <v>3</v>
      </c>
      <c r="F587" s="1">
        <v>48211.48</v>
      </c>
    </row>
    <row r="588" spans="1:6" x14ac:dyDescent="0.25">
      <c r="A588" t="str">
        <f>"2861"</f>
        <v>2861</v>
      </c>
      <c r="B588" t="str">
        <f>"Резерв на отпускные выплаты"</f>
        <v>Резерв на отпускные выплаты</v>
      </c>
      <c r="C588" t="str">
        <f>""</f>
        <v/>
      </c>
      <c r="D588" t="str">
        <f>""</f>
        <v/>
      </c>
      <c r="E588" t="str">
        <f>""</f>
        <v/>
      </c>
      <c r="F588" s="1">
        <v>2331805496.0500002</v>
      </c>
    </row>
    <row r="589" spans="1:6" x14ac:dyDescent="0.25">
      <c r="A589" t="str">
        <f>"2865"</f>
        <v>2865</v>
      </c>
      <c r="B589" t="str">
        <f>"Обязательства по выпущенным электронным деньгам"</f>
        <v>Обязательства по выпущенным электронным деньгам</v>
      </c>
      <c r="C589" t="str">
        <f t="shared" ref="C589:C601" si="112">"1"</f>
        <v>1</v>
      </c>
      <c r="D589" t="str">
        <f>"7"</f>
        <v>7</v>
      </c>
      <c r="E589" t="str">
        <f>"1"</f>
        <v>1</v>
      </c>
      <c r="F589" s="1">
        <v>421733657.92000002</v>
      </c>
    </row>
    <row r="590" spans="1:6" x14ac:dyDescent="0.25">
      <c r="A590" t="str">
        <f>"2865"</f>
        <v>2865</v>
      </c>
      <c r="B590" t="str">
        <f>"Обязательства по выпущенным электронным деньгам"</f>
        <v>Обязательства по выпущенным электронным деньгам</v>
      </c>
      <c r="C590" t="str">
        <f t="shared" si="112"/>
        <v>1</v>
      </c>
      <c r="D590" t="str">
        <f>"9"</f>
        <v>9</v>
      </c>
      <c r="E590" t="str">
        <f>"1"</f>
        <v>1</v>
      </c>
      <c r="F590" s="1">
        <v>855862.99</v>
      </c>
    </row>
    <row r="591" spans="1:6" x14ac:dyDescent="0.25">
      <c r="A591" t="str">
        <f>"2867"</f>
        <v>2867</v>
      </c>
      <c r="B591" t="str">
        <f>"Прочие кредиторы по неосновной деятельности"</f>
        <v>Прочие кредиторы по неосновной деятельности</v>
      </c>
      <c r="C591" t="str">
        <f t="shared" si="112"/>
        <v>1</v>
      </c>
      <c r="D591" t="str">
        <f>"7"</f>
        <v>7</v>
      </c>
      <c r="E591" t="str">
        <f>"1"</f>
        <v>1</v>
      </c>
      <c r="F591" s="1">
        <v>24454871.66</v>
      </c>
    </row>
    <row r="592" spans="1:6" x14ac:dyDescent="0.25">
      <c r="A592" t="str">
        <f t="shared" ref="A592:A597" si="113">"2869"</f>
        <v>2869</v>
      </c>
      <c r="B592" t="str">
        <f t="shared" ref="B592:B597" si="114">"Выданные гарантии"</f>
        <v>Выданные гарантии</v>
      </c>
      <c r="C592" t="str">
        <f t="shared" si="112"/>
        <v>1</v>
      </c>
      <c r="D592" t="str">
        <f>"7"</f>
        <v>7</v>
      </c>
      <c r="E592" t="str">
        <f>"1"</f>
        <v>1</v>
      </c>
      <c r="F592" s="1">
        <v>1429940385.3499999</v>
      </c>
    </row>
    <row r="593" spans="1:6" x14ac:dyDescent="0.25">
      <c r="A593" t="str">
        <f t="shared" si="113"/>
        <v>2869</v>
      </c>
      <c r="B593" t="str">
        <f t="shared" si="114"/>
        <v>Выданные гарантии</v>
      </c>
      <c r="C593" t="str">
        <f t="shared" si="112"/>
        <v>1</v>
      </c>
      <c r="D593" t="str">
        <f>"7"</f>
        <v>7</v>
      </c>
      <c r="E593" t="str">
        <f>"2"</f>
        <v>2</v>
      </c>
      <c r="F593" s="1">
        <v>131750148.83</v>
      </c>
    </row>
    <row r="594" spans="1:6" x14ac:dyDescent="0.25">
      <c r="A594" t="str">
        <f t="shared" si="113"/>
        <v>2869</v>
      </c>
      <c r="B594" t="str">
        <f t="shared" si="114"/>
        <v>Выданные гарантии</v>
      </c>
      <c r="C594" t="str">
        <f t="shared" si="112"/>
        <v>1</v>
      </c>
      <c r="D594" t="str">
        <f>"6"</f>
        <v>6</v>
      </c>
      <c r="E594" t="str">
        <f>"1"</f>
        <v>1</v>
      </c>
      <c r="F594" s="1">
        <v>510596.07</v>
      </c>
    </row>
    <row r="595" spans="1:6" x14ac:dyDescent="0.25">
      <c r="A595" t="str">
        <f t="shared" si="113"/>
        <v>2869</v>
      </c>
      <c r="B595" t="str">
        <f t="shared" si="114"/>
        <v>Выданные гарантии</v>
      </c>
      <c r="C595" t="str">
        <f t="shared" si="112"/>
        <v>1</v>
      </c>
      <c r="D595" t="str">
        <f>"7"</f>
        <v>7</v>
      </c>
      <c r="E595" t="str">
        <f>"3"</f>
        <v>3</v>
      </c>
      <c r="F595" s="1">
        <v>24690389.140000001</v>
      </c>
    </row>
    <row r="596" spans="1:6" x14ac:dyDescent="0.25">
      <c r="A596" t="str">
        <f t="shared" si="113"/>
        <v>2869</v>
      </c>
      <c r="B596" t="str">
        <f t="shared" si="114"/>
        <v>Выданные гарантии</v>
      </c>
      <c r="C596" t="str">
        <f t="shared" si="112"/>
        <v>1</v>
      </c>
      <c r="D596" t="str">
        <f>"9"</f>
        <v>9</v>
      </c>
      <c r="E596" t="str">
        <f>"1"</f>
        <v>1</v>
      </c>
      <c r="F596" s="1">
        <v>2254641.7799999998</v>
      </c>
    </row>
    <row r="597" spans="1:6" x14ac:dyDescent="0.25">
      <c r="A597" t="str">
        <f t="shared" si="113"/>
        <v>2869</v>
      </c>
      <c r="B597" t="str">
        <f t="shared" si="114"/>
        <v>Выданные гарантии</v>
      </c>
      <c r="C597" t="str">
        <f t="shared" si="112"/>
        <v>1</v>
      </c>
      <c r="D597" t="str">
        <f>"8"</f>
        <v>8</v>
      </c>
      <c r="E597" t="str">
        <f>"1"</f>
        <v>1</v>
      </c>
      <c r="F597" s="1">
        <v>64659</v>
      </c>
    </row>
    <row r="598" spans="1:6" x14ac:dyDescent="0.25">
      <c r="A598" t="str">
        <f t="shared" ref="A598:A605" si="115">"2870"</f>
        <v>2870</v>
      </c>
      <c r="B598" t="str">
        <f t="shared" ref="B598:B605" si="116">"Прочие транзитные счета"</f>
        <v>Прочие транзитные счета</v>
      </c>
      <c r="C598" t="str">
        <f t="shared" si="112"/>
        <v>1</v>
      </c>
      <c r="D598" t="str">
        <f>"7"</f>
        <v>7</v>
      </c>
      <c r="E598" t="str">
        <f>"1"</f>
        <v>1</v>
      </c>
      <c r="F598" s="1">
        <v>8626587.9700000007</v>
      </c>
    </row>
    <row r="599" spans="1:6" x14ac:dyDescent="0.25">
      <c r="A599" t="str">
        <f t="shared" si="115"/>
        <v>2870</v>
      </c>
      <c r="B599" t="str">
        <f t="shared" si="116"/>
        <v>Прочие транзитные счета</v>
      </c>
      <c r="C599" t="str">
        <f t="shared" si="112"/>
        <v>1</v>
      </c>
      <c r="D599" t="str">
        <f>"7"</f>
        <v>7</v>
      </c>
      <c r="E599" t="str">
        <f>"3"</f>
        <v>3</v>
      </c>
      <c r="F599" s="1">
        <v>1464732</v>
      </c>
    </row>
    <row r="600" spans="1:6" x14ac:dyDescent="0.25">
      <c r="A600" t="str">
        <f t="shared" si="115"/>
        <v>2870</v>
      </c>
      <c r="B600" t="str">
        <f t="shared" si="116"/>
        <v>Прочие транзитные счета</v>
      </c>
      <c r="C600" t="str">
        <f t="shared" si="112"/>
        <v>1</v>
      </c>
      <c r="D600" t="str">
        <f>"9"</f>
        <v>9</v>
      </c>
      <c r="E600" t="str">
        <f>"1"</f>
        <v>1</v>
      </c>
      <c r="F600" s="1">
        <v>3476791048.3099999</v>
      </c>
    </row>
    <row r="601" spans="1:6" x14ac:dyDescent="0.25">
      <c r="A601" t="str">
        <f t="shared" si="115"/>
        <v>2870</v>
      </c>
      <c r="B601" t="str">
        <f t="shared" si="116"/>
        <v>Прочие транзитные счета</v>
      </c>
      <c r="C601" t="str">
        <f t="shared" si="112"/>
        <v>1</v>
      </c>
      <c r="D601" t="str">
        <f>"9"</f>
        <v>9</v>
      </c>
      <c r="E601" t="str">
        <f>"2"</f>
        <v>2</v>
      </c>
      <c r="F601" s="1">
        <v>3486832635.46</v>
      </c>
    </row>
    <row r="602" spans="1:6" x14ac:dyDescent="0.25">
      <c r="A602" t="str">
        <f t="shared" si="115"/>
        <v>2870</v>
      </c>
      <c r="B602" t="str">
        <f t="shared" si="116"/>
        <v>Прочие транзитные счета</v>
      </c>
      <c r="C602" t="str">
        <f>"2"</f>
        <v>2</v>
      </c>
      <c r="D602" t="str">
        <f>"7"</f>
        <v>7</v>
      </c>
      <c r="E602" t="str">
        <f>"2"</f>
        <v>2</v>
      </c>
      <c r="F602" s="1">
        <v>115807.3</v>
      </c>
    </row>
    <row r="603" spans="1:6" x14ac:dyDescent="0.25">
      <c r="A603" t="str">
        <f t="shared" si="115"/>
        <v>2870</v>
      </c>
      <c r="B603" t="str">
        <f t="shared" si="116"/>
        <v>Прочие транзитные счета</v>
      </c>
      <c r="C603" t="str">
        <f>"2"</f>
        <v>2</v>
      </c>
      <c r="D603" t="str">
        <f>"4"</f>
        <v>4</v>
      </c>
      <c r="E603" t="str">
        <f>"2"</f>
        <v>2</v>
      </c>
      <c r="F603" s="1">
        <v>104741434.03</v>
      </c>
    </row>
    <row r="604" spans="1:6" x14ac:dyDescent="0.25">
      <c r="A604" t="str">
        <f t="shared" si="115"/>
        <v>2870</v>
      </c>
      <c r="B604" t="str">
        <f t="shared" si="116"/>
        <v>Прочие транзитные счета</v>
      </c>
      <c r="C604" t="str">
        <f>"2"</f>
        <v>2</v>
      </c>
      <c r="D604" t="str">
        <f>"4"</f>
        <v>4</v>
      </c>
      <c r="E604" t="str">
        <f>"3"</f>
        <v>3</v>
      </c>
      <c r="F604" s="1">
        <v>76918954.980000004</v>
      </c>
    </row>
    <row r="605" spans="1:6" x14ac:dyDescent="0.25">
      <c r="A605" t="str">
        <f t="shared" si="115"/>
        <v>2870</v>
      </c>
      <c r="B605" t="str">
        <f t="shared" si="116"/>
        <v>Прочие транзитные счета</v>
      </c>
      <c r="C605" t="str">
        <f>"1"</f>
        <v>1</v>
      </c>
      <c r="D605" t="str">
        <f>"9"</f>
        <v>9</v>
      </c>
      <c r="E605" t="str">
        <f>"3"</f>
        <v>3</v>
      </c>
      <c r="F605" s="1">
        <v>1098118.3899999999</v>
      </c>
    </row>
    <row r="606" spans="1:6" x14ac:dyDescent="0.25">
      <c r="A606" t="str">
        <f>"2874"</f>
        <v>2874</v>
      </c>
      <c r="B60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6" t="str">
        <f>"1"</f>
        <v>1</v>
      </c>
      <c r="D606" t="str">
        <f>""</f>
        <v/>
      </c>
      <c r="E606" t="str">
        <f>"1"</f>
        <v>1</v>
      </c>
      <c r="F606" s="1">
        <v>12096750.869999999</v>
      </c>
    </row>
    <row r="607" spans="1:6" x14ac:dyDescent="0.25">
      <c r="A607" t="str">
        <f>"2874"</f>
        <v>2874</v>
      </c>
      <c r="B60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7" t="str">
        <f>"1"</f>
        <v>1</v>
      </c>
      <c r="D607" t="str">
        <f>""</f>
        <v/>
      </c>
      <c r="E607" t="str">
        <f>"3"</f>
        <v>3</v>
      </c>
      <c r="F607" s="1">
        <v>29924.16</v>
      </c>
    </row>
    <row r="608" spans="1:6" x14ac:dyDescent="0.25">
      <c r="A608" t="str">
        <f>"2874"</f>
        <v>2874</v>
      </c>
      <c r="B60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8" t="str">
        <f>"2"</f>
        <v>2</v>
      </c>
      <c r="D608" t="str">
        <f>""</f>
        <v/>
      </c>
      <c r="E608" t="str">
        <f>"1"</f>
        <v>1</v>
      </c>
      <c r="F608" s="1">
        <v>12000</v>
      </c>
    </row>
    <row r="609" spans="1:6" x14ac:dyDescent="0.25">
      <c r="A609" t="str">
        <f>"2874"</f>
        <v>2874</v>
      </c>
      <c r="B60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9" t="str">
        <f>"1"</f>
        <v>1</v>
      </c>
      <c r="D609" t="str">
        <f>""</f>
        <v/>
      </c>
      <c r="E609" t="str">
        <f>"2"</f>
        <v>2</v>
      </c>
      <c r="F609" s="1">
        <v>68999.73</v>
      </c>
    </row>
    <row r="610" spans="1:6" x14ac:dyDescent="0.25">
      <c r="A610" t="str">
        <f>"2875"</f>
        <v>2875</v>
      </c>
      <c r="B6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0" t="str">
        <f>"1"</f>
        <v>1</v>
      </c>
      <c r="D610" t="str">
        <f>"7"</f>
        <v>7</v>
      </c>
      <c r="E610" t="str">
        <f>"1"</f>
        <v>1</v>
      </c>
      <c r="F610" s="1">
        <v>192599744</v>
      </c>
    </row>
    <row r="611" spans="1:6" x14ac:dyDescent="0.25">
      <c r="A611" t="str">
        <f>"2875"</f>
        <v>2875</v>
      </c>
      <c r="B6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1" t="str">
        <f>"2"</f>
        <v>2</v>
      </c>
      <c r="D611" t="str">
        <f>"7"</f>
        <v>7</v>
      </c>
      <c r="E611" t="str">
        <f>"2"</f>
        <v>2</v>
      </c>
      <c r="F611" s="1">
        <v>53050799.109999999</v>
      </c>
    </row>
    <row r="612" spans="1:6" x14ac:dyDescent="0.25">
      <c r="A612" t="str">
        <f>"2875"</f>
        <v>2875</v>
      </c>
      <c r="B61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2" t="str">
        <f>"1"</f>
        <v>1</v>
      </c>
      <c r="D612" t="str">
        <f>"7"</f>
        <v>7</v>
      </c>
      <c r="E612" t="str">
        <f>"2"</f>
        <v>2</v>
      </c>
      <c r="F612" s="1">
        <v>12889856</v>
      </c>
    </row>
    <row r="613" spans="1:6" x14ac:dyDescent="0.25">
      <c r="A613" t="str">
        <f>"2875"</f>
        <v>2875</v>
      </c>
      <c r="B61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3" t="str">
        <f>"2"</f>
        <v>2</v>
      </c>
      <c r="D613" t="str">
        <f>"9"</f>
        <v>9</v>
      </c>
      <c r="E613" t="str">
        <f>"1"</f>
        <v>1</v>
      </c>
      <c r="F613" s="1">
        <v>278525.99</v>
      </c>
    </row>
    <row r="614" spans="1:6" x14ac:dyDescent="0.25">
      <c r="A614" t="str">
        <f>"2875"</f>
        <v>2875</v>
      </c>
      <c r="B61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14" t="str">
        <f t="shared" ref="C614:C620" si="117">"1"</f>
        <v>1</v>
      </c>
      <c r="D614" t="str">
        <f>"9"</f>
        <v>9</v>
      </c>
      <c r="E614" t="str">
        <f>"1"</f>
        <v>1</v>
      </c>
      <c r="F614" s="1">
        <v>112567839.58</v>
      </c>
    </row>
    <row r="615" spans="1:6" x14ac:dyDescent="0.25">
      <c r="A615" t="str">
        <f>"2880"</f>
        <v>2880</v>
      </c>
      <c r="B615" t="str">
        <f>"Обязательства по секьюритизируемым активам"</f>
        <v>Обязательства по секьюритизируемым активам</v>
      </c>
      <c r="C615" t="str">
        <f t="shared" si="117"/>
        <v>1</v>
      </c>
      <c r="D615" t="str">
        <f>""</f>
        <v/>
      </c>
      <c r="E615" t="str">
        <f>"1"</f>
        <v>1</v>
      </c>
      <c r="F615" s="1">
        <v>3191236479.4499998</v>
      </c>
    </row>
    <row r="616" spans="1:6" x14ac:dyDescent="0.25">
      <c r="A616" t="str">
        <f>"2892"</f>
        <v>2892</v>
      </c>
      <c r="B616" t="str">
        <f>"Обязательства по операциям форвард"</f>
        <v>Обязательства по операциям форвард</v>
      </c>
      <c r="C616" t="str">
        <f t="shared" si="117"/>
        <v>1</v>
      </c>
      <c r="D616" t="str">
        <f>"7"</f>
        <v>7</v>
      </c>
      <c r="E616" t="str">
        <f>"1"</f>
        <v>1</v>
      </c>
      <c r="F616" s="1">
        <v>0.04</v>
      </c>
    </row>
    <row r="617" spans="1:6" x14ac:dyDescent="0.25">
      <c r="A617" t="str">
        <f t="shared" ref="A617:A627" si="118">"2894"</f>
        <v>2894</v>
      </c>
      <c r="B617" t="str">
        <f t="shared" ref="B617:B627" si="119">"Обязательства по операциям спот"</f>
        <v>Обязательства по операциям спот</v>
      </c>
      <c r="C617" t="str">
        <f t="shared" si="117"/>
        <v>1</v>
      </c>
      <c r="D617" t="str">
        <f>"4"</f>
        <v>4</v>
      </c>
      <c r="E617" t="str">
        <f>"1"</f>
        <v>1</v>
      </c>
      <c r="F617" s="1">
        <v>21869900000</v>
      </c>
    </row>
    <row r="618" spans="1:6" x14ac:dyDescent="0.25">
      <c r="A618" t="str">
        <f t="shared" si="118"/>
        <v>2894</v>
      </c>
      <c r="B618" t="str">
        <f t="shared" si="119"/>
        <v>Обязательства по операциям спот</v>
      </c>
      <c r="C618" t="str">
        <f t="shared" si="117"/>
        <v>1</v>
      </c>
      <c r="D618" t="str">
        <f>"4"</f>
        <v>4</v>
      </c>
      <c r="E618" t="str">
        <f>"2"</f>
        <v>2</v>
      </c>
      <c r="F618" s="1">
        <v>44328540000</v>
      </c>
    </row>
    <row r="619" spans="1:6" x14ac:dyDescent="0.25">
      <c r="A619" t="str">
        <f t="shared" si="118"/>
        <v>2894</v>
      </c>
      <c r="B619" t="str">
        <f t="shared" si="119"/>
        <v>Обязательства по операциям спот</v>
      </c>
      <c r="C619" t="str">
        <f t="shared" si="117"/>
        <v>1</v>
      </c>
      <c r="D619" t="str">
        <f>"4"</f>
        <v>4</v>
      </c>
      <c r="E619" t="str">
        <f>"3"</f>
        <v>3</v>
      </c>
      <c r="F619" s="1">
        <v>143179200</v>
      </c>
    </row>
    <row r="620" spans="1:6" x14ac:dyDescent="0.25">
      <c r="A620" t="str">
        <f t="shared" si="118"/>
        <v>2894</v>
      </c>
      <c r="B620" t="str">
        <f t="shared" si="119"/>
        <v>Обязательства по операциям спот</v>
      </c>
      <c r="C620" t="str">
        <f t="shared" si="117"/>
        <v>1</v>
      </c>
      <c r="D620" t="str">
        <f>"5"</f>
        <v>5</v>
      </c>
      <c r="E620" t="str">
        <f>"1"</f>
        <v>1</v>
      </c>
      <c r="F620" s="1">
        <v>7569390030</v>
      </c>
    </row>
    <row r="621" spans="1:6" x14ac:dyDescent="0.25">
      <c r="A621" t="str">
        <f t="shared" si="118"/>
        <v>2894</v>
      </c>
      <c r="B621" t="str">
        <f t="shared" si="119"/>
        <v>Обязательства по операциям спот</v>
      </c>
      <c r="C621" t="str">
        <f t="shared" ref="C621:C626" si="120">"2"</f>
        <v>2</v>
      </c>
      <c r="D621" t="str">
        <f>"4"</f>
        <v>4</v>
      </c>
      <c r="E621" t="str">
        <f>"2"</f>
        <v>2</v>
      </c>
      <c r="F621" s="1">
        <v>15882697477</v>
      </c>
    </row>
    <row r="622" spans="1:6" x14ac:dyDescent="0.25">
      <c r="A622" t="str">
        <f t="shared" si="118"/>
        <v>2894</v>
      </c>
      <c r="B622" t="str">
        <f t="shared" si="119"/>
        <v>Обязательства по операциям спот</v>
      </c>
      <c r="C622" t="str">
        <f t="shared" si="120"/>
        <v>2</v>
      </c>
      <c r="D622" t="str">
        <f>"4"</f>
        <v>4</v>
      </c>
      <c r="E622" t="str">
        <f>"3"</f>
        <v>3</v>
      </c>
      <c r="F622" s="1">
        <v>208950903.03999999</v>
      </c>
    </row>
    <row r="623" spans="1:6" x14ac:dyDescent="0.25">
      <c r="A623" t="str">
        <f t="shared" si="118"/>
        <v>2894</v>
      </c>
      <c r="B623" t="str">
        <f t="shared" si="119"/>
        <v>Обязательства по операциям спот</v>
      </c>
      <c r="C623" t="str">
        <f t="shared" si="120"/>
        <v>2</v>
      </c>
      <c r="D623" t="str">
        <f>"5"</f>
        <v>5</v>
      </c>
      <c r="E623" t="str">
        <f>"1"</f>
        <v>1</v>
      </c>
      <c r="F623" s="1">
        <v>1593888760</v>
      </c>
    </row>
    <row r="624" spans="1:6" x14ac:dyDescent="0.25">
      <c r="A624" t="str">
        <f t="shared" si="118"/>
        <v>2894</v>
      </c>
      <c r="B624" t="str">
        <f t="shared" si="119"/>
        <v>Обязательства по операциям спот</v>
      </c>
      <c r="C624" t="str">
        <f t="shared" si="120"/>
        <v>2</v>
      </c>
      <c r="D624" t="str">
        <f>"4"</f>
        <v>4</v>
      </c>
      <c r="E624" t="str">
        <f>"1"</f>
        <v>1</v>
      </c>
      <c r="F624" s="1">
        <v>1883900000</v>
      </c>
    </row>
    <row r="625" spans="1:6" x14ac:dyDescent="0.25">
      <c r="A625" t="str">
        <f t="shared" si="118"/>
        <v>2894</v>
      </c>
      <c r="B625" t="str">
        <f t="shared" si="119"/>
        <v>Обязательства по операциям спот</v>
      </c>
      <c r="C625" t="str">
        <f t="shared" si="120"/>
        <v>2</v>
      </c>
      <c r="D625" t="str">
        <f>"5"</f>
        <v>5</v>
      </c>
      <c r="E625" t="str">
        <f>"2"</f>
        <v>2</v>
      </c>
      <c r="F625" s="1">
        <v>15390857860</v>
      </c>
    </row>
    <row r="626" spans="1:6" x14ac:dyDescent="0.25">
      <c r="A626" t="str">
        <f t="shared" si="118"/>
        <v>2894</v>
      </c>
      <c r="B626" t="str">
        <f t="shared" si="119"/>
        <v>Обязательства по операциям спот</v>
      </c>
      <c r="C626" t="str">
        <f t="shared" si="120"/>
        <v>2</v>
      </c>
      <c r="D626" t="str">
        <f>"5"</f>
        <v>5</v>
      </c>
      <c r="E626" t="str">
        <f>"3"</f>
        <v>3</v>
      </c>
      <c r="F626" s="1">
        <v>686920426.60000002</v>
      </c>
    </row>
    <row r="627" spans="1:6" x14ac:dyDescent="0.25">
      <c r="A627" t="str">
        <f t="shared" si="118"/>
        <v>2894</v>
      </c>
      <c r="B627" t="str">
        <f t="shared" si="119"/>
        <v>Обязательства по операциям спот</v>
      </c>
      <c r="C627" t="str">
        <f>"1"</f>
        <v>1</v>
      </c>
      <c r="D627" t="str">
        <f>"5"</f>
        <v>5</v>
      </c>
      <c r="E627" t="str">
        <f>"3"</f>
        <v>3</v>
      </c>
      <c r="F627" s="1">
        <v>13294657200</v>
      </c>
    </row>
    <row r="628" spans="1:6" x14ac:dyDescent="0.25">
      <c r="A628" t="str">
        <f>"2895"</f>
        <v>2895</v>
      </c>
      <c r="B628" t="str">
        <f>"Обязательства по операциям своп"</f>
        <v>Обязательства по операциям своп</v>
      </c>
      <c r="C628" t="str">
        <f>"1"</f>
        <v>1</v>
      </c>
      <c r="D628" t="str">
        <f>"5"</f>
        <v>5</v>
      </c>
      <c r="E628" t="str">
        <f>"1"</f>
        <v>1</v>
      </c>
      <c r="F628" s="1">
        <v>637752416.23000002</v>
      </c>
    </row>
    <row r="629" spans="1:6" x14ac:dyDescent="0.25">
      <c r="A629" t="str">
        <f>"3001"</f>
        <v>3001</v>
      </c>
      <c r="B629" t="str">
        <f>"Уставный капитал – простые акции"</f>
        <v>Уставный капитал – простые акции</v>
      </c>
      <c r="C629" t="str">
        <f>""</f>
        <v/>
      </c>
      <c r="D629" t="str">
        <f>""</f>
        <v/>
      </c>
      <c r="E629" t="str">
        <f>""</f>
        <v/>
      </c>
      <c r="F629" s="1">
        <v>61135196834.199997</v>
      </c>
    </row>
    <row r="630" spans="1:6" x14ac:dyDescent="0.25">
      <c r="A630" t="str">
        <f>"3101"</f>
        <v>3101</v>
      </c>
      <c r="B630" t="str">
        <f>"Дополнительный оплаченный капитал"</f>
        <v>Дополнительный оплаченный капитал</v>
      </c>
      <c r="C630" t="str">
        <f>""</f>
        <v/>
      </c>
      <c r="D630" t="str">
        <f>""</f>
        <v/>
      </c>
      <c r="E630" t="str">
        <f>""</f>
        <v/>
      </c>
      <c r="F630" s="1">
        <v>2025632000</v>
      </c>
    </row>
    <row r="631" spans="1:6" x14ac:dyDescent="0.25">
      <c r="A631" t="str">
        <f>"3510"</f>
        <v>3510</v>
      </c>
      <c r="B631" t="str">
        <f>"Резервный капитал"</f>
        <v>Резервный капитал</v>
      </c>
      <c r="C631" t="str">
        <f>""</f>
        <v/>
      </c>
      <c r="D631" t="str">
        <f>""</f>
        <v/>
      </c>
      <c r="E631" t="str">
        <f>""</f>
        <v/>
      </c>
      <c r="F631" s="1">
        <v>8616900749.1700001</v>
      </c>
    </row>
    <row r="632" spans="1:6" x14ac:dyDescent="0.25">
      <c r="A632" t="str">
        <f>"3561"</f>
        <v>3561</v>
      </c>
      <c r="B63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2" t="str">
        <f>"1"</f>
        <v>1</v>
      </c>
      <c r="D632" t="str">
        <f>""</f>
        <v/>
      </c>
      <c r="E632" t="str">
        <f>"1"</f>
        <v>1</v>
      </c>
      <c r="F632" s="1">
        <v>7909064530.2700005</v>
      </c>
    </row>
    <row r="633" spans="1:6" x14ac:dyDescent="0.25">
      <c r="A633" t="str">
        <f>"3561"</f>
        <v>3561</v>
      </c>
      <c r="B63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3" t="str">
        <f>"1"</f>
        <v>1</v>
      </c>
      <c r="D633" t="str">
        <f>""</f>
        <v/>
      </c>
      <c r="E633" t="str">
        <f>"2"</f>
        <v>2</v>
      </c>
      <c r="F633" s="1">
        <v>-2504265666</v>
      </c>
    </row>
    <row r="634" spans="1:6" x14ac:dyDescent="0.25">
      <c r="A634" t="str">
        <f>"3561"</f>
        <v>3561</v>
      </c>
      <c r="B63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34" t="str">
        <f>"2"</f>
        <v>2</v>
      </c>
      <c r="D634" t="str">
        <f>""</f>
        <v/>
      </c>
      <c r="E634" t="str">
        <f>"2"</f>
        <v>2</v>
      </c>
      <c r="F634" s="1">
        <v>-5139242267.1499996</v>
      </c>
    </row>
    <row r="635" spans="1:6" x14ac:dyDescent="0.25">
      <c r="A635" t="str">
        <f>"3562"</f>
        <v>3562</v>
      </c>
      <c r="B63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35" t="str">
        <f>"2"</f>
        <v>2</v>
      </c>
      <c r="D635" t="str">
        <f>""</f>
        <v/>
      </c>
      <c r="E635" t="str">
        <f>"2"</f>
        <v>2</v>
      </c>
      <c r="F635" s="1">
        <v>5996585223.3900003</v>
      </c>
    </row>
    <row r="636" spans="1:6" x14ac:dyDescent="0.25">
      <c r="A636" t="str">
        <f>"3562"</f>
        <v>3562</v>
      </c>
      <c r="B63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36" t="str">
        <f>"1"</f>
        <v>1</v>
      </c>
      <c r="D636" t="str">
        <f>""</f>
        <v/>
      </c>
      <c r="E636" t="str">
        <f>"2"</f>
        <v>2</v>
      </c>
      <c r="F636" s="1">
        <v>32862053.16</v>
      </c>
    </row>
    <row r="637" spans="1:6" x14ac:dyDescent="0.25">
      <c r="A637" t="str">
        <f>"3580"</f>
        <v>3580</v>
      </c>
      <c r="B63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637" t="str">
        <f>""</f>
        <v/>
      </c>
      <c r="D637" t="str">
        <f>""</f>
        <v/>
      </c>
      <c r="E637" t="str">
        <f>""</f>
        <v/>
      </c>
      <c r="F637" s="1">
        <v>128795421194.94</v>
      </c>
    </row>
    <row r="638" spans="1:6" x14ac:dyDescent="0.25">
      <c r="A638" t="str">
        <f>"3599"</f>
        <v>3599</v>
      </c>
      <c r="B638" t="str">
        <f>"Нераспределенная чистая прибыль (непокрытый убыток)"</f>
        <v>Нераспределенная чистая прибыль (непокрытый убыток)</v>
      </c>
      <c r="C638" t="str">
        <f>""</f>
        <v/>
      </c>
      <c r="D638" t="str">
        <f>""</f>
        <v/>
      </c>
      <c r="E638" t="str">
        <f>""</f>
        <v/>
      </c>
      <c r="F638" s="1">
        <v>86783587929.720001</v>
      </c>
    </row>
    <row r="639" spans="1:6" x14ac:dyDescent="0.25">
      <c r="A639" t="str">
        <f>"4052"</f>
        <v>4052</v>
      </c>
      <c r="B63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639" t="str">
        <f>""</f>
        <v/>
      </c>
      <c r="D639" t="str">
        <f>""</f>
        <v/>
      </c>
      <c r="E639" t="str">
        <f>""</f>
        <v/>
      </c>
      <c r="F639" s="1">
        <v>3217566703.75</v>
      </c>
    </row>
    <row r="640" spans="1:6" x14ac:dyDescent="0.25">
      <c r="A640" t="str">
        <f>"4101"</f>
        <v>4101</v>
      </c>
      <c r="B64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640" t="str">
        <f>""</f>
        <v/>
      </c>
      <c r="D640" t="str">
        <f>""</f>
        <v/>
      </c>
      <c r="E640" t="str">
        <f>""</f>
        <v/>
      </c>
      <c r="F640" s="1">
        <v>847923611.10000002</v>
      </c>
    </row>
    <row r="641" spans="1:6" x14ac:dyDescent="0.25">
      <c r="A641" t="str">
        <f>"4103"</f>
        <v>4103</v>
      </c>
      <c r="B64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641" t="str">
        <f>""</f>
        <v/>
      </c>
      <c r="D641" t="str">
        <f>""</f>
        <v/>
      </c>
      <c r="E641" t="str">
        <f>""</f>
        <v/>
      </c>
      <c r="F641" s="1">
        <v>13430749377.42</v>
      </c>
    </row>
    <row r="642" spans="1:6" x14ac:dyDescent="0.25">
      <c r="A642" t="str">
        <f>"4251"</f>
        <v>4251</v>
      </c>
      <c r="B64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642" t="str">
        <f>""</f>
        <v/>
      </c>
      <c r="D642" t="str">
        <f>""</f>
        <v/>
      </c>
      <c r="E642" t="str">
        <f>""</f>
        <v/>
      </c>
      <c r="F642" s="1">
        <v>290557631.66000003</v>
      </c>
    </row>
    <row r="643" spans="1:6" x14ac:dyDescent="0.25">
      <c r="A643" t="str">
        <f>"4253"</f>
        <v>4253</v>
      </c>
      <c r="B643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643" t="str">
        <f>""</f>
        <v/>
      </c>
      <c r="D643" t="str">
        <f>""</f>
        <v/>
      </c>
      <c r="E643" t="str">
        <f>""</f>
        <v/>
      </c>
      <c r="F643" s="1">
        <v>10434985.48</v>
      </c>
    </row>
    <row r="644" spans="1:6" x14ac:dyDescent="0.25">
      <c r="A644" t="str">
        <f>"4254"</f>
        <v>4254</v>
      </c>
      <c r="B64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C644" t="str">
        <f>""</f>
        <v/>
      </c>
      <c r="D644" t="str">
        <f>""</f>
        <v/>
      </c>
      <c r="E644" t="str">
        <f>""</f>
        <v/>
      </c>
      <c r="F644" s="1">
        <v>48310483.229999997</v>
      </c>
    </row>
    <row r="645" spans="1:6" x14ac:dyDescent="0.25">
      <c r="A645" t="str">
        <f>"4267"</f>
        <v>4267</v>
      </c>
      <c r="B645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645" t="str">
        <f>""</f>
        <v/>
      </c>
      <c r="D645" t="str">
        <f>""</f>
        <v/>
      </c>
      <c r="E645" t="str">
        <f>""</f>
        <v/>
      </c>
      <c r="F645" s="1">
        <v>288662237.06999999</v>
      </c>
    </row>
    <row r="646" spans="1:6" x14ac:dyDescent="0.25">
      <c r="A646" t="str">
        <f>"4302"</f>
        <v>4302</v>
      </c>
      <c r="B646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C646" t="str">
        <f>""</f>
        <v/>
      </c>
      <c r="D646" t="str">
        <f>""</f>
        <v/>
      </c>
      <c r="E646" t="str">
        <f>""</f>
        <v/>
      </c>
      <c r="F646" s="1">
        <v>24689667.18</v>
      </c>
    </row>
    <row r="647" spans="1:6" x14ac:dyDescent="0.25">
      <c r="A647" t="str">
        <f>"4304"</f>
        <v>4304</v>
      </c>
      <c r="B647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C647" t="str">
        <f>""</f>
        <v/>
      </c>
      <c r="D647" t="str">
        <f>""</f>
        <v/>
      </c>
      <c r="E647" t="str">
        <f>""</f>
        <v/>
      </c>
      <c r="F647" s="1">
        <v>12911090.970000001</v>
      </c>
    </row>
    <row r="648" spans="1:6" x14ac:dyDescent="0.25">
      <c r="A648" t="str">
        <f>"4403"</f>
        <v>4403</v>
      </c>
      <c r="B64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648" t="str">
        <f>""</f>
        <v/>
      </c>
      <c r="D648" t="str">
        <f>""</f>
        <v/>
      </c>
      <c r="E648" t="str">
        <f>""</f>
        <v/>
      </c>
      <c r="F648" s="1">
        <v>356734830.25999999</v>
      </c>
    </row>
    <row r="649" spans="1:6" x14ac:dyDescent="0.25">
      <c r="A649" t="str">
        <f>"4411"</f>
        <v>4411</v>
      </c>
      <c r="B64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49" t="str">
        <f>""</f>
        <v/>
      </c>
      <c r="D649" t="str">
        <f>""</f>
        <v/>
      </c>
      <c r="E649" t="str">
        <f>""</f>
        <v/>
      </c>
      <c r="F649" s="1">
        <v>1974753903.99</v>
      </c>
    </row>
    <row r="650" spans="1:6" x14ac:dyDescent="0.25">
      <c r="A650" t="str">
        <f>"4417"</f>
        <v>4417</v>
      </c>
      <c r="B65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50" t="str">
        <f>""</f>
        <v/>
      </c>
      <c r="D650" t="str">
        <f>""</f>
        <v/>
      </c>
      <c r="E650" t="str">
        <f>""</f>
        <v/>
      </c>
      <c r="F650" s="1">
        <v>180951657435.51001</v>
      </c>
    </row>
    <row r="651" spans="1:6" x14ac:dyDescent="0.25">
      <c r="A651" t="str">
        <f>"4424"</f>
        <v>4424</v>
      </c>
      <c r="B65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51" t="str">
        <f>""</f>
        <v/>
      </c>
      <c r="D651" t="str">
        <f>""</f>
        <v/>
      </c>
      <c r="E651" t="str">
        <f>""</f>
        <v/>
      </c>
      <c r="F651" s="1">
        <v>1284598351.6900001</v>
      </c>
    </row>
    <row r="652" spans="1:6" x14ac:dyDescent="0.25">
      <c r="A652" t="str">
        <f>"4429"</f>
        <v>4429</v>
      </c>
      <c r="B65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52" t="str">
        <f>""</f>
        <v/>
      </c>
      <c r="D652" t="str">
        <f>""</f>
        <v/>
      </c>
      <c r="E652" t="str">
        <f>""</f>
        <v/>
      </c>
      <c r="F652" s="1">
        <v>2935106523.9699998</v>
      </c>
    </row>
    <row r="653" spans="1:6" x14ac:dyDescent="0.25">
      <c r="A653" t="str">
        <f>"4434"</f>
        <v>4434</v>
      </c>
      <c r="B65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C653" t="str">
        <f>""</f>
        <v/>
      </c>
      <c r="D653" t="str">
        <f>""</f>
        <v/>
      </c>
      <c r="E653" t="str">
        <f>""</f>
        <v/>
      </c>
      <c r="F653" s="1">
        <v>19587699913.619999</v>
      </c>
    </row>
    <row r="654" spans="1:6" x14ac:dyDescent="0.25">
      <c r="A654" t="str">
        <f>"4436"</f>
        <v>4436</v>
      </c>
      <c r="B65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C654" t="str">
        <f>""</f>
        <v/>
      </c>
      <c r="D654" t="str">
        <f>""</f>
        <v/>
      </c>
      <c r="E654" t="str">
        <f>""</f>
        <v/>
      </c>
      <c r="F654" s="1">
        <v>16754986.119999999</v>
      </c>
    </row>
    <row r="655" spans="1:6" x14ac:dyDescent="0.25">
      <c r="A655" t="str">
        <f>"4452"</f>
        <v>4452</v>
      </c>
      <c r="B65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55" t="str">
        <f>""</f>
        <v/>
      </c>
      <c r="D655" t="str">
        <f>""</f>
        <v/>
      </c>
      <c r="E655" t="str">
        <f>""</f>
        <v/>
      </c>
      <c r="F655" s="1">
        <v>18534343809.34</v>
      </c>
    </row>
    <row r="656" spans="1:6" x14ac:dyDescent="0.25">
      <c r="A656" t="str">
        <f>"4453"</f>
        <v>4453</v>
      </c>
      <c r="B65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56" t="str">
        <f>""</f>
        <v/>
      </c>
      <c r="D656" t="str">
        <f>""</f>
        <v/>
      </c>
      <c r="E656" t="str">
        <f>""</f>
        <v/>
      </c>
      <c r="F656" s="1">
        <v>4377937999.5799999</v>
      </c>
    </row>
    <row r="657" spans="1:6" x14ac:dyDescent="0.25">
      <c r="A657" t="str">
        <f>"4454"</f>
        <v>4454</v>
      </c>
      <c r="B65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57" t="str">
        <f>""</f>
        <v/>
      </c>
      <c r="D657" t="str">
        <f>""</f>
        <v/>
      </c>
      <c r="E657" t="str">
        <f>""</f>
        <v/>
      </c>
      <c r="F657" s="1">
        <v>17272715.890000001</v>
      </c>
    </row>
    <row r="658" spans="1:6" x14ac:dyDescent="0.25">
      <c r="A658" t="str">
        <f>"4465"</f>
        <v>4465</v>
      </c>
      <c r="B658" t="s">
        <v>7</v>
      </c>
      <c r="C658" t="str">
        <f>""</f>
        <v/>
      </c>
      <c r="D658" t="str">
        <f>""</f>
        <v/>
      </c>
      <c r="E658" t="str">
        <f>""</f>
        <v/>
      </c>
      <c r="F658" s="1">
        <v>99809767.709999993</v>
      </c>
    </row>
    <row r="659" spans="1:6" x14ac:dyDescent="0.25">
      <c r="A659" t="str">
        <f>"4481"</f>
        <v>4481</v>
      </c>
      <c r="B65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59" t="str">
        <f>""</f>
        <v/>
      </c>
      <c r="D659" t="str">
        <f>""</f>
        <v/>
      </c>
      <c r="E659" t="str">
        <f>""</f>
        <v/>
      </c>
      <c r="F659" s="1">
        <v>7952081541.0200005</v>
      </c>
    </row>
    <row r="660" spans="1:6" x14ac:dyDescent="0.25">
      <c r="A660" t="str">
        <f>"4482"</f>
        <v>4482</v>
      </c>
      <c r="B66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60" t="str">
        <f>""</f>
        <v/>
      </c>
      <c r="D660" t="str">
        <f>""</f>
        <v/>
      </c>
      <c r="E660" t="str">
        <f>""</f>
        <v/>
      </c>
      <c r="F660" s="1">
        <v>1718619463.05</v>
      </c>
    </row>
    <row r="661" spans="1:6" x14ac:dyDescent="0.25">
      <c r="A661" t="str">
        <f>"4491"</f>
        <v>4491</v>
      </c>
      <c r="B661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61" t="str">
        <f>""</f>
        <v/>
      </c>
      <c r="D661" t="str">
        <f>""</f>
        <v/>
      </c>
      <c r="E661" t="str">
        <f>""</f>
        <v/>
      </c>
      <c r="F661" s="1">
        <v>2392520.66</v>
      </c>
    </row>
    <row r="662" spans="1:6" x14ac:dyDescent="0.25">
      <c r="A662" t="str">
        <f>"4510"</f>
        <v>4510</v>
      </c>
      <c r="B662" t="str">
        <f>"Доходы по купле-продаже ценных бумаг"</f>
        <v>Доходы по купле-продаже ценных бумаг</v>
      </c>
      <c r="C662" t="str">
        <f>""</f>
        <v/>
      </c>
      <c r="D662" t="str">
        <f>""</f>
        <v/>
      </c>
      <c r="E662" t="str">
        <f>""</f>
        <v/>
      </c>
      <c r="F662" s="1">
        <v>174836117.16999999</v>
      </c>
    </row>
    <row r="663" spans="1:6" x14ac:dyDescent="0.25">
      <c r="A663" t="str">
        <f>"4530"</f>
        <v>4530</v>
      </c>
      <c r="B663" t="str">
        <f>"Доходы по купле-продаже иностранной валюты"</f>
        <v>Доходы по купле-продаже иностранной валюты</v>
      </c>
      <c r="C663" t="str">
        <f>""</f>
        <v/>
      </c>
      <c r="D663" t="str">
        <f>""</f>
        <v/>
      </c>
      <c r="E663" t="str">
        <f>""</f>
        <v/>
      </c>
      <c r="F663" s="1">
        <v>99675377172.389999</v>
      </c>
    </row>
    <row r="664" spans="1:6" x14ac:dyDescent="0.25">
      <c r="A664" t="str">
        <f>"4540"</f>
        <v>4540</v>
      </c>
      <c r="B664" t="str">
        <f>"Доходы от продажи аффинированных драгоценных металлов"</f>
        <v>Доходы от продажи аффинированных драгоценных металлов</v>
      </c>
      <c r="C664" t="str">
        <f>""</f>
        <v/>
      </c>
      <c r="D664" t="str">
        <f>""</f>
        <v/>
      </c>
      <c r="E664" t="str">
        <f>""</f>
        <v/>
      </c>
      <c r="F664" s="1">
        <v>7379227.8499999996</v>
      </c>
    </row>
    <row r="665" spans="1:6" x14ac:dyDescent="0.25">
      <c r="A665" t="str">
        <f>"4593"</f>
        <v>4593</v>
      </c>
      <c r="B665" t="str">
        <f>"Доходы от переоценки операций своп"</f>
        <v>Доходы от переоценки операций своп</v>
      </c>
      <c r="C665" t="str">
        <f>""</f>
        <v/>
      </c>
      <c r="D665" t="str">
        <f>""</f>
        <v/>
      </c>
      <c r="E665" t="str">
        <f>""</f>
        <v/>
      </c>
      <c r="F665" s="1">
        <v>3260217131.52</v>
      </c>
    </row>
    <row r="666" spans="1:6" x14ac:dyDescent="0.25">
      <c r="A666" t="str">
        <f>"4601"</f>
        <v>4601</v>
      </c>
      <c r="B666" t="str">
        <f>"Комиссионные доходы за услуги по переводным операциям"</f>
        <v>Комиссионные доходы за услуги по переводным операциям</v>
      </c>
      <c r="C666" t="str">
        <f>""</f>
        <v/>
      </c>
      <c r="D666" t="str">
        <f>""</f>
        <v/>
      </c>
      <c r="E666" t="str">
        <f>""</f>
        <v/>
      </c>
      <c r="F666" s="1">
        <v>4249786288.48</v>
      </c>
    </row>
    <row r="667" spans="1:6" x14ac:dyDescent="0.25">
      <c r="A667" t="str">
        <f>"4602"</f>
        <v>4602</v>
      </c>
      <c r="B667" t="str">
        <f>"Комиссионные доходы за агентские услуги"</f>
        <v>Комиссионные доходы за агентские услуги</v>
      </c>
      <c r="C667" t="str">
        <f>""</f>
        <v/>
      </c>
      <c r="D667" t="str">
        <f>""</f>
        <v/>
      </c>
      <c r="E667" t="str">
        <f>""</f>
        <v/>
      </c>
      <c r="F667" s="1">
        <v>18526917397.610001</v>
      </c>
    </row>
    <row r="668" spans="1:6" x14ac:dyDescent="0.25">
      <c r="A668" t="str">
        <f>"4605"</f>
        <v>4605</v>
      </c>
      <c r="B66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68" t="str">
        <f>""</f>
        <v/>
      </c>
      <c r="D668" t="str">
        <f>""</f>
        <v/>
      </c>
      <c r="E668" t="str">
        <f>""</f>
        <v/>
      </c>
      <c r="F668" s="1">
        <v>94653088.469999999</v>
      </c>
    </row>
    <row r="669" spans="1:6" x14ac:dyDescent="0.25">
      <c r="A669" t="str">
        <f>"4606"</f>
        <v>4606</v>
      </c>
      <c r="B669" t="str">
        <f>"Комиссионные доходы за услуги по операциям с гарантиями"</f>
        <v>Комиссионные доходы за услуги по операциям с гарантиями</v>
      </c>
      <c r="C669" t="str">
        <f>""</f>
        <v/>
      </c>
      <c r="D669" t="str">
        <f>""</f>
        <v/>
      </c>
      <c r="E669" t="str">
        <f>""</f>
        <v/>
      </c>
      <c r="F669" s="1">
        <v>597128868.98000002</v>
      </c>
    </row>
    <row r="670" spans="1:6" x14ac:dyDescent="0.25">
      <c r="A670" t="str">
        <f>"4607"</f>
        <v>4607</v>
      </c>
      <c r="B67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70" t="str">
        <f>""</f>
        <v/>
      </c>
      <c r="D670" t="str">
        <f>""</f>
        <v/>
      </c>
      <c r="E670" t="str">
        <f>""</f>
        <v/>
      </c>
      <c r="F670" s="1">
        <v>441261212.23000002</v>
      </c>
    </row>
    <row r="671" spans="1:6" x14ac:dyDescent="0.25">
      <c r="A671" t="str">
        <f>"4608"</f>
        <v>4608</v>
      </c>
      <c r="B671" t="str">
        <f>"Прочие комиссионные доходы"</f>
        <v>Прочие комиссионные доходы</v>
      </c>
      <c r="C671" t="str">
        <f>""</f>
        <v/>
      </c>
      <c r="D671" t="str">
        <f>""</f>
        <v/>
      </c>
      <c r="E671" t="str">
        <f>""</f>
        <v/>
      </c>
      <c r="F671" s="1">
        <v>6687478077.25</v>
      </c>
    </row>
    <row r="672" spans="1:6" x14ac:dyDescent="0.25">
      <c r="A672" t="str">
        <f>"4609"</f>
        <v>4609</v>
      </c>
      <c r="B672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72" t="str">
        <f>""</f>
        <v/>
      </c>
      <c r="D672" t="str">
        <f>""</f>
        <v/>
      </c>
      <c r="E672" t="str">
        <f>""</f>
        <v/>
      </c>
      <c r="F672" s="1">
        <v>183348644.63</v>
      </c>
    </row>
    <row r="673" spans="1:6" x14ac:dyDescent="0.25">
      <c r="A673" t="str">
        <f>"4611"</f>
        <v>4611</v>
      </c>
      <c r="B673" t="str">
        <f>"Комиссионные доходы за услуги по кассовым операциям"</f>
        <v>Комиссионные доходы за услуги по кассовым операциям</v>
      </c>
      <c r="C673" t="str">
        <f>""</f>
        <v/>
      </c>
      <c r="D673" t="str">
        <f>""</f>
        <v/>
      </c>
      <c r="E673" t="str">
        <f>""</f>
        <v/>
      </c>
      <c r="F673" s="1">
        <v>1669961049.4400001</v>
      </c>
    </row>
    <row r="674" spans="1:6" x14ac:dyDescent="0.25">
      <c r="A674" t="str">
        <f>"4612"</f>
        <v>4612</v>
      </c>
      <c r="B674" t="str">
        <f>"Комиссионные доходы по документарным расчетам"</f>
        <v>Комиссионные доходы по документарным расчетам</v>
      </c>
      <c r="C674" t="str">
        <f>""</f>
        <v/>
      </c>
      <c r="D674" t="str">
        <f>""</f>
        <v/>
      </c>
      <c r="E674" t="str">
        <f>""</f>
        <v/>
      </c>
      <c r="F674" s="1">
        <v>57504155.460000001</v>
      </c>
    </row>
    <row r="675" spans="1:6" x14ac:dyDescent="0.25">
      <c r="A675" t="str">
        <f>"4615"</f>
        <v>4615</v>
      </c>
      <c r="B675" t="str">
        <f>"Комиссионные доходы за услуги по инкассации"</f>
        <v>Комиссионные доходы за услуги по инкассации</v>
      </c>
      <c r="C675" t="str">
        <f>""</f>
        <v/>
      </c>
      <c r="D675" t="str">
        <f>""</f>
        <v/>
      </c>
      <c r="E675" t="str">
        <f>""</f>
        <v/>
      </c>
      <c r="F675" s="1">
        <v>19523679.43</v>
      </c>
    </row>
    <row r="676" spans="1:6" x14ac:dyDescent="0.25">
      <c r="A676" t="str">
        <f>"4617"</f>
        <v>4617</v>
      </c>
      <c r="B676" t="str">
        <f>"Комиссионные доходы за услуги по сейфовым операциям"</f>
        <v>Комиссионные доходы за услуги по сейфовым операциям</v>
      </c>
      <c r="C676" t="str">
        <f>""</f>
        <v/>
      </c>
      <c r="D676" t="str">
        <f>""</f>
        <v/>
      </c>
      <c r="E676" t="str">
        <f>""</f>
        <v/>
      </c>
      <c r="F676" s="1">
        <v>97315411.890000001</v>
      </c>
    </row>
    <row r="677" spans="1:6" x14ac:dyDescent="0.25">
      <c r="A677" t="str">
        <f>"4619"</f>
        <v>4619</v>
      </c>
      <c r="B677" t="str">
        <f>"Комиссионные доходы за обслуживание платежных карточек"</f>
        <v>Комиссионные доходы за обслуживание платежных карточек</v>
      </c>
      <c r="C677" t="str">
        <f>""</f>
        <v/>
      </c>
      <c r="D677" t="str">
        <f>""</f>
        <v/>
      </c>
      <c r="E677" t="str">
        <f>""</f>
        <v/>
      </c>
      <c r="F677" s="1">
        <v>5924939.25</v>
      </c>
    </row>
    <row r="678" spans="1:6" x14ac:dyDescent="0.25">
      <c r="A678" t="str">
        <f>"4703"</f>
        <v>4703</v>
      </c>
      <c r="B678" t="str">
        <f>"Доход от переоценки иностранной валюты"</f>
        <v>Доход от переоценки иностранной валюты</v>
      </c>
      <c r="C678" t="str">
        <f>""</f>
        <v/>
      </c>
      <c r="D678" t="str">
        <f>""</f>
        <v/>
      </c>
      <c r="E678" t="str">
        <f>""</f>
        <v/>
      </c>
      <c r="F678" s="1">
        <v>253591444323.10001</v>
      </c>
    </row>
    <row r="679" spans="1:6" x14ac:dyDescent="0.25">
      <c r="A679" t="str">
        <f>"4704"</f>
        <v>4704</v>
      </c>
      <c r="B679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79" t="str">
        <f>""</f>
        <v/>
      </c>
      <c r="D679" t="str">
        <f>""</f>
        <v/>
      </c>
      <c r="E679" t="str">
        <f>""</f>
        <v/>
      </c>
      <c r="F679" s="1">
        <v>151218957.08000001</v>
      </c>
    </row>
    <row r="680" spans="1:6" x14ac:dyDescent="0.25">
      <c r="A680" t="str">
        <f>"4733"</f>
        <v>4733</v>
      </c>
      <c r="B68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80" t="str">
        <f>""</f>
        <v/>
      </c>
      <c r="D680" t="str">
        <f>""</f>
        <v/>
      </c>
      <c r="E680" t="str">
        <f>""</f>
        <v/>
      </c>
      <c r="F680" s="1">
        <v>8179161041.2700005</v>
      </c>
    </row>
    <row r="681" spans="1:6" x14ac:dyDescent="0.25">
      <c r="A681" t="str">
        <f>"4852"</f>
        <v>4852</v>
      </c>
      <c r="B68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81" t="str">
        <f>""</f>
        <v/>
      </c>
      <c r="D681" t="str">
        <f>""</f>
        <v/>
      </c>
      <c r="E681" t="str">
        <f>""</f>
        <v/>
      </c>
      <c r="F681" s="1">
        <v>3437500</v>
      </c>
    </row>
    <row r="682" spans="1:6" x14ac:dyDescent="0.25">
      <c r="A682" t="str">
        <f>"4853"</f>
        <v>4853</v>
      </c>
      <c r="B682" t="str">
        <f>"Доходы от реализации запасов"</f>
        <v>Доходы от реализации запасов</v>
      </c>
      <c r="C682" t="str">
        <f>""</f>
        <v/>
      </c>
      <c r="D682" t="str">
        <f>""</f>
        <v/>
      </c>
      <c r="E682" t="str">
        <f>""</f>
        <v/>
      </c>
      <c r="F682" s="1">
        <v>549839.32999999996</v>
      </c>
    </row>
    <row r="683" spans="1:6" x14ac:dyDescent="0.25">
      <c r="A683" t="str">
        <f>"4854"</f>
        <v>4854</v>
      </c>
      <c r="B683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C683" t="str">
        <f>""</f>
        <v/>
      </c>
      <c r="D683" t="str">
        <f>""</f>
        <v/>
      </c>
      <c r="E683" t="str">
        <f>""</f>
        <v/>
      </c>
      <c r="F683" s="1">
        <v>13985428.710000001</v>
      </c>
    </row>
    <row r="684" spans="1:6" x14ac:dyDescent="0.25">
      <c r="A684" t="str">
        <f>"4892"</f>
        <v>4892</v>
      </c>
      <c r="B684" t="str">
        <f>"Доходы по операциям форвард"</f>
        <v>Доходы по операциям форвард</v>
      </c>
      <c r="C684" t="str">
        <f>""</f>
        <v/>
      </c>
      <c r="D684" t="str">
        <f>""</f>
        <v/>
      </c>
      <c r="E684" t="str">
        <f>""</f>
        <v/>
      </c>
      <c r="F684" s="1">
        <v>3479758958.1999998</v>
      </c>
    </row>
    <row r="685" spans="1:6" x14ac:dyDescent="0.25">
      <c r="A685" t="str">
        <f>"4895"</f>
        <v>4895</v>
      </c>
      <c r="B685" t="str">
        <f>"Доходы по операциям своп"</f>
        <v>Доходы по операциям своп</v>
      </c>
      <c r="C685" t="str">
        <f>""</f>
        <v/>
      </c>
      <c r="D685" t="str">
        <f>""</f>
        <v/>
      </c>
      <c r="E685" t="str">
        <f>""</f>
        <v/>
      </c>
      <c r="F685" s="1">
        <v>31073446121.759998</v>
      </c>
    </row>
    <row r="686" spans="1:6" x14ac:dyDescent="0.25">
      <c r="A686" t="str">
        <f>"4900"</f>
        <v>4900</v>
      </c>
      <c r="B686" t="str">
        <f>"Неустойка (штраф, пеня)"</f>
        <v>Неустойка (штраф, пеня)</v>
      </c>
      <c r="C686" t="str">
        <f>""</f>
        <v/>
      </c>
      <c r="D686" t="str">
        <f>""</f>
        <v/>
      </c>
      <c r="E686" t="str">
        <f>""</f>
        <v/>
      </c>
      <c r="F686" s="1">
        <v>2045974051.2</v>
      </c>
    </row>
    <row r="687" spans="1:6" x14ac:dyDescent="0.25">
      <c r="A687" t="str">
        <f>"4921"</f>
        <v>4921</v>
      </c>
      <c r="B687" t="str">
        <f>"Прочие доходы от банковской деятельности"</f>
        <v>Прочие доходы от банковской деятельности</v>
      </c>
      <c r="C687" t="str">
        <f>""</f>
        <v/>
      </c>
      <c r="D687" t="str">
        <f>""</f>
        <v/>
      </c>
      <c r="E687" t="str">
        <f>""</f>
        <v/>
      </c>
      <c r="F687" s="1">
        <v>374079412.35000002</v>
      </c>
    </row>
    <row r="688" spans="1:6" x14ac:dyDescent="0.25">
      <c r="A688" t="str">
        <f>"4922"</f>
        <v>4922</v>
      </c>
      <c r="B688" t="str">
        <f>"Прочие доходы от неосновной деятельности"</f>
        <v>Прочие доходы от неосновной деятельности</v>
      </c>
      <c r="C688" t="str">
        <f>""</f>
        <v/>
      </c>
      <c r="D688" t="str">
        <f>""</f>
        <v/>
      </c>
      <c r="E688" t="str">
        <f>""</f>
        <v/>
      </c>
      <c r="F688" s="1">
        <v>42717163.880000003</v>
      </c>
    </row>
    <row r="689" spans="1:6" x14ac:dyDescent="0.25">
      <c r="A689" t="str">
        <f>"4951"</f>
        <v>4951</v>
      </c>
      <c r="B68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C689" t="str">
        <f>""</f>
        <v/>
      </c>
      <c r="D689" t="str">
        <f>""</f>
        <v/>
      </c>
      <c r="E689" t="str">
        <f>""</f>
        <v/>
      </c>
      <c r="F689" s="1">
        <v>24014540.59</v>
      </c>
    </row>
    <row r="690" spans="1:6" x14ac:dyDescent="0.25">
      <c r="A690" t="str">
        <f>"4953"</f>
        <v>4953</v>
      </c>
      <c r="B69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90" t="str">
        <f>""</f>
        <v/>
      </c>
      <c r="D690" t="str">
        <f>""</f>
        <v/>
      </c>
      <c r="E690" t="str">
        <f>""</f>
        <v/>
      </c>
      <c r="F690" s="1">
        <v>5010064470.96</v>
      </c>
    </row>
    <row r="691" spans="1:6" x14ac:dyDescent="0.25">
      <c r="A691" t="str">
        <f>"4954"</f>
        <v>4954</v>
      </c>
      <c r="B69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91" t="str">
        <f>""</f>
        <v/>
      </c>
      <c r="D691" t="str">
        <f>""</f>
        <v/>
      </c>
      <c r="E691" t="str">
        <f>""</f>
        <v/>
      </c>
      <c r="F691" s="1">
        <v>5630377176.7799997</v>
      </c>
    </row>
    <row r="692" spans="1:6" x14ac:dyDescent="0.25">
      <c r="A692" t="str">
        <f>"4955"</f>
        <v>4955</v>
      </c>
      <c r="B69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92" t="str">
        <f>""</f>
        <v/>
      </c>
      <c r="D692" t="str">
        <f>""</f>
        <v/>
      </c>
      <c r="E692" t="str">
        <f>""</f>
        <v/>
      </c>
      <c r="F692" s="1">
        <v>201381081998.38</v>
      </c>
    </row>
    <row r="693" spans="1:6" x14ac:dyDescent="0.25">
      <c r="A693" t="str">
        <f>"4956"</f>
        <v>4956</v>
      </c>
      <c r="B69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93" t="str">
        <f>""</f>
        <v/>
      </c>
      <c r="D693" t="str">
        <f>""</f>
        <v/>
      </c>
      <c r="E693" t="str">
        <f>""</f>
        <v/>
      </c>
      <c r="F693" s="1">
        <v>132868356.01000001</v>
      </c>
    </row>
    <row r="694" spans="1:6" x14ac:dyDescent="0.25">
      <c r="A694" t="str">
        <f>"4957"</f>
        <v>4957</v>
      </c>
      <c r="B69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94" t="str">
        <f>""</f>
        <v/>
      </c>
      <c r="D694" t="str">
        <f>""</f>
        <v/>
      </c>
      <c r="E694" t="str">
        <f>""</f>
        <v/>
      </c>
      <c r="F694" s="1">
        <v>327241121.12</v>
      </c>
    </row>
    <row r="695" spans="1:6" x14ac:dyDescent="0.25">
      <c r="A695" t="str">
        <f>"4958"</f>
        <v>4958</v>
      </c>
      <c r="B69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95" t="str">
        <f>""</f>
        <v/>
      </c>
      <c r="D695" t="str">
        <f>""</f>
        <v/>
      </c>
      <c r="E695" t="str">
        <f>""</f>
        <v/>
      </c>
      <c r="F695" s="1">
        <v>1834340571.45</v>
      </c>
    </row>
    <row r="696" spans="1:6" x14ac:dyDescent="0.25">
      <c r="A696" t="str">
        <f>"4959"</f>
        <v>4959</v>
      </c>
      <c r="B696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96" t="str">
        <f>""</f>
        <v/>
      </c>
      <c r="D696" t="str">
        <f>""</f>
        <v/>
      </c>
      <c r="E696" t="str">
        <f>""</f>
        <v/>
      </c>
      <c r="F696" s="1">
        <v>882203.82</v>
      </c>
    </row>
    <row r="697" spans="1:6" x14ac:dyDescent="0.25">
      <c r="A697" t="str">
        <f>"5036"</f>
        <v>5036</v>
      </c>
      <c r="B697" t="s">
        <v>8</v>
      </c>
      <c r="C697" t="str">
        <f>""</f>
        <v/>
      </c>
      <c r="D697" t="str">
        <f>""</f>
        <v/>
      </c>
      <c r="E697" t="str">
        <f>""</f>
        <v/>
      </c>
      <c r="F697" s="1">
        <v>10657625.539999999</v>
      </c>
    </row>
    <row r="698" spans="1:6" x14ac:dyDescent="0.25">
      <c r="A698" t="str">
        <f>"5056"</f>
        <v>5056</v>
      </c>
      <c r="B69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98" t="str">
        <f>""</f>
        <v/>
      </c>
      <c r="D698" t="str">
        <f>""</f>
        <v/>
      </c>
      <c r="E698" t="str">
        <f>""</f>
        <v/>
      </c>
      <c r="F698" s="1">
        <v>188439263.08000001</v>
      </c>
    </row>
    <row r="699" spans="1:6" x14ac:dyDescent="0.25">
      <c r="A699" t="str">
        <f>"5066"</f>
        <v>5066</v>
      </c>
      <c r="B69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99" t="str">
        <f>""</f>
        <v/>
      </c>
      <c r="D699" t="str">
        <f>""</f>
        <v/>
      </c>
      <c r="E699" t="str">
        <f>""</f>
        <v/>
      </c>
      <c r="F699" s="1">
        <v>496594292.44</v>
      </c>
    </row>
    <row r="700" spans="1:6" x14ac:dyDescent="0.25">
      <c r="A700" t="str">
        <f>"5126"</f>
        <v>5126</v>
      </c>
      <c r="B700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C700" t="str">
        <f>""</f>
        <v/>
      </c>
      <c r="D700" t="str">
        <f>""</f>
        <v/>
      </c>
      <c r="E700" t="str">
        <f>""</f>
        <v/>
      </c>
      <c r="F700" s="1">
        <v>66252778.530000001</v>
      </c>
    </row>
    <row r="701" spans="1:6" x14ac:dyDescent="0.25">
      <c r="A701" t="str">
        <f>"5211"</f>
        <v>5211</v>
      </c>
      <c r="B70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701" t="str">
        <f>""</f>
        <v/>
      </c>
      <c r="D701" t="str">
        <f>""</f>
        <v/>
      </c>
      <c r="E701" t="str">
        <f>""</f>
        <v/>
      </c>
      <c r="F701" s="1">
        <v>1825156402.3599999</v>
      </c>
    </row>
    <row r="702" spans="1:6" x14ac:dyDescent="0.25">
      <c r="A702" t="str">
        <f>"5215"</f>
        <v>5215</v>
      </c>
      <c r="B70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702" t="str">
        <f>""</f>
        <v/>
      </c>
      <c r="D702" t="str">
        <f>""</f>
        <v/>
      </c>
      <c r="E702" t="str">
        <f>""</f>
        <v/>
      </c>
      <c r="F702" s="1">
        <v>25719094060.919998</v>
      </c>
    </row>
    <row r="703" spans="1:6" x14ac:dyDescent="0.25">
      <c r="A703" t="str">
        <f>"5217"</f>
        <v>5217</v>
      </c>
      <c r="B70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703" t="str">
        <f>""</f>
        <v/>
      </c>
      <c r="D703" t="str">
        <f>""</f>
        <v/>
      </c>
      <c r="E703" t="str">
        <f>""</f>
        <v/>
      </c>
      <c r="F703" s="1">
        <v>38898976365.910004</v>
      </c>
    </row>
    <row r="704" spans="1:6" x14ac:dyDescent="0.25">
      <c r="A704" t="str">
        <f>"5218"</f>
        <v>5218</v>
      </c>
      <c r="B70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704" t="str">
        <f>""</f>
        <v/>
      </c>
      <c r="D704" t="str">
        <f>""</f>
        <v/>
      </c>
      <c r="E704" t="str">
        <f>""</f>
        <v/>
      </c>
      <c r="F704" s="1">
        <v>14213978413</v>
      </c>
    </row>
    <row r="705" spans="1:6" x14ac:dyDescent="0.25">
      <c r="A705" t="str">
        <f>"5219"</f>
        <v>5219</v>
      </c>
      <c r="B70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705" t="str">
        <f>""</f>
        <v/>
      </c>
      <c r="D705" t="str">
        <f>""</f>
        <v/>
      </c>
      <c r="E705" t="str">
        <f>""</f>
        <v/>
      </c>
      <c r="F705" s="1">
        <v>281796.2</v>
      </c>
    </row>
    <row r="706" spans="1:6" x14ac:dyDescent="0.25">
      <c r="A706" t="str">
        <f>"5220"</f>
        <v>5220</v>
      </c>
      <c r="B706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706" t="str">
        <f>""</f>
        <v/>
      </c>
      <c r="D706" t="str">
        <f>""</f>
        <v/>
      </c>
      <c r="E706" t="str">
        <f>""</f>
        <v/>
      </c>
      <c r="F706" s="1">
        <v>556691863.30999994</v>
      </c>
    </row>
    <row r="707" spans="1:6" x14ac:dyDescent="0.25">
      <c r="A707" t="str">
        <f>"5223"</f>
        <v>5223</v>
      </c>
      <c r="B70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707" t="str">
        <f>""</f>
        <v/>
      </c>
      <c r="D707" t="str">
        <f>""</f>
        <v/>
      </c>
      <c r="E707" t="str">
        <f>""</f>
        <v/>
      </c>
      <c r="F707" s="1">
        <v>2155390005.1399999</v>
      </c>
    </row>
    <row r="708" spans="1:6" x14ac:dyDescent="0.25">
      <c r="A708" t="str">
        <f>"5227"</f>
        <v>5227</v>
      </c>
      <c r="B708" t="str">
        <f>"Процентные расходы по обязательствам по аренде"</f>
        <v>Процентные расходы по обязательствам по аренде</v>
      </c>
      <c r="C708" t="str">
        <f>""</f>
        <v/>
      </c>
      <c r="D708" t="str">
        <f>""</f>
        <v/>
      </c>
      <c r="E708" t="str">
        <f>""</f>
        <v/>
      </c>
      <c r="F708" s="1">
        <v>269279715.88999999</v>
      </c>
    </row>
    <row r="709" spans="1:6" x14ac:dyDescent="0.25">
      <c r="A709" t="str">
        <f>"5240"</f>
        <v>5240</v>
      </c>
      <c r="B709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C709" t="str">
        <f>""</f>
        <v/>
      </c>
      <c r="D709" t="str">
        <f>""</f>
        <v/>
      </c>
      <c r="E709" t="str">
        <f>""</f>
        <v/>
      </c>
      <c r="F709" s="1">
        <v>2801408436.4299998</v>
      </c>
    </row>
    <row r="710" spans="1:6" x14ac:dyDescent="0.25">
      <c r="A710" t="str">
        <f>"5241"</f>
        <v>5241</v>
      </c>
      <c r="B710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C710" t="str">
        <f>""</f>
        <v/>
      </c>
      <c r="D710" t="str">
        <f>""</f>
        <v/>
      </c>
      <c r="E710" t="str">
        <f>""</f>
        <v/>
      </c>
      <c r="F710" s="1">
        <v>201202111.03</v>
      </c>
    </row>
    <row r="711" spans="1:6" x14ac:dyDescent="0.25">
      <c r="A711" t="str">
        <f>"5250"</f>
        <v>5250</v>
      </c>
      <c r="B711" t="s">
        <v>9</v>
      </c>
      <c r="C711" t="str">
        <f>""</f>
        <v/>
      </c>
      <c r="D711" t="str">
        <f>""</f>
        <v/>
      </c>
      <c r="E711" t="str">
        <f>""</f>
        <v/>
      </c>
      <c r="F711" s="1">
        <v>16079230236.9</v>
      </c>
    </row>
    <row r="712" spans="1:6" x14ac:dyDescent="0.25">
      <c r="A712" t="str">
        <f>"5301"</f>
        <v>5301</v>
      </c>
      <c r="B712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712" t="str">
        <f>""</f>
        <v/>
      </c>
      <c r="D712" t="str">
        <f>""</f>
        <v/>
      </c>
      <c r="E712" t="str">
        <f>""</f>
        <v/>
      </c>
      <c r="F712" s="1">
        <v>1358626893.98</v>
      </c>
    </row>
    <row r="713" spans="1:6" x14ac:dyDescent="0.25">
      <c r="A713" t="str">
        <f>"5306"</f>
        <v>5306</v>
      </c>
      <c r="B71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713" t="str">
        <f>""</f>
        <v/>
      </c>
      <c r="D713" t="str">
        <f>""</f>
        <v/>
      </c>
      <c r="E713" t="str">
        <f>""</f>
        <v/>
      </c>
      <c r="F713" s="1">
        <v>644463530.28999996</v>
      </c>
    </row>
    <row r="714" spans="1:6" x14ac:dyDescent="0.25">
      <c r="A714" t="str">
        <f>"5307"</f>
        <v>5307</v>
      </c>
      <c r="B71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714" t="str">
        <f>""</f>
        <v/>
      </c>
      <c r="D714" t="str">
        <f>""</f>
        <v/>
      </c>
      <c r="E714" t="str">
        <f>""</f>
        <v/>
      </c>
      <c r="F714" s="1">
        <v>92381060.609999999</v>
      </c>
    </row>
    <row r="715" spans="1:6" x14ac:dyDescent="0.25">
      <c r="A715" t="str">
        <f>"5308"</f>
        <v>5308</v>
      </c>
      <c r="B715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715" t="str">
        <f>""</f>
        <v/>
      </c>
      <c r="D715" t="str">
        <f>""</f>
        <v/>
      </c>
      <c r="E715" t="str">
        <f>""</f>
        <v/>
      </c>
      <c r="F715" s="1">
        <v>1219915307.99</v>
      </c>
    </row>
    <row r="716" spans="1:6" x14ac:dyDescent="0.25">
      <c r="A716" t="str">
        <f>"5309"</f>
        <v>5309</v>
      </c>
      <c r="B716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716" t="str">
        <f>""</f>
        <v/>
      </c>
      <c r="D716" t="str">
        <f>""</f>
        <v/>
      </c>
      <c r="E716" t="str">
        <f>""</f>
        <v/>
      </c>
      <c r="F716" s="1">
        <v>196852089.34999999</v>
      </c>
    </row>
    <row r="717" spans="1:6" x14ac:dyDescent="0.25">
      <c r="A717" t="str">
        <f>"5404"</f>
        <v>5404</v>
      </c>
      <c r="B71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717" t="str">
        <f>""</f>
        <v/>
      </c>
      <c r="D717" t="str">
        <f>""</f>
        <v/>
      </c>
      <c r="E717" t="str">
        <f>""</f>
        <v/>
      </c>
      <c r="F717" s="1">
        <v>3739780934</v>
      </c>
    </row>
    <row r="718" spans="1:6" x14ac:dyDescent="0.25">
      <c r="A718" t="str">
        <f>"5406"</f>
        <v>5406</v>
      </c>
      <c r="B71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718" t="str">
        <f>""</f>
        <v/>
      </c>
      <c r="D718" t="str">
        <f>""</f>
        <v/>
      </c>
      <c r="E718" t="str">
        <f>""</f>
        <v/>
      </c>
      <c r="F718" s="1">
        <v>6134031825</v>
      </c>
    </row>
    <row r="719" spans="1:6" x14ac:dyDescent="0.25">
      <c r="A719" t="str">
        <f>"5451"</f>
        <v>5451</v>
      </c>
      <c r="B71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719" t="str">
        <f>""</f>
        <v/>
      </c>
      <c r="D719" t="str">
        <f>""</f>
        <v/>
      </c>
      <c r="E719" t="str">
        <f>""</f>
        <v/>
      </c>
      <c r="F719" s="1">
        <v>26209359.57</v>
      </c>
    </row>
    <row r="720" spans="1:6" x14ac:dyDescent="0.25">
      <c r="A720" t="str">
        <f>"5452"</f>
        <v>5452</v>
      </c>
      <c r="B72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C720" t="str">
        <f>""</f>
        <v/>
      </c>
      <c r="D720" t="str">
        <f>""</f>
        <v/>
      </c>
      <c r="E720" t="str">
        <f>""</f>
        <v/>
      </c>
      <c r="F720" s="1">
        <v>91891087.120000005</v>
      </c>
    </row>
    <row r="721" spans="1:6" x14ac:dyDescent="0.25">
      <c r="A721" t="str">
        <f>"5453"</f>
        <v>5453</v>
      </c>
      <c r="B72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721" t="str">
        <f>""</f>
        <v/>
      </c>
      <c r="D721" t="str">
        <f>""</f>
        <v/>
      </c>
      <c r="E721" t="str">
        <f>""</f>
        <v/>
      </c>
      <c r="F721" s="1">
        <v>5404258473.3199997</v>
      </c>
    </row>
    <row r="722" spans="1:6" x14ac:dyDescent="0.25">
      <c r="A722" t="str">
        <f>"5455"</f>
        <v>5455</v>
      </c>
      <c r="B72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722" t="str">
        <f>""</f>
        <v/>
      </c>
      <c r="D722" t="str">
        <f>""</f>
        <v/>
      </c>
      <c r="E722" t="str">
        <f>""</f>
        <v/>
      </c>
      <c r="F722" s="1">
        <v>250242709026.98001</v>
      </c>
    </row>
    <row r="723" spans="1:6" x14ac:dyDescent="0.25">
      <c r="A723" t="str">
        <f>"5456"</f>
        <v>5456</v>
      </c>
      <c r="B72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723" t="str">
        <f>""</f>
        <v/>
      </c>
      <c r="D723" t="str">
        <f>""</f>
        <v/>
      </c>
      <c r="E723" t="str">
        <f>""</f>
        <v/>
      </c>
      <c r="F723" s="1">
        <v>251909664.33000001</v>
      </c>
    </row>
    <row r="724" spans="1:6" x14ac:dyDescent="0.25">
      <c r="A724" t="str">
        <f>"5457"</f>
        <v>5457</v>
      </c>
      <c r="B72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724" t="str">
        <f>""</f>
        <v/>
      </c>
      <c r="D724" t="str">
        <f>""</f>
        <v/>
      </c>
      <c r="E724" t="str">
        <f>""</f>
        <v/>
      </c>
      <c r="F724" s="1">
        <v>255050532.91999999</v>
      </c>
    </row>
    <row r="725" spans="1:6" x14ac:dyDescent="0.25">
      <c r="A725" t="str">
        <f>"5459"</f>
        <v>5459</v>
      </c>
      <c r="B72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725" t="str">
        <f>""</f>
        <v/>
      </c>
      <c r="D725" t="str">
        <f>""</f>
        <v/>
      </c>
      <c r="E725" t="str">
        <f>""</f>
        <v/>
      </c>
      <c r="F725" s="1">
        <v>350875.73</v>
      </c>
    </row>
    <row r="726" spans="1:6" x14ac:dyDescent="0.25">
      <c r="A726" t="str">
        <f>"5464"</f>
        <v>5464</v>
      </c>
      <c r="B72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726" t="str">
        <f>""</f>
        <v/>
      </c>
      <c r="D726" t="str">
        <f>""</f>
        <v/>
      </c>
      <c r="E726" t="str">
        <f>""</f>
        <v/>
      </c>
      <c r="F726" s="1">
        <v>9715275774</v>
      </c>
    </row>
    <row r="727" spans="1:6" x14ac:dyDescent="0.25">
      <c r="A727" t="str">
        <f>"5465"</f>
        <v>5465</v>
      </c>
      <c r="B72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727" t="str">
        <f>""</f>
        <v/>
      </c>
      <c r="D727" t="str">
        <f>""</f>
        <v/>
      </c>
      <c r="E727" t="str">
        <f>""</f>
        <v/>
      </c>
      <c r="F727" s="1">
        <v>2748228864.0599999</v>
      </c>
    </row>
    <row r="728" spans="1:6" x14ac:dyDescent="0.25">
      <c r="A728" t="str">
        <f>"5510"</f>
        <v>5510</v>
      </c>
      <c r="B728" t="str">
        <f>"Расходы по купле-продаже ценных бумаг"</f>
        <v>Расходы по купле-продаже ценных бумаг</v>
      </c>
      <c r="C728" t="str">
        <f>""</f>
        <v/>
      </c>
      <c r="D728" t="str">
        <f>""</f>
        <v/>
      </c>
      <c r="E728" t="str">
        <f>""</f>
        <v/>
      </c>
      <c r="F728" s="1">
        <v>5449911469.3299999</v>
      </c>
    </row>
    <row r="729" spans="1:6" x14ac:dyDescent="0.25">
      <c r="A729" t="str">
        <f>"5530"</f>
        <v>5530</v>
      </c>
      <c r="B729" t="str">
        <f>"Расходы по купле-продаже иностранной валюты"</f>
        <v>Расходы по купле-продаже иностранной валюты</v>
      </c>
      <c r="C729" t="str">
        <f>""</f>
        <v/>
      </c>
      <c r="D729" t="str">
        <f>""</f>
        <v/>
      </c>
      <c r="E729" t="str">
        <f>""</f>
        <v/>
      </c>
      <c r="F729" s="1">
        <v>64266590094.230003</v>
      </c>
    </row>
    <row r="730" spans="1:6" x14ac:dyDescent="0.25">
      <c r="A730" t="str">
        <f>"5540"</f>
        <v>5540</v>
      </c>
      <c r="B73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730" t="str">
        <f>""</f>
        <v/>
      </c>
      <c r="D730" t="str">
        <f>""</f>
        <v/>
      </c>
      <c r="E730" t="str">
        <f>""</f>
        <v/>
      </c>
      <c r="F730" s="1">
        <v>120142.52</v>
      </c>
    </row>
    <row r="731" spans="1:6" x14ac:dyDescent="0.25">
      <c r="A731" t="str">
        <f>"5570"</f>
        <v>5570</v>
      </c>
      <c r="B73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731" t="str">
        <f>""</f>
        <v/>
      </c>
      <c r="D731" t="str">
        <f>""</f>
        <v/>
      </c>
      <c r="E731" t="str">
        <f>""</f>
        <v/>
      </c>
      <c r="F731" s="1">
        <v>0.08</v>
      </c>
    </row>
    <row r="732" spans="1:6" x14ac:dyDescent="0.25">
      <c r="A732" t="str">
        <f>"5593"</f>
        <v>5593</v>
      </c>
      <c r="B732" t="str">
        <f>"Расходы от переоценки операций своп"</f>
        <v>Расходы от переоценки операций своп</v>
      </c>
      <c r="C732" t="str">
        <f>""</f>
        <v/>
      </c>
      <c r="D732" t="str">
        <f>""</f>
        <v/>
      </c>
      <c r="E732" t="str">
        <f>""</f>
        <v/>
      </c>
      <c r="F732" s="1">
        <v>2267686465.9000001</v>
      </c>
    </row>
    <row r="733" spans="1:6" x14ac:dyDescent="0.25">
      <c r="A733" t="str">
        <f>"5601"</f>
        <v>5601</v>
      </c>
      <c r="B73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733" t="str">
        <f>""</f>
        <v/>
      </c>
      <c r="D733" t="str">
        <f>""</f>
        <v/>
      </c>
      <c r="E733" t="str">
        <f>""</f>
        <v/>
      </c>
      <c r="F733" s="1">
        <v>806419715.19000006</v>
      </c>
    </row>
    <row r="734" spans="1:6" x14ac:dyDescent="0.25">
      <c r="A734" t="str">
        <f>"5602"</f>
        <v>5602</v>
      </c>
      <c r="B734" t="str">
        <f>"Комиссионные расходы по полученным агентским услугам"</f>
        <v>Комиссионные расходы по полученным агентским услугам</v>
      </c>
      <c r="C734" t="str">
        <f>""</f>
        <v/>
      </c>
      <c r="D734" t="str">
        <f>""</f>
        <v/>
      </c>
      <c r="E734" t="str">
        <f>""</f>
        <v/>
      </c>
      <c r="F734" s="1">
        <v>4296703326.1899996</v>
      </c>
    </row>
    <row r="735" spans="1:6" x14ac:dyDescent="0.25">
      <c r="A735" t="str">
        <f>"5603"</f>
        <v>5603</v>
      </c>
      <c r="B73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735" t="str">
        <f>""</f>
        <v/>
      </c>
      <c r="D735" t="str">
        <f>""</f>
        <v/>
      </c>
      <c r="E735" t="str">
        <f>""</f>
        <v/>
      </c>
      <c r="F735" s="1">
        <v>37520366.18</v>
      </c>
    </row>
    <row r="736" spans="1:6" x14ac:dyDescent="0.25">
      <c r="A736" t="str">
        <f>"5604"</f>
        <v>5604</v>
      </c>
      <c r="B736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C736" t="str">
        <f>""</f>
        <v/>
      </c>
      <c r="D736" t="str">
        <f>""</f>
        <v/>
      </c>
      <c r="E736" t="str">
        <f>""</f>
        <v/>
      </c>
      <c r="F736" s="1">
        <v>17723344.850000001</v>
      </c>
    </row>
    <row r="737" spans="1:6" x14ac:dyDescent="0.25">
      <c r="A737" t="str">
        <f>"5607"</f>
        <v>5607</v>
      </c>
      <c r="B73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737" t="str">
        <f>""</f>
        <v/>
      </c>
      <c r="D737" t="str">
        <f>""</f>
        <v/>
      </c>
      <c r="E737" t="str">
        <f>""</f>
        <v/>
      </c>
      <c r="F737" s="1">
        <v>107032434.25</v>
      </c>
    </row>
    <row r="738" spans="1:6" x14ac:dyDescent="0.25">
      <c r="A738" t="str">
        <f>"5608"</f>
        <v>5608</v>
      </c>
      <c r="B738" t="str">
        <f>"Прочие комиссионные расходы"</f>
        <v>Прочие комиссионные расходы</v>
      </c>
      <c r="C738" t="str">
        <f>""</f>
        <v/>
      </c>
      <c r="D738" t="str">
        <f>""</f>
        <v/>
      </c>
      <c r="E738" t="str">
        <f>""</f>
        <v/>
      </c>
      <c r="F738" s="1">
        <v>9921336991.1599998</v>
      </c>
    </row>
    <row r="739" spans="1:6" x14ac:dyDescent="0.25">
      <c r="A739" t="str">
        <f>"5609"</f>
        <v>5609</v>
      </c>
      <c r="B73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739" t="str">
        <f>""</f>
        <v/>
      </c>
      <c r="D739" t="str">
        <f>""</f>
        <v/>
      </c>
      <c r="E739" t="str">
        <f>""</f>
        <v/>
      </c>
      <c r="F739" s="1">
        <v>190638048.84</v>
      </c>
    </row>
    <row r="740" spans="1:6" x14ac:dyDescent="0.25">
      <c r="A740" t="str">
        <f>"5703"</f>
        <v>5703</v>
      </c>
      <c r="B740" t="str">
        <f>"Расходы от переоценки иностранной валюты"</f>
        <v>Расходы от переоценки иностранной валюты</v>
      </c>
      <c r="C740" t="str">
        <f>""</f>
        <v/>
      </c>
      <c r="D740" t="str">
        <f>""</f>
        <v/>
      </c>
      <c r="E740" t="str">
        <f>""</f>
        <v/>
      </c>
      <c r="F740" s="1">
        <v>257784102162.91</v>
      </c>
    </row>
    <row r="741" spans="1:6" x14ac:dyDescent="0.25">
      <c r="A741" t="str">
        <f>"5704"</f>
        <v>5704</v>
      </c>
      <c r="B74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741" t="str">
        <f>""</f>
        <v/>
      </c>
      <c r="D741" t="str">
        <f>""</f>
        <v/>
      </c>
      <c r="E741" t="str">
        <f>""</f>
        <v/>
      </c>
      <c r="F741" s="1">
        <v>143578399.53</v>
      </c>
    </row>
    <row r="742" spans="1:6" x14ac:dyDescent="0.25">
      <c r="A742" t="str">
        <f>"5721"</f>
        <v>5721</v>
      </c>
      <c r="B742" t="str">
        <f>"Расходы по оплате труда"</f>
        <v>Расходы по оплате труда</v>
      </c>
      <c r="C742" t="str">
        <f>""</f>
        <v/>
      </c>
      <c r="D742" t="str">
        <f>""</f>
        <v/>
      </c>
      <c r="E742" t="str">
        <f>""</f>
        <v/>
      </c>
      <c r="F742" s="1">
        <v>22012553510.509998</v>
      </c>
    </row>
    <row r="743" spans="1:6" x14ac:dyDescent="0.25">
      <c r="A743" t="str">
        <f>"5722"</f>
        <v>5722</v>
      </c>
      <c r="B74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743" t="str">
        <f>""</f>
        <v/>
      </c>
      <c r="D743" t="str">
        <f>""</f>
        <v/>
      </c>
      <c r="E743" t="str">
        <f>""</f>
        <v/>
      </c>
      <c r="F743" s="1">
        <v>862347248</v>
      </c>
    </row>
    <row r="744" spans="1:6" x14ac:dyDescent="0.25">
      <c r="A744" t="str">
        <f>"5729"</f>
        <v>5729</v>
      </c>
      <c r="B744" t="str">
        <f>"Прочие выплаты"</f>
        <v>Прочие выплаты</v>
      </c>
      <c r="C744" t="str">
        <f>""</f>
        <v/>
      </c>
      <c r="D744" t="str">
        <f>""</f>
        <v/>
      </c>
      <c r="E744" t="str">
        <f>""</f>
        <v/>
      </c>
      <c r="F744" s="1">
        <v>816097457.82000005</v>
      </c>
    </row>
    <row r="745" spans="1:6" x14ac:dyDescent="0.25">
      <c r="A745" t="str">
        <f>"5733"</f>
        <v>5733</v>
      </c>
      <c r="B74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745" t="str">
        <f>""</f>
        <v/>
      </c>
      <c r="D745" t="str">
        <f>""</f>
        <v/>
      </c>
      <c r="E745" t="str">
        <f>""</f>
        <v/>
      </c>
      <c r="F745" s="1">
        <v>70517292.489999995</v>
      </c>
    </row>
    <row r="746" spans="1:6" x14ac:dyDescent="0.25">
      <c r="A746" t="str">
        <f>"5741"</f>
        <v>5741</v>
      </c>
      <c r="B746" t="str">
        <f>"Транспортные расходы"</f>
        <v>Транспортные расходы</v>
      </c>
      <c r="C746" t="str">
        <f>""</f>
        <v/>
      </c>
      <c r="D746" t="str">
        <f>""</f>
        <v/>
      </c>
      <c r="E746" t="str">
        <f>""</f>
        <v/>
      </c>
      <c r="F746" s="1">
        <v>48025521.060000002</v>
      </c>
    </row>
    <row r="747" spans="1:6" x14ac:dyDescent="0.25">
      <c r="A747" t="str">
        <f>"5742"</f>
        <v>5742</v>
      </c>
      <c r="B747" t="str">
        <f>"Административные расходы"</f>
        <v>Административные расходы</v>
      </c>
      <c r="C747" t="str">
        <f>""</f>
        <v/>
      </c>
      <c r="D747" t="str">
        <f>""</f>
        <v/>
      </c>
      <c r="E747" t="str">
        <f>""</f>
        <v/>
      </c>
      <c r="F747" s="1">
        <v>4600535029.5100002</v>
      </c>
    </row>
    <row r="748" spans="1:6" x14ac:dyDescent="0.25">
      <c r="A748" t="str">
        <f>"5743"</f>
        <v>5743</v>
      </c>
      <c r="B748" t="str">
        <f>"Расходы на инкассацию"</f>
        <v>Расходы на инкассацию</v>
      </c>
      <c r="C748" t="str">
        <f>""</f>
        <v/>
      </c>
      <c r="D748" t="str">
        <f>""</f>
        <v/>
      </c>
      <c r="E748" t="str">
        <f>""</f>
        <v/>
      </c>
      <c r="F748" s="1">
        <v>335068938.39999998</v>
      </c>
    </row>
    <row r="749" spans="1:6" x14ac:dyDescent="0.25">
      <c r="A749" t="str">
        <f>"5744"</f>
        <v>5744</v>
      </c>
      <c r="B749" t="str">
        <f>"Расходы на ремонт"</f>
        <v>Расходы на ремонт</v>
      </c>
      <c r="C749" t="str">
        <f>""</f>
        <v/>
      </c>
      <c r="D749" t="str">
        <f>""</f>
        <v/>
      </c>
      <c r="E749" t="str">
        <f>""</f>
        <v/>
      </c>
      <c r="F749" s="1">
        <v>288934137.42000002</v>
      </c>
    </row>
    <row r="750" spans="1:6" x14ac:dyDescent="0.25">
      <c r="A750" t="str">
        <f>"5745"</f>
        <v>5745</v>
      </c>
      <c r="B750" t="str">
        <f>"Расходы на рекламу"</f>
        <v>Расходы на рекламу</v>
      </c>
      <c r="C750" t="str">
        <f>""</f>
        <v/>
      </c>
      <c r="D750" t="str">
        <f>""</f>
        <v/>
      </c>
      <c r="E750" t="str">
        <f>""</f>
        <v/>
      </c>
      <c r="F750" s="1">
        <v>422863411.44999999</v>
      </c>
    </row>
    <row r="751" spans="1:6" x14ac:dyDescent="0.25">
      <c r="A751" t="str">
        <f>"5746"</f>
        <v>5746</v>
      </c>
      <c r="B751" t="str">
        <f>"Расходы на охрану и сигнализацию"</f>
        <v>Расходы на охрану и сигнализацию</v>
      </c>
      <c r="C751" t="str">
        <f>""</f>
        <v/>
      </c>
      <c r="D751" t="str">
        <f>""</f>
        <v/>
      </c>
      <c r="E751" t="str">
        <f>""</f>
        <v/>
      </c>
      <c r="F751" s="1">
        <v>1003160100.95</v>
      </c>
    </row>
    <row r="752" spans="1:6" x14ac:dyDescent="0.25">
      <c r="A752" t="str">
        <f>"5747"</f>
        <v>5747</v>
      </c>
      <c r="B752" t="str">
        <f>"Представительские расходы"</f>
        <v>Представительские расходы</v>
      </c>
      <c r="C752" t="str">
        <f>""</f>
        <v/>
      </c>
      <c r="D752" t="str">
        <f>""</f>
        <v/>
      </c>
      <c r="E752" t="str">
        <f>""</f>
        <v/>
      </c>
      <c r="F752" s="1">
        <v>1146193</v>
      </c>
    </row>
    <row r="753" spans="1:6" x14ac:dyDescent="0.25">
      <c r="A753" t="str">
        <f>"5748"</f>
        <v>5748</v>
      </c>
      <c r="B753" t="str">
        <f>"Прочие общехозяйственные расходы"</f>
        <v>Прочие общехозяйственные расходы</v>
      </c>
      <c r="C753" t="str">
        <f>""</f>
        <v/>
      </c>
      <c r="D753" t="str">
        <f>""</f>
        <v/>
      </c>
      <c r="E753" t="str">
        <f>""</f>
        <v/>
      </c>
      <c r="F753" s="1">
        <v>5103904.87</v>
      </c>
    </row>
    <row r="754" spans="1:6" x14ac:dyDescent="0.25">
      <c r="A754" t="str">
        <f>"5749"</f>
        <v>5749</v>
      </c>
      <c r="B754" t="str">
        <f>"Расходы на служебные командировки"</f>
        <v>Расходы на служебные командировки</v>
      </c>
      <c r="C754" t="str">
        <f>""</f>
        <v/>
      </c>
      <c r="D754" t="str">
        <f>""</f>
        <v/>
      </c>
      <c r="E754" t="str">
        <f>""</f>
        <v/>
      </c>
      <c r="F754" s="1">
        <v>241923164.13</v>
      </c>
    </row>
    <row r="755" spans="1:6" x14ac:dyDescent="0.25">
      <c r="A755" t="str">
        <f>"5750"</f>
        <v>5750</v>
      </c>
      <c r="B755" t="str">
        <f>"Расходы по аудиту и консультационным услугам"</f>
        <v>Расходы по аудиту и консультационным услугам</v>
      </c>
      <c r="C755" t="str">
        <f>""</f>
        <v/>
      </c>
      <c r="D755" t="str">
        <f>""</f>
        <v/>
      </c>
      <c r="E755" t="str">
        <f>""</f>
        <v/>
      </c>
      <c r="F755" s="1">
        <v>115347983</v>
      </c>
    </row>
    <row r="756" spans="1:6" x14ac:dyDescent="0.25">
      <c r="A756" t="str">
        <f>"5752"</f>
        <v>5752</v>
      </c>
      <c r="B756" t="str">
        <f>"Расходы по страхованию"</f>
        <v>Расходы по страхованию</v>
      </c>
      <c r="C756" t="str">
        <f>""</f>
        <v/>
      </c>
      <c r="D756" t="str">
        <f>""</f>
        <v/>
      </c>
      <c r="E756" t="str">
        <f>""</f>
        <v/>
      </c>
      <c r="F756" s="1">
        <v>54570678.299999997</v>
      </c>
    </row>
    <row r="757" spans="1:6" x14ac:dyDescent="0.25">
      <c r="A757" t="str">
        <f>"5753"</f>
        <v>5753</v>
      </c>
      <c r="B757" t="str">
        <f>"Расходы по услугам связи"</f>
        <v>Расходы по услугам связи</v>
      </c>
      <c r="C757" t="str">
        <f>""</f>
        <v/>
      </c>
      <c r="D757" t="str">
        <f>""</f>
        <v/>
      </c>
      <c r="E757" t="str">
        <f>""</f>
        <v/>
      </c>
      <c r="F757" s="1">
        <v>1172364073.1099999</v>
      </c>
    </row>
    <row r="758" spans="1:6" x14ac:dyDescent="0.25">
      <c r="A758" t="str">
        <f>"5754"</f>
        <v>5754</v>
      </c>
      <c r="B75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58" t="str">
        <f>""</f>
        <v/>
      </c>
      <c r="D758" t="str">
        <f>""</f>
        <v/>
      </c>
      <c r="E758" t="str">
        <f>""</f>
        <v/>
      </c>
      <c r="F758" s="1">
        <v>1885466512.45</v>
      </c>
    </row>
    <row r="759" spans="1:6" x14ac:dyDescent="0.25">
      <c r="A759" t="str">
        <f>"5761"</f>
        <v>5761</v>
      </c>
      <c r="B759" t="str">
        <f>"Налог на добавленную стоимость"</f>
        <v>Налог на добавленную стоимость</v>
      </c>
      <c r="C759" t="str">
        <f>""</f>
        <v/>
      </c>
      <c r="D759" t="str">
        <f>""</f>
        <v/>
      </c>
      <c r="E759" t="str">
        <f>""</f>
        <v/>
      </c>
      <c r="F759" s="1">
        <v>1247482503.53</v>
      </c>
    </row>
    <row r="760" spans="1:6" x14ac:dyDescent="0.25">
      <c r="A760" t="str">
        <f>"5763"</f>
        <v>5763</v>
      </c>
      <c r="B760" t="str">
        <f>"Социальный налог"</f>
        <v>Социальный налог</v>
      </c>
      <c r="C760" t="str">
        <f>""</f>
        <v/>
      </c>
      <c r="D760" t="str">
        <f>""</f>
        <v/>
      </c>
      <c r="E760" t="str">
        <f>""</f>
        <v/>
      </c>
      <c r="F760" s="1">
        <v>1789314952.73</v>
      </c>
    </row>
    <row r="761" spans="1:6" x14ac:dyDescent="0.25">
      <c r="A761" t="str">
        <f>"5764"</f>
        <v>5764</v>
      </c>
      <c r="B761" t="str">
        <f>"Земельный налог"</f>
        <v>Земельный налог</v>
      </c>
      <c r="C761" t="str">
        <f>""</f>
        <v/>
      </c>
      <c r="D761" t="str">
        <f>""</f>
        <v/>
      </c>
      <c r="E761" t="str">
        <f>""</f>
        <v/>
      </c>
      <c r="F761" s="1">
        <v>1918574.56</v>
      </c>
    </row>
    <row r="762" spans="1:6" x14ac:dyDescent="0.25">
      <c r="A762" t="str">
        <f>"5765"</f>
        <v>5765</v>
      </c>
      <c r="B762" t="str">
        <f>"Налог на имущество юридических лиц"</f>
        <v>Налог на имущество юридических лиц</v>
      </c>
      <c r="C762" t="str">
        <f>""</f>
        <v/>
      </c>
      <c r="D762" t="str">
        <f>""</f>
        <v/>
      </c>
      <c r="E762" t="str">
        <f>""</f>
        <v/>
      </c>
      <c r="F762" s="1">
        <v>117404277.84</v>
      </c>
    </row>
    <row r="763" spans="1:6" x14ac:dyDescent="0.25">
      <c r="A763" t="str">
        <f>"5766"</f>
        <v>5766</v>
      </c>
      <c r="B763" t="str">
        <f>"Налог на транспортные средства"</f>
        <v>Налог на транспортные средства</v>
      </c>
      <c r="C763" t="str">
        <f>""</f>
        <v/>
      </c>
      <c r="D763" t="str">
        <f>""</f>
        <v/>
      </c>
      <c r="E763" t="str">
        <f>""</f>
        <v/>
      </c>
      <c r="F763" s="1">
        <v>3743540.58</v>
      </c>
    </row>
    <row r="764" spans="1:6" x14ac:dyDescent="0.25">
      <c r="A764" t="str">
        <f>"5768"</f>
        <v>5768</v>
      </c>
      <c r="B764" t="str">
        <f>"Прочие налоги и обязательные платежи в бюджет"</f>
        <v>Прочие налоги и обязательные платежи в бюджет</v>
      </c>
      <c r="C764" t="str">
        <f>""</f>
        <v/>
      </c>
      <c r="D764" t="str">
        <f>""</f>
        <v/>
      </c>
      <c r="E764" t="str">
        <f>""</f>
        <v/>
      </c>
      <c r="F764" s="1">
        <v>12751793.35</v>
      </c>
    </row>
    <row r="765" spans="1:6" x14ac:dyDescent="0.25">
      <c r="A765" t="str">
        <f>"5781"</f>
        <v>5781</v>
      </c>
      <c r="B765" t="str">
        <f>"Расходы по амортизации зданий и сооружений"</f>
        <v>Расходы по амортизации зданий и сооружений</v>
      </c>
      <c r="C765" t="str">
        <f>""</f>
        <v/>
      </c>
      <c r="D765" t="str">
        <f>""</f>
        <v/>
      </c>
      <c r="E765" t="str">
        <f>""</f>
        <v/>
      </c>
      <c r="F765" s="1">
        <v>111530016</v>
      </c>
    </row>
    <row r="766" spans="1:6" x14ac:dyDescent="0.25">
      <c r="A766" t="str">
        <f>"5782"</f>
        <v>5782</v>
      </c>
      <c r="B766" t="str">
        <f>"Расходы по амортизации компьютерного оборудования"</f>
        <v>Расходы по амортизации компьютерного оборудования</v>
      </c>
      <c r="C766" t="str">
        <f>""</f>
        <v/>
      </c>
      <c r="D766" t="str">
        <f>""</f>
        <v/>
      </c>
      <c r="E766" t="str">
        <f>""</f>
        <v/>
      </c>
      <c r="F766" s="1">
        <v>589554630</v>
      </c>
    </row>
    <row r="767" spans="1:6" x14ac:dyDescent="0.25">
      <c r="A767" t="str">
        <f>"5783"</f>
        <v>5783</v>
      </c>
      <c r="B767" t="str">
        <f>"Расходы по амортизации прочих основных средств"</f>
        <v>Расходы по амортизации прочих основных средств</v>
      </c>
      <c r="C767" t="str">
        <f>""</f>
        <v/>
      </c>
      <c r="D767" t="str">
        <f>""</f>
        <v/>
      </c>
      <c r="E767" t="str">
        <f>""</f>
        <v/>
      </c>
      <c r="F767" s="1">
        <v>491055176.56</v>
      </c>
    </row>
    <row r="768" spans="1:6" x14ac:dyDescent="0.25">
      <c r="A768" t="str">
        <f>"5784"</f>
        <v>5784</v>
      </c>
      <c r="B768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68" t="str">
        <f>""</f>
        <v/>
      </c>
      <c r="D768" t="str">
        <f>""</f>
        <v/>
      </c>
      <c r="E768" t="str">
        <f>""</f>
        <v/>
      </c>
      <c r="F768" s="1">
        <v>992042626.88999999</v>
      </c>
    </row>
    <row r="769" spans="1:6" x14ac:dyDescent="0.25">
      <c r="A769" t="str">
        <f>"5786"</f>
        <v>5786</v>
      </c>
      <c r="B76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69" t="str">
        <f>""</f>
        <v/>
      </c>
      <c r="D769" t="str">
        <f>""</f>
        <v/>
      </c>
      <c r="E769" t="str">
        <f>""</f>
        <v/>
      </c>
      <c r="F769" s="1">
        <v>73377</v>
      </c>
    </row>
    <row r="770" spans="1:6" x14ac:dyDescent="0.25">
      <c r="A770" t="str">
        <f>"5787"</f>
        <v>5787</v>
      </c>
      <c r="B770" t="str">
        <f>"Расходы по амортизации транспортных средств"</f>
        <v>Расходы по амортизации транспортных средств</v>
      </c>
      <c r="C770" t="str">
        <f>""</f>
        <v/>
      </c>
      <c r="D770" t="str">
        <f>""</f>
        <v/>
      </c>
      <c r="E770" t="str">
        <f>""</f>
        <v/>
      </c>
      <c r="F770" s="1">
        <v>55452931</v>
      </c>
    </row>
    <row r="771" spans="1:6" x14ac:dyDescent="0.25">
      <c r="A771" t="str">
        <f>"5788"</f>
        <v>5788</v>
      </c>
      <c r="B771" t="str">
        <f>"Расходы по амортизации нематериальных активов"</f>
        <v>Расходы по амортизации нематериальных активов</v>
      </c>
      <c r="C771" t="str">
        <f>""</f>
        <v/>
      </c>
      <c r="D771" t="str">
        <f>""</f>
        <v/>
      </c>
      <c r="E771" t="str">
        <f>""</f>
        <v/>
      </c>
      <c r="F771" s="1">
        <v>1117863830.3</v>
      </c>
    </row>
    <row r="772" spans="1:6" x14ac:dyDescent="0.25">
      <c r="A772" t="str">
        <f>"5854"</f>
        <v>5854</v>
      </c>
      <c r="B772" t="str">
        <f>"Расходы от реализации запасов"</f>
        <v>Расходы от реализации запасов</v>
      </c>
      <c r="C772" t="str">
        <f>""</f>
        <v/>
      </c>
      <c r="D772" t="str">
        <f>""</f>
        <v/>
      </c>
      <c r="E772" t="str">
        <f>""</f>
        <v/>
      </c>
      <c r="F772" s="1">
        <v>612782.13</v>
      </c>
    </row>
    <row r="773" spans="1:6" x14ac:dyDescent="0.25">
      <c r="A773" t="str">
        <f>"5857"</f>
        <v>5857</v>
      </c>
      <c r="B773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C773" t="str">
        <f>""</f>
        <v/>
      </c>
      <c r="D773" t="str">
        <f>""</f>
        <v/>
      </c>
      <c r="E773" t="str">
        <f>""</f>
        <v/>
      </c>
      <c r="F773" s="1">
        <v>4809000</v>
      </c>
    </row>
    <row r="774" spans="1:6" x14ac:dyDescent="0.25">
      <c r="A774" t="str">
        <f>"5892"</f>
        <v>5892</v>
      </c>
      <c r="B774" t="str">
        <f>"Расходы по операциям форвард"</f>
        <v>Расходы по операциям форвард</v>
      </c>
      <c r="C774" t="str">
        <f>""</f>
        <v/>
      </c>
      <c r="D774" t="str">
        <f>""</f>
        <v/>
      </c>
      <c r="E774" t="str">
        <f>""</f>
        <v/>
      </c>
      <c r="F774" s="1">
        <v>554764529.46000004</v>
      </c>
    </row>
    <row r="775" spans="1:6" x14ac:dyDescent="0.25">
      <c r="A775" t="str">
        <f>"5895"</f>
        <v>5895</v>
      </c>
      <c r="B775" t="str">
        <f>"Расходы по операциям своп"</f>
        <v>Расходы по операциям своп</v>
      </c>
      <c r="C775" t="str">
        <f>""</f>
        <v/>
      </c>
      <c r="D775" t="str">
        <f>""</f>
        <v/>
      </c>
      <c r="E775" t="str">
        <f>""</f>
        <v/>
      </c>
      <c r="F775" s="1">
        <v>25588906170.310001</v>
      </c>
    </row>
    <row r="776" spans="1:6" x14ac:dyDescent="0.25">
      <c r="A776" t="str">
        <f>"5900"</f>
        <v>5900</v>
      </c>
      <c r="B776" t="str">
        <f>"Неустойка (штраф, пеня)"</f>
        <v>Неустойка (штраф, пеня)</v>
      </c>
      <c r="C776" t="str">
        <f>""</f>
        <v/>
      </c>
      <c r="D776" t="str">
        <f>""</f>
        <v/>
      </c>
      <c r="E776" t="str">
        <f>""</f>
        <v/>
      </c>
      <c r="F776" s="1">
        <v>26093314.920000002</v>
      </c>
    </row>
    <row r="777" spans="1:6" x14ac:dyDescent="0.25">
      <c r="A777" t="str">
        <f>"5921"</f>
        <v>5921</v>
      </c>
      <c r="B777" t="str">
        <f>"Прочие расходы от банковской деятельности"</f>
        <v>Прочие расходы от банковской деятельности</v>
      </c>
      <c r="C777" t="str">
        <f>""</f>
        <v/>
      </c>
      <c r="D777" t="str">
        <f>""</f>
        <v/>
      </c>
      <c r="E777" t="str">
        <f>""</f>
        <v/>
      </c>
      <c r="F777" s="1">
        <v>4541986732.5699997</v>
      </c>
    </row>
    <row r="778" spans="1:6" x14ac:dyDescent="0.25">
      <c r="A778" t="str">
        <f>"5922"</f>
        <v>5922</v>
      </c>
      <c r="B778" t="str">
        <f>"Прочие расходы от неосновной деятельности"</f>
        <v>Прочие расходы от неосновной деятельности</v>
      </c>
      <c r="C778" t="str">
        <f>""</f>
        <v/>
      </c>
      <c r="D778" t="str">
        <f>""</f>
        <v/>
      </c>
      <c r="E778" t="str">
        <f>""</f>
        <v/>
      </c>
      <c r="F778" s="1">
        <v>64789775.359999999</v>
      </c>
    </row>
    <row r="779" spans="1:6" x14ac:dyDescent="0.25">
      <c r="A779" t="str">
        <f>"5923"</f>
        <v>5923</v>
      </c>
      <c r="B779" t="str">
        <f>"Расходы по аренде"</f>
        <v>Расходы по аренде</v>
      </c>
      <c r="C779" t="str">
        <f>""</f>
        <v/>
      </c>
      <c r="D779" t="str">
        <f>""</f>
        <v/>
      </c>
      <c r="E779" t="str">
        <f>""</f>
        <v/>
      </c>
      <c r="F779" s="1">
        <v>390938688.94</v>
      </c>
    </row>
    <row r="780" spans="1:6" x14ac:dyDescent="0.25">
      <c r="A780" t="str">
        <f>"5999"</f>
        <v>5999</v>
      </c>
      <c r="B780" t="str">
        <f>"Корпоративный подоходный налог"</f>
        <v>Корпоративный подоходный налог</v>
      </c>
      <c r="C780" t="str">
        <f>""</f>
        <v/>
      </c>
      <c r="D780" t="str">
        <f>""</f>
        <v/>
      </c>
      <c r="E780" t="str">
        <f>""</f>
        <v/>
      </c>
      <c r="F780" s="1">
        <v>17710191311</v>
      </c>
    </row>
    <row r="781" spans="1:6" x14ac:dyDescent="0.25">
      <c r="A781" t="str">
        <f>"6020"</f>
        <v>6020</v>
      </c>
      <c r="B78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81" t="str">
        <f>""</f>
        <v/>
      </c>
      <c r="D781" t="str">
        <f>""</f>
        <v/>
      </c>
      <c r="E781" t="str">
        <f>""</f>
        <v/>
      </c>
      <c r="F781" s="1">
        <v>198886450</v>
      </c>
    </row>
    <row r="782" spans="1:6" x14ac:dyDescent="0.25">
      <c r="A782" t="str">
        <f>"6055"</f>
        <v>6055</v>
      </c>
      <c r="B78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82" t="str">
        <f>""</f>
        <v/>
      </c>
      <c r="D782" t="str">
        <f>""</f>
        <v/>
      </c>
      <c r="E782" t="str">
        <f>""</f>
        <v/>
      </c>
      <c r="F782" s="1">
        <v>48637880477.589996</v>
      </c>
    </row>
    <row r="783" spans="1:6" x14ac:dyDescent="0.25">
      <c r="A783" t="str">
        <f>"6075"</f>
        <v>6075</v>
      </c>
      <c r="B783" t="str">
        <f>"Возможные требования по принятым гарантиям"</f>
        <v>Возможные требования по принятым гарантиям</v>
      </c>
      <c r="C783" t="str">
        <f>""</f>
        <v/>
      </c>
      <c r="D783" t="str">
        <f>""</f>
        <v/>
      </c>
      <c r="E783" t="str">
        <f>""</f>
        <v/>
      </c>
      <c r="F783" s="1">
        <v>3225594485260.8599</v>
      </c>
    </row>
    <row r="784" spans="1:6" x14ac:dyDescent="0.25">
      <c r="A784" t="str">
        <f>"6125"</f>
        <v>6125</v>
      </c>
      <c r="B78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84" t="str">
        <f>""</f>
        <v/>
      </c>
      <c r="D784" t="str">
        <f>""</f>
        <v/>
      </c>
      <c r="E784" t="str">
        <f>""</f>
        <v/>
      </c>
      <c r="F784" s="1">
        <v>441450590</v>
      </c>
    </row>
    <row r="785" spans="1:6" x14ac:dyDescent="0.25">
      <c r="A785" t="str">
        <f>"6126"</f>
        <v>6126</v>
      </c>
      <c r="B78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85" t="str">
        <f>""</f>
        <v/>
      </c>
      <c r="D785" t="str">
        <f>""</f>
        <v/>
      </c>
      <c r="E785" t="str">
        <f>""</f>
        <v/>
      </c>
      <c r="F785" s="1">
        <v>180028130450.34</v>
      </c>
    </row>
    <row r="786" spans="1:6" x14ac:dyDescent="0.25">
      <c r="A786" t="str">
        <f>"6130"</f>
        <v>6130</v>
      </c>
      <c r="B786" t="str">
        <f>"Неподвижные вклады клиентов"</f>
        <v>Неподвижные вклады клиентов</v>
      </c>
      <c r="C786" t="str">
        <f>""</f>
        <v/>
      </c>
      <c r="D786" t="str">
        <f>""</f>
        <v/>
      </c>
      <c r="E786" t="str">
        <f>""</f>
        <v/>
      </c>
      <c r="F786" s="1">
        <v>41749113.640000001</v>
      </c>
    </row>
    <row r="787" spans="1:6" x14ac:dyDescent="0.25">
      <c r="A787" t="str">
        <f>"6155"</f>
        <v>6155</v>
      </c>
      <c r="B787" t="str">
        <f>"Условные требования по получению вкладов в будущем"</f>
        <v>Условные требования по получению вкладов в будущем</v>
      </c>
      <c r="C787" t="str">
        <f>""</f>
        <v/>
      </c>
      <c r="D787" t="str">
        <f>""</f>
        <v/>
      </c>
      <c r="E787" t="str">
        <f>""</f>
        <v/>
      </c>
      <c r="F787" s="1">
        <v>8486960418.2799997</v>
      </c>
    </row>
    <row r="788" spans="1:6" x14ac:dyDescent="0.25">
      <c r="A788" t="str">
        <f>"6175"</f>
        <v>6175</v>
      </c>
      <c r="B788" t="str">
        <f>"Условные требования по получению займов в будущем"</f>
        <v>Условные требования по получению займов в будущем</v>
      </c>
      <c r="C788" t="str">
        <f>""</f>
        <v/>
      </c>
      <c r="D788" t="str">
        <f>""</f>
        <v/>
      </c>
      <c r="E788" t="str">
        <f>""</f>
        <v/>
      </c>
      <c r="F788" s="1">
        <v>68209995</v>
      </c>
    </row>
    <row r="789" spans="1:6" x14ac:dyDescent="0.25">
      <c r="A789" t="str">
        <f>"6177"</f>
        <v>6177</v>
      </c>
      <c r="B789" t="str">
        <f>"Условные требования по предоставленным займам"</f>
        <v>Условные требования по предоставленным займам</v>
      </c>
      <c r="C789" t="str">
        <f>""</f>
        <v/>
      </c>
      <c r="D789" t="str">
        <f>""</f>
        <v/>
      </c>
      <c r="E789" t="str">
        <f>""</f>
        <v/>
      </c>
      <c r="F789" s="1">
        <v>4122943.99</v>
      </c>
    </row>
    <row r="790" spans="1:6" x14ac:dyDescent="0.25">
      <c r="A790" t="str">
        <f>"6205"</f>
        <v>6205</v>
      </c>
      <c r="B790" t="str">
        <f>"Условные требования по покупке ценных бумаг"</f>
        <v>Условные требования по покупке ценных бумаг</v>
      </c>
      <c r="C790" t="str">
        <f>""</f>
        <v/>
      </c>
      <c r="D790" t="str">
        <f>""</f>
        <v/>
      </c>
      <c r="E790" t="str">
        <f>""</f>
        <v/>
      </c>
      <c r="F790" s="1">
        <v>1748845020.6600001</v>
      </c>
    </row>
    <row r="791" spans="1:6" x14ac:dyDescent="0.25">
      <c r="A791" t="str">
        <f>"6405"</f>
        <v>6405</v>
      </c>
      <c r="B791" t="str">
        <f>"Условные требования по купле-продаже иностранной валюты"</f>
        <v>Условные требования по купле-продаже иностранной валюты</v>
      </c>
      <c r="C791" t="str">
        <f>""</f>
        <v/>
      </c>
      <c r="D791" t="str">
        <f>""</f>
        <v/>
      </c>
      <c r="E791" t="str">
        <f>""</f>
        <v/>
      </c>
      <c r="F791" s="1">
        <v>114394922250</v>
      </c>
    </row>
    <row r="792" spans="1:6" x14ac:dyDescent="0.25">
      <c r="A792" t="str">
        <f>"6520"</f>
        <v>6520</v>
      </c>
      <c r="B792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92" t="str">
        <f>""</f>
        <v/>
      </c>
      <c r="D792" t="str">
        <f>""</f>
        <v/>
      </c>
      <c r="E792" t="str">
        <f>""</f>
        <v/>
      </c>
      <c r="F792" s="1">
        <v>198886450</v>
      </c>
    </row>
    <row r="793" spans="1:6" x14ac:dyDescent="0.25">
      <c r="A793" t="str">
        <f>"6555"</f>
        <v>6555</v>
      </c>
      <c r="B79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93" t="str">
        <f>""</f>
        <v/>
      </c>
      <c r="D793" t="str">
        <f>""</f>
        <v/>
      </c>
      <c r="E793" t="str">
        <f>""</f>
        <v/>
      </c>
      <c r="F793" s="1">
        <v>48637880477.589996</v>
      </c>
    </row>
    <row r="794" spans="1:6" x14ac:dyDescent="0.25">
      <c r="A794" t="str">
        <f>"6575"</f>
        <v>6575</v>
      </c>
      <c r="B794" t="str">
        <f>"Возможное уменьшение требований по принятым гарантиям"</f>
        <v>Возможное уменьшение требований по принятым гарантиям</v>
      </c>
      <c r="C794" t="str">
        <f>""</f>
        <v/>
      </c>
      <c r="D794" t="str">
        <f>""</f>
        <v/>
      </c>
      <c r="E794" t="str">
        <f>""</f>
        <v/>
      </c>
      <c r="F794" s="1">
        <v>3225594485260.8599</v>
      </c>
    </row>
    <row r="795" spans="1:6" x14ac:dyDescent="0.25">
      <c r="A795" t="str">
        <f>"6625"</f>
        <v>6625</v>
      </c>
      <c r="B795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95" t="str">
        <f>""</f>
        <v/>
      </c>
      <c r="D795" t="str">
        <f>""</f>
        <v/>
      </c>
      <c r="E795" t="str">
        <f>""</f>
        <v/>
      </c>
      <c r="F795" s="1">
        <v>441450590</v>
      </c>
    </row>
    <row r="796" spans="1:6" x14ac:dyDescent="0.25">
      <c r="A796" t="str">
        <f>"6626"</f>
        <v>6626</v>
      </c>
      <c r="B796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96" t="str">
        <f>""</f>
        <v/>
      </c>
      <c r="D796" t="str">
        <f>""</f>
        <v/>
      </c>
      <c r="E796" t="str">
        <f>""</f>
        <v/>
      </c>
      <c r="F796" s="1">
        <v>180028130450.34</v>
      </c>
    </row>
    <row r="797" spans="1:6" x14ac:dyDescent="0.25">
      <c r="A797" t="str">
        <f>"6630"</f>
        <v>6630</v>
      </c>
      <c r="B797" t="str">
        <f>"Обязательства по неподвижным вкладам клиентов"</f>
        <v>Обязательства по неподвижным вкладам клиентов</v>
      </c>
      <c r="C797" t="str">
        <f>""</f>
        <v/>
      </c>
      <c r="D797" t="str">
        <f>""</f>
        <v/>
      </c>
      <c r="E797" t="str">
        <f>""</f>
        <v/>
      </c>
      <c r="F797" s="1">
        <v>41749113.640000001</v>
      </c>
    </row>
    <row r="798" spans="1:6" x14ac:dyDescent="0.25">
      <c r="A798" t="str">
        <f>"6655"</f>
        <v>6655</v>
      </c>
      <c r="B798" t="str">
        <f>"Будущие обязательства по получаемым вкладам"</f>
        <v>Будущие обязательства по получаемым вкладам</v>
      </c>
      <c r="C798" t="str">
        <f>""</f>
        <v/>
      </c>
      <c r="D798" t="str">
        <f>""</f>
        <v/>
      </c>
      <c r="E798" t="str">
        <f>""</f>
        <v/>
      </c>
      <c r="F798" s="1">
        <v>8486960418.2799997</v>
      </c>
    </row>
    <row r="799" spans="1:6" x14ac:dyDescent="0.25">
      <c r="A799" t="str">
        <f>"6675"</f>
        <v>6675</v>
      </c>
      <c r="B799" t="str">
        <f>"Будущие обязательства по получаемым займам"</f>
        <v>Будущие обязательства по получаемым займам</v>
      </c>
      <c r="C799" t="str">
        <f>""</f>
        <v/>
      </c>
      <c r="D799" t="str">
        <f>""</f>
        <v/>
      </c>
      <c r="E799" t="str">
        <f>""</f>
        <v/>
      </c>
      <c r="F799" s="1">
        <v>68209995</v>
      </c>
    </row>
    <row r="800" spans="1:6" x14ac:dyDescent="0.25">
      <c r="A800" t="str">
        <f>"6677"</f>
        <v>6677</v>
      </c>
      <c r="B800" t="str">
        <f>"Условные обязательства по предоставленным займам"</f>
        <v>Условные обязательства по предоставленным займам</v>
      </c>
      <c r="C800" t="str">
        <f>""</f>
        <v/>
      </c>
      <c r="D800" t="str">
        <f>""</f>
        <v/>
      </c>
      <c r="E800" t="str">
        <f>""</f>
        <v/>
      </c>
      <c r="F800" s="1">
        <v>4122943.99</v>
      </c>
    </row>
    <row r="801" spans="1:6" x14ac:dyDescent="0.25">
      <c r="A801" t="str">
        <f>"6705"</f>
        <v>6705</v>
      </c>
      <c r="B801" t="str">
        <f>"Условные обязательства по покупке ценных бумаг"</f>
        <v>Условные обязательства по покупке ценных бумаг</v>
      </c>
      <c r="C801" t="str">
        <f>""</f>
        <v/>
      </c>
      <c r="D801" t="str">
        <f>""</f>
        <v/>
      </c>
      <c r="E801" t="str">
        <f>""</f>
        <v/>
      </c>
      <c r="F801" s="1">
        <v>1748845020.6600001</v>
      </c>
    </row>
    <row r="802" spans="1:6" x14ac:dyDescent="0.25">
      <c r="A802" t="str">
        <f>"6905"</f>
        <v>6905</v>
      </c>
      <c r="B80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802" t="str">
        <f>""</f>
        <v/>
      </c>
      <c r="D802" t="str">
        <f>""</f>
        <v/>
      </c>
      <c r="E802" t="str">
        <f>""</f>
        <v/>
      </c>
      <c r="F802" s="1">
        <v>113708632700</v>
      </c>
    </row>
    <row r="803" spans="1:6" x14ac:dyDescent="0.25">
      <c r="A803" t="str">
        <f>"6999"</f>
        <v>6999</v>
      </c>
      <c r="B803" t="str">
        <f>"Позиция по сделкам с иностранной валютой"</f>
        <v>Позиция по сделкам с иностранной валютой</v>
      </c>
      <c r="C803" t="str">
        <f>""</f>
        <v/>
      </c>
      <c r="D803" t="str">
        <f>""</f>
        <v/>
      </c>
      <c r="E803" t="str">
        <f>""</f>
        <v/>
      </c>
      <c r="F803" s="1">
        <v>686289550</v>
      </c>
    </row>
    <row r="804" spans="1:6" x14ac:dyDescent="0.25">
      <c r="A804" t="str">
        <f>"7150"</f>
        <v>7150</v>
      </c>
      <c r="B804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804" t="str">
        <f>""</f>
        <v/>
      </c>
      <c r="D804" t="str">
        <f>""</f>
        <v/>
      </c>
      <c r="E804" t="str">
        <f>""</f>
        <v/>
      </c>
      <c r="F804" s="1">
        <v>1307037.58</v>
      </c>
    </row>
    <row r="805" spans="1:6" x14ac:dyDescent="0.25">
      <c r="A805" t="str">
        <f>"7160"</f>
        <v>7160</v>
      </c>
      <c r="B805" t="str">
        <f>"Имущество, переданное в обеспечение (залог) обязательств"</f>
        <v>Имущество, переданное в обеспечение (залог) обязательств</v>
      </c>
      <c r="C805" t="str">
        <f>""</f>
        <v/>
      </c>
      <c r="D805" t="str">
        <f>""</f>
        <v/>
      </c>
      <c r="E805" t="str">
        <f>""</f>
        <v/>
      </c>
      <c r="F805" s="1">
        <v>10799140135</v>
      </c>
    </row>
    <row r="806" spans="1:6" x14ac:dyDescent="0.25">
      <c r="A806" t="str">
        <f>"7220"</f>
        <v>7220</v>
      </c>
      <c r="B806" t="str">
        <f>"Арендованные активы"</f>
        <v>Арендованные активы</v>
      </c>
      <c r="C806" t="str">
        <f>""</f>
        <v/>
      </c>
      <c r="D806" t="str">
        <f>""</f>
        <v/>
      </c>
      <c r="E806" t="str">
        <f>""</f>
        <v/>
      </c>
      <c r="F806" s="1">
        <v>382471485.10000002</v>
      </c>
    </row>
    <row r="807" spans="1:6" x14ac:dyDescent="0.25">
      <c r="A807" t="str">
        <f>"7240"</f>
        <v>7240</v>
      </c>
      <c r="B807" t="str">
        <f>"Документы и ценности, принятые на инкассо"</f>
        <v>Документы и ценности, принятые на инкассо</v>
      </c>
      <c r="C807" t="str">
        <f>""</f>
        <v/>
      </c>
      <c r="D807" t="str">
        <f>""</f>
        <v/>
      </c>
      <c r="E807" t="str">
        <f>""</f>
        <v/>
      </c>
      <c r="F807" s="1">
        <v>32744556</v>
      </c>
    </row>
    <row r="808" spans="1:6" x14ac:dyDescent="0.25">
      <c r="A808" t="str">
        <f>"7250"</f>
        <v>7250</v>
      </c>
      <c r="B80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808" t="str">
        <f>""</f>
        <v/>
      </c>
      <c r="D808" t="str">
        <f>""</f>
        <v/>
      </c>
      <c r="E808" t="str">
        <f>""</f>
        <v/>
      </c>
      <c r="F808" s="1">
        <v>1088832052481.83</v>
      </c>
    </row>
    <row r="809" spans="1:6" x14ac:dyDescent="0.25">
      <c r="A809" t="str">
        <f>"7303"</f>
        <v>7303</v>
      </c>
      <c r="B809" t="str">
        <f>"Платежные документы, не оплаченные в срок"</f>
        <v>Платежные документы, не оплаченные в срок</v>
      </c>
      <c r="C809" t="str">
        <f>""</f>
        <v/>
      </c>
      <c r="D809" t="str">
        <f>""</f>
        <v/>
      </c>
      <c r="E809" t="str">
        <f>""</f>
        <v/>
      </c>
      <c r="F809" s="1">
        <v>961775341246.92004</v>
      </c>
    </row>
    <row r="810" spans="1:6" x14ac:dyDescent="0.25">
      <c r="A810" t="str">
        <f>"7339"</f>
        <v>7339</v>
      </c>
      <c r="B810" t="str">
        <f>"Разные ценности и документы"</f>
        <v>Разные ценности и документы</v>
      </c>
      <c r="C810" t="str">
        <f>""</f>
        <v/>
      </c>
      <c r="D810" t="str">
        <f>""</f>
        <v/>
      </c>
      <c r="E810" t="str">
        <f>""</f>
        <v/>
      </c>
      <c r="F810" s="1">
        <v>150235</v>
      </c>
    </row>
    <row r="811" spans="1:6" x14ac:dyDescent="0.25">
      <c r="A811" t="str">
        <f>"7342"</f>
        <v>7342</v>
      </c>
      <c r="B8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811" t="str">
        <f>""</f>
        <v/>
      </c>
      <c r="D811" t="str">
        <f>""</f>
        <v/>
      </c>
      <c r="E811" t="str">
        <f>""</f>
        <v/>
      </c>
      <c r="F811" s="1">
        <v>1863396</v>
      </c>
    </row>
    <row r="812" spans="1:6" x14ac:dyDescent="0.25">
      <c r="A812" t="str">
        <f>"7363"</f>
        <v>7363</v>
      </c>
      <c r="B812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812" t="str">
        <f>""</f>
        <v/>
      </c>
      <c r="D812" t="str">
        <f>""</f>
        <v/>
      </c>
      <c r="E812" t="str">
        <f>""</f>
        <v/>
      </c>
      <c r="F812" s="1">
        <v>364673982001.56</v>
      </c>
    </row>
    <row r="813" spans="1:6" x14ac:dyDescent="0.25">
      <c r="A813" t="str">
        <f>"7535"</f>
        <v>7535</v>
      </c>
      <c r="B813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813" t="str">
        <f>""</f>
        <v/>
      </c>
      <c r="D813" t="str">
        <f>""</f>
        <v/>
      </c>
      <c r="E813" t="str">
        <f>""</f>
        <v/>
      </c>
      <c r="F813" s="1">
        <v>3235233326.1199999</v>
      </c>
    </row>
    <row r="814" spans="1:6" x14ac:dyDescent="0.25">
      <c r="A814" t="str">
        <f>"7536"</f>
        <v>7536</v>
      </c>
      <c r="B814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814" t="str">
        <f>""</f>
        <v/>
      </c>
      <c r="D814" t="str">
        <f>""</f>
        <v/>
      </c>
      <c r="E814" t="str">
        <f>""</f>
        <v/>
      </c>
      <c r="F814" s="1">
        <v>616709.62</v>
      </c>
    </row>
    <row r="815" spans="1:6" x14ac:dyDescent="0.25">
      <c r="A815" t="str">
        <f>"7542"</f>
        <v>7542</v>
      </c>
      <c r="B815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815" t="str">
        <f>""</f>
        <v/>
      </c>
      <c r="D815" t="str">
        <f>""</f>
        <v/>
      </c>
      <c r="E815" t="str">
        <f>""</f>
        <v/>
      </c>
      <c r="F815" s="1">
        <v>16425362.539999999</v>
      </c>
    </row>
    <row r="816" spans="1:6" x14ac:dyDescent="0.25">
      <c r="A816" t="str">
        <f>"7543"</f>
        <v>7543</v>
      </c>
      <c r="B816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C816" t="str">
        <f>""</f>
        <v/>
      </c>
      <c r="D816" t="str">
        <f>""</f>
        <v/>
      </c>
      <c r="E816" t="str">
        <f>""</f>
        <v/>
      </c>
      <c r="F816" s="1">
        <v>934.3</v>
      </c>
    </row>
    <row r="817" spans="1:6" x14ac:dyDescent="0.25">
      <c r="A817" t="str">
        <f>"7544"</f>
        <v>7544</v>
      </c>
      <c r="B817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817" t="str">
        <f>""</f>
        <v/>
      </c>
      <c r="D817" t="str">
        <f>""</f>
        <v/>
      </c>
      <c r="E817" t="str">
        <f>""</f>
        <v/>
      </c>
      <c r="F817" s="1">
        <v>764544.09</v>
      </c>
    </row>
    <row r="818" spans="1:6" x14ac:dyDescent="0.25">
      <c r="A818" t="str">
        <f>"7701"</f>
        <v>7701</v>
      </c>
      <c r="B818" t="str">
        <f>"Ценные бумаги"</f>
        <v>Ценные бумаги</v>
      </c>
      <c r="C818" t="str">
        <f>""</f>
        <v/>
      </c>
      <c r="D818" t="str">
        <f>""</f>
        <v/>
      </c>
      <c r="E818" t="str">
        <f>""</f>
        <v/>
      </c>
      <c r="F818" s="1">
        <v>38325180843.370003</v>
      </c>
    </row>
    <row r="819" spans="1:6" x14ac:dyDescent="0.25">
      <c r="A819" t="str">
        <f>"7702"</f>
        <v>7702</v>
      </c>
      <c r="B819" t="str">
        <f>"Вклады в других банках"</f>
        <v>Вклады в других банках</v>
      </c>
      <c r="C819" t="str">
        <f>""</f>
        <v/>
      </c>
      <c r="D819" t="str">
        <f>""</f>
        <v/>
      </c>
      <c r="E819" t="str">
        <f>""</f>
        <v/>
      </c>
      <c r="F819" s="1">
        <v>12892580.57</v>
      </c>
    </row>
    <row r="820" spans="1:6" x14ac:dyDescent="0.25">
      <c r="A820" t="str">
        <f>"7704"</f>
        <v>7704</v>
      </c>
      <c r="B820" t="str">
        <f>"Операции «обратное РЕПО»"</f>
        <v>Операции «обратное РЕПО»</v>
      </c>
      <c r="C820" t="str">
        <f>""</f>
        <v/>
      </c>
      <c r="D820" t="str">
        <f>""</f>
        <v/>
      </c>
      <c r="E820" t="str">
        <f>""</f>
        <v/>
      </c>
      <c r="F820" s="1">
        <v>1185530519.4400001</v>
      </c>
    </row>
    <row r="821" spans="1:6" x14ac:dyDescent="0.25">
      <c r="A821" t="str">
        <f>"7707"</f>
        <v>7707</v>
      </c>
      <c r="B821" t="str">
        <f>"Инвестиции в капитал"</f>
        <v>Инвестиции в капитал</v>
      </c>
      <c r="C821" t="str">
        <f>""</f>
        <v/>
      </c>
      <c r="D821" t="str">
        <f>""</f>
        <v/>
      </c>
      <c r="E821" t="str">
        <f>""</f>
        <v/>
      </c>
      <c r="F821" s="1">
        <v>3587985712.0300002</v>
      </c>
    </row>
    <row r="822" spans="1:6" x14ac:dyDescent="0.25">
      <c r="A822" t="str">
        <f>"7708"</f>
        <v>7708</v>
      </c>
      <c r="B822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822" t="str">
        <f>""</f>
        <v/>
      </c>
      <c r="D822" t="str">
        <f>""</f>
        <v/>
      </c>
      <c r="E822" t="str">
        <f>""</f>
        <v/>
      </c>
      <c r="F822" s="1">
        <v>30057146764</v>
      </c>
    </row>
    <row r="823" spans="1:6" x14ac:dyDescent="0.25">
      <c r="A823" t="str">
        <f>"7711"</f>
        <v>7711</v>
      </c>
      <c r="B823" t="str">
        <f>"Вознаграждение"</f>
        <v>Вознаграждение</v>
      </c>
      <c r="C823" t="str">
        <f>""</f>
        <v/>
      </c>
      <c r="D823" t="str">
        <f>""</f>
        <v/>
      </c>
      <c r="E823" t="str">
        <f>""</f>
        <v/>
      </c>
      <c r="F823" s="1">
        <v>311664291.00999999</v>
      </c>
    </row>
    <row r="824" spans="1:6" x14ac:dyDescent="0.25">
      <c r="A824" t="str">
        <f>"7713"</f>
        <v>7713</v>
      </c>
      <c r="B824" t="str">
        <f>"Прочие требования"</f>
        <v>Прочие требования</v>
      </c>
      <c r="C824" t="str">
        <f>""</f>
        <v/>
      </c>
      <c r="D824" t="str">
        <f>""</f>
        <v/>
      </c>
      <c r="E824" t="str">
        <f>""</f>
        <v/>
      </c>
      <c r="F824" s="1">
        <v>5620093485.5299997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Аульбекова Алия Тезекпаевна</dc:creator>
  <cp:lastModifiedBy>Дарибаева Нургуль Асановна</cp:lastModifiedBy>
  <dcterms:created xsi:type="dcterms:W3CDTF">2023-10-05T13:43:51Z</dcterms:created>
  <dcterms:modified xsi:type="dcterms:W3CDTF">2023-10-13T06:08:08Z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2023-10-13T06:08:08Z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298e7b5c-ed72-4367-a165-61b9443c791b</vt:lpwstr>
  </property>
  <property fmtid="{D5CDD505-2E9C-101B-9397-08002B2CF9AE}" pid="8" name="MSIP_Label_5667e166-4b10-4d44-9951-ddc92040c9bd_ContentBits">
    <vt:lpwstr>1</vt:lpwstr>
  </property>
</Properties>
</file>