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BO\03_УО\Марат\KASE\2023\07-Июль\"/>
    </mc:Choice>
  </mc:AlternateContent>
  <xr:revisionPtr revIDLastSave="0" documentId="13_ncr:1_{1D6A1D9F-1CF8-4B2B-AD46-7536E2BF146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VREP_700_ND_RESPONDENTundefined!$A$6:$F$825</definedName>
  </definedNames>
  <calcPr calcId="191029"/>
</workbook>
</file>

<file path=xl/calcChain.xml><?xml version="1.0" encoding="utf-8"?>
<calcChain xmlns="http://schemas.openxmlformats.org/spreadsheetml/2006/main">
  <c r="A228" i="1" l="1"/>
  <c r="B228" i="1"/>
  <c r="C228" i="1"/>
  <c r="D228" i="1"/>
  <c r="E228" i="1"/>
  <c r="A226" i="1"/>
  <c r="B226" i="1"/>
  <c r="C226" i="1"/>
  <c r="D226" i="1"/>
  <c r="E226" i="1"/>
  <c r="A229" i="1"/>
  <c r="B229" i="1"/>
  <c r="C229" i="1"/>
  <c r="D229" i="1"/>
  <c r="E229" i="1"/>
  <c r="A232" i="1"/>
  <c r="B232" i="1"/>
  <c r="C232" i="1"/>
  <c r="D232" i="1"/>
  <c r="E232" i="1"/>
  <c r="A230" i="1"/>
  <c r="B230" i="1"/>
  <c r="C230" i="1"/>
  <c r="D230" i="1"/>
  <c r="E230" i="1"/>
  <c r="A231" i="1"/>
  <c r="B231" i="1"/>
  <c r="C231" i="1"/>
  <c r="D231" i="1"/>
  <c r="E231" i="1"/>
  <c r="A233" i="1"/>
  <c r="B233" i="1"/>
  <c r="C233" i="1"/>
  <c r="D233" i="1"/>
  <c r="E233" i="1"/>
  <c r="A236" i="1"/>
  <c r="B236" i="1"/>
  <c r="C236" i="1"/>
  <c r="D236" i="1"/>
  <c r="E236" i="1"/>
  <c r="A237" i="1"/>
  <c r="B237" i="1"/>
  <c r="C237" i="1"/>
  <c r="D237" i="1"/>
  <c r="E237" i="1"/>
  <c r="A234" i="1"/>
  <c r="B234" i="1"/>
  <c r="C234" i="1"/>
  <c r="D234" i="1"/>
  <c r="E234" i="1"/>
  <c r="A235" i="1"/>
  <c r="B235" i="1"/>
  <c r="C235" i="1"/>
  <c r="D235" i="1"/>
  <c r="E235" i="1"/>
  <c r="A239" i="1"/>
  <c r="B239" i="1"/>
  <c r="C239" i="1"/>
  <c r="D239" i="1"/>
  <c r="E239" i="1"/>
  <c r="A240" i="1"/>
  <c r="B240" i="1"/>
  <c r="C240" i="1"/>
  <c r="D240" i="1"/>
  <c r="E240" i="1"/>
  <c r="A238" i="1"/>
  <c r="B238" i="1"/>
  <c r="C238" i="1"/>
  <c r="D238" i="1"/>
  <c r="E238" i="1"/>
  <c r="A242" i="1"/>
  <c r="B242" i="1"/>
  <c r="C242" i="1"/>
  <c r="D242" i="1"/>
  <c r="E242" i="1"/>
  <c r="A241" i="1"/>
  <c r="B241" i="1"/>
  <c r="C241" i="1"/>
  <c r="D241" i="1"/>
  <c r="E241" i="1"/>
  <c r="A243" i="1"/>
  <c r="B243" i="1"/>
  <c r="C243" i="1"/>
  <c r="D243" i="1"/>
  <c r="E243" i="1"/>
  <c r="A246" i="1"/>
  <c r="B246" i="1"/>
  <c r="C246" i="1"/>
  <c r="D246" i="1"/>
  <c r="E246" i="1"/>
  <c r="A244" i="1"/>
  <c r="B244" i="1"/>
  <c r="C244" i="1"/>
  <c r="D244" i="1"/>
  <c r="E244" i="1"/>
  <c r="A247" i="1"/>
  <c r="B247" i="1"/>
  <c r="C247" i="1"/>
  <c r="D247" i="1"/>
  <c r="E247" i="1"/>
  <c r="A245" i="1"/>
  <c r="B245" i="1"/>
  <c r="C245" i="1"/>
  <c r="D245" i="1"/>
  <c r="E245" i="1"/>
  <c r="A248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6" i="1"/>
  <c r="B256" i="1"/>
  <c r="C256" i="1"/>
  <c r="D256" i="1"/>
  <c r="E256" i="1"/>
  <c r="A251" i="1"/>
  <c r="B251" i="1"/>
  <c r="C251" i="1"/>
  <c r="D251" i="1"/>
  <c r="E251" i="1"/>
  <c r="A252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A260" i="1"/>
  <c r="B260" i="1"/>
  <c r="C260" i="1"/>
  <c r="D260" i="1"/>
  <c r="E260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64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279" i="1"/>
  <c r="B279" i="1"/>
  <c r="C279" i="1"/>
  <c r="D279" i="1"/>
  <c r="E279" i="1"/>
  <c r="A280" i="1"/>
  <c r="B280" i="1"/>
  <c r="C280" i="1"/>
  <c r="D280" i="1"/>
  <c r="E280" i="1"/>
  <c r="A281" i="1"/>
  <c r="B281" i="1"/>
  <c r="C281" i="1"/>
  <c r="D281" i="1"/>
  <c r="E281" i="1"/>
  <c r="A282" i="1"/>
  <c r="B282" i="1"/>
  <c r="C282" i="1"/>
  <c r="D282" i="1"/>
  <c r="E282" i="1"/>
  <c r="A283" i="1"/>
  <c r="B283" i="1"/>
  <c r="C283" i="1"/>
  <c r="D283" i="1"/>
  <c r="E283" i="1"/>
  <c r="A284" i="1"/>
  <c r="B284" i="1"/>
  <c r="C284" i="1"/>
  <c r="D284" i="1"/>
  <c r="E284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288" i="1"/>
  <c r="B288" i="1"/>
  <c r="C288" i="1"/>
  <c r="D288" i="1"/>
  <c r="E288" i="1"/>
  <c r="A289" i="1"/>
  <c r="B289" i="1"/>
  <c r="C289" i="1"/>
  <c r="D289" i="1"/>
  <c r="E289" i="1"/>
  <c r="A290" i="1"/>
  <c r="B290" i="1"/>
  <c r="C290" i="1"/>
  <c r="D290" i="1"/>
  <c r="E290" i="1"/>
  <c r="A291" i="1"/>
  <c r="B291" i="1"/>
  <c r="C291" i="1"/>
  <c r="D291" i="1"/>
  <c r="E291" i="1"/>
  <c r="A292" i="1"/>
  <c r="B292" i="1"/>
  <c r="C292" i="1"/>
  <c r="D292" i="1"/>
  <c r="E292" i="1"/>
  <c r="A293" i="1"/>
  <c r="B293" i="1"/>
  <c r="C293" i="1"/>
  <c r="D293" i="1"/>
  <c r="E293" i="1"/>
  <c r="A294" i="1"/>
  <c r="B294" i="1"/>
  <c r="C294" i="1"/>
  <c r="D294" i="1"/>
  <c r="E294" i="1"/>
  <c r="A295" i="1"/>
  <c r="B295" i="1"/>
  <c r="C295" i="1"/>
  <c r="D295" i="1"/>
  <c r="E295" i="1"/>
  <c r="A296" i="1"/>
  <c r="B296" i="1"/>
  <c r="C296" i="1"/>
  <c r="D296" i="1"/>
  <c r="E296" i="1"/>
  <c r="A297" i="1"/>
  <c r="B297" i="1"/>
  <c r="C297" i="1"/>
  <c r="D297" i="1"/>
  <c r="E297" i="1"/>
  <c r="A299" i="1"/>
  <c r="B299" i="1"/>
  <c r="C299" i="1"/>
  <c r="D299" i="1"/>
  <c r="E299" i="1"/>
  <c r="A300" i="1"/>
  <c r="B300" i="1"/>
  <c r="C300" i="1"/>
  <c r="D300" i="1"/>
  <c r="E300" i="1"/>
  <c r="A298" i="1"/>
  <c r="B298" i="1"/>
  <c r="C298" i="1"/>
  <c r="D298" i="1"/>
  <c r="E298" i="1"/>
  <c r="A301" i="1"/>
  <c r="B301" i="1"/>
  <c r="C301" i="1"/>
  <c r="D301" i="1"/>
  <c r="E301" i="1"/>
  <c r="A302" i="1"/>
  <c r="B302" i="1"/>
  <c r="C302" i="1"/>
  <c r="D302" i="1"/>
  <c r="E302" i="1"/>
  <c r="A303" i="1"/>
  <c r="B303" i="1"/>
  <c r="C303" i="1"/>
  <c r="D303" i="1"/>
  <c r="E303" i="1"/>
  <c r="A304" i="1"/>
  <c r="B304" i="1"/>
  <c r="C304" i="1"/>
  <c r="D304" i="1"/>
  <c r="E304" i="1"/>
  <c r="A305" i="1"/>
  <c r="B305" i="1"/>
  <c r="C305" i="1"/>
  <c r="D305" i="1"/>
  <c r="E305" i="1"/>
  <c r="A306" i="1"/>
  <c r="B306" i="1"/>
  <c r="C306" i="1"/>
  <c r="D306" i="1"/>
  <c r="E306" i="1"/>
  <c r="A310" i="1"/>
  <c r="B310" i="1"/>
  <c r="C310" i="1"/>
  <c r="D310" i="1"/>
  <c r="E310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1" i="1"/>
  <c r="B311" i="1"/>
  <c r="C311" i="1"/>
  <c r="D311" i="1"/>
  <c r="E311" i="1"/>
  <c r="A312" i="1"/>
  <c r="B312" i="1"/>
  <c r="C312" i="1"/>
  <c r="D312" i="1"/>
  <c r="E312" i="1"/>
  <c r="A313" i="1"/>
  <c r="B313" i="1"/>
  <c r="C313" i="1"/>
  <c r="D313" i="1"/>
  <c r="E313" i="1"/>
  <c r="A314" i="1"/>
  <c r="B314" i="1"/>
  <c r="C314" i="1"/>
  <c r="D314" i="1"/>
  <c r="E314" i="1"/>
  <c r="A315" i="1"/>
  <c r="B315" i="1"/>
  <c r="C315" i="1"/>
  <c r="D315" i="1"/>
  <c r="E315" i="1"/>
  <c r="A316" i="1"/>
  <c r="B316" i="1"/>
  <c r="C316" i="1"/>
  <c r="D316" i="1"/>
  <c r="E316" i="1"/>
  <c r="A317" i="1"/>
  <c r="B317" i="1"/>
  <c r="C317" i="1"/>
  <c r="D317" i="1"/>
  <c r="E317" i="1"/>
  <c r="A318" i="1"/>
  <c r="B318" i="1"/>
  <c r="C318" i="1"/>
  <c r="D318" i="1"/>
  <c r="E318" i="1"/>
  <c r="A319" i="1"/>
  <c r="B319" i="1"/>
  <c r="C319" i="1"/>
  <c r="D319" i="1"/>
  <c r="E319" i="1"/>
  <c r="A321" i="1"/>
  <c r="B321" i="1"/>
  <c r="C321" i="1"/>
  <c r="D321" i="1"/>
  <c r="E321" i="1"/>
  <c r="A322" i="1"/>
  <c r="B322" i="1"/>
  <c r="C322" i="1"/>
  <c r="D322" i="1"/>
  <c r="E322" i="1"/>
  <c r="A320" i="1"/>
  <c r="B320" i="1"/>
  <c r="C320" i="1"/>
  <c r="D320" i="1"/>
  <c r="E320" i="1"/>
  <c r="A323" i="1"/>
  <c r="B323" i="1"/>
  <c r="C323" i="1"/>
  <c r="D323" i="1"/>
  <c r="E323" i="1"/>
  <c r="A324" i="1"/>
  <c r="B324" i="1"/>
  <c r="C324" i="1"/>
  <c r="D324" i="1"/>
  <c r="E324" i="1"/>
  <c r="A325" i="1"/>
  <c r="B325" i="1"/>
  <c r="C325" i="1"/>
  <c r="D325" i="1"/>
  <c r="E325" i="1"/>
  <c r="A326" i="1"/>
  <c r="B326" i="1"/>
  <c r="C326" i="1"/>
  <c r="D326" i="1"/>
  <c r="E326" i="1"/>
  <c r="A329" i="1"/>
  <c r="B329" i="1"/>
  <c r="C329" i="1"/>
  <c r="D329" i="1"/>
  <c r="E329" i="1"/>
  <c r="A327" i="1"/>
  <c r="B327" i="1"/>
  <c r="C327" i="1"/>
  <c r="D327" i="1"/>
  <c r="E327" i="1"/>
  <c r="A328" i="1"/>
  <c r="B328" i="1"/>
  <c r="C328" i="1"/>
  <c r="D328" i="1"/>
  <c r="E328" i="1"/>
  <c r="A330" i="1"/>
  <c r="B330" i="1"/>
  <c r="C330" i="1"/>
  <c r="D330" i="1"/>
  <c r="E330" i="1"/>
  <c r="A331" i="1"/>
  <c r="B331" i="1"/>
  <c r="C331" i="1"/>
  <c r="D331" i="1"/>
  <c r="E331" i="1"/>
  <c r="A333" i="1"/>
  <c r="B333" i="1"/>
  <c r="C333" i="1"/>
  <c r="D333" i="1"/>
  <c r="E333" i="1"/>
  <c r="A334" i="1"/>
  <c r="B334" i="1"/>
  <c r="C334" i="1"/>
  <c r="D334" i="1"/>
  <c r="E334" i="1"/>
  <c r="A332" i="1"/>
  <c r="B332" i="1"/>
  <c r="C332" i="1"/>
  <c r="D332" i="1"/>
  <c r="E332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A348" i="1"/>
  <c r="B348" i="1"/>
  <c r="C348" i="1"/>
  <c r="D348" i="1"/>
  <c r="E348" i="1"/>
  <c r="A349" i="1"/>
  <c r="B349" i="1"/>
  <c r="C349" i="1"/>
  <c r="D349" i="1"/>
  <c r="E349" i="1"/>
  <c r="A350" i="1"/>
  <c r="B350" i="1"/>
  <c r="C350" i="1"/>
  <c r="D350" i="1"/>
  <c r="E350" i="1"/>
  <c r="A351" i="1"/>
  <c r="B351" i="1"/>
  <c r="C351" i="1"/>
  <c r="D351" i="1"/>
  <c r="E351" i="1"/>
  <c r="A352" i="1"/>
  <c r="B352" i="1"/>
  <c r="C352" i="1"/>
  <c r="D352" i="1"/>
  <c r="E352" i="1"/>
  <c r="A353" i="1"/>
  <c r="B353" i="1"/>
  <c r="C353" i="1"/>
  <c r="D353" i="1"/>
  <c r="E353" i="1"/>
  <c r="A354" i="1"/>
  <c r="B354" i="1"/>
  <c r="C354" i="1"/>
  <c r="D354" i="1"/>
  <c r="E354" i="1"/>
  <c r="A355" i="1"/>
  <c r="B355" i="1"/>
  <c r="C355" i="1"/>
  <c r="D355" i="1"/>
  <c r="E355" i="1"/>
  <c r="A356" i="1"/>
  <c r="B356" i="1"/>
  <c r="C356" i="1"/>
  <c r="D356" i="1"/>
  <c r="E356" i="1"/>
  <c r="A359" i="1"/>
  <c r="B359" i="1"/>
  <c r="C359" i="1"/>
  <c r="D359" i="1"/>
  <c r="E359" i="1"/>
  <c r="A360" i="1"/>
  <c r="B360" i="1"/>
  <c r="C360" i="1"/>
  <c r="D360" i="1"/>
  <c r="E360" i="1"/>
  <c r="A357" i="1"/>
  <c r="B357" i="1"/>
  <c r="C357" i="1"/>
  <c r="D357" i="1"/>
  <c r="E357" i="1"/>
  <c r="A358" i="1"/>
  <c r="B358" i="1"/>
  <c r="C358" i="1"/>
  <c r="D358" i="1"/>
  <c r="E358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5" i="1"/>
  <c r="B365" i="1"/>
  <c r="C365" i="1"/>
  <c r="D365" i="1"/>
  <c r="E365" i="1"/>
  <c r="A366" i="1"/>
  <c r="B366" i="1"/>
  <c r="C366" i="1"/>
  <c r="D366" i="1"/>
  <c r="E366" i="1"/>
  <c r="A364" i="1"/>
  <c r="B364" i="1"/>
  <c r="C364" i="1"/>
  <c r="D364" i="1"/>
  <c r="E364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5" i="1"/>
  <c r="B385" i="1"/>
  <c r="C385" i="1"/>
  <c r="D385" i="1"/>
  <c r="E385" i="1"/>
  <c r="A386" i="1"/>
  <c r="B386" i="1"/>
  <c r="C386" i="1"/>
  <c r="D386" i="1"/>
  <c r="E386" i="1"/>
  <c r="A387" i="1"/>
  <c r="B387" i="1"/>
  <c r="C387" i="1"/>
  <c r="D387" i="1"/>
  <c r="E387" i="1"/>
  <c r="A388" i="1"/>
  <c r="B388" i="1"/>
  <c r="C388" i="1"/>
  <c r="D388" i="1"/>
  <c r="E388" i="1"/>
  <c r="A389" i="1"/>
  <c r="B389" i="1"/>
  <c r="C389" i="1"/>
  <c r="D389" i="1"/>
  <c r="E389" i="1"/>
  <c r="A390" i="1"/>
  <c r="B390" i="1"/>
  <c r="C390" i="1"/>
  <c r="D390" i="1"/>
  <c r="E390" i="1"/>
  <c r="A391" i="1"/>
  <c r="B391" i="1"/>
  <c r="C391" i="1"/>
  <c r="D391" i="1"/>
  <c r="E391" i="1"/>
  <c r="A392" i="1"/>
  <c r="B392" i="1"/>
  <c r="C392" i="1"/>
  <c r="D392" i="1"/>
  <c r="E392" i="1"/>
  <c r="A394" i="1"/>
  <c r="B394" i="1"/>
  <c r="C394" i="1"/>
  <c r="D394" i="1"/>
  <c r="E394" i="1"/>
  <c r="A395" i="1"/>
  <c r="B395" i="1"/>
  <c r="C395" i="1"/>
  <c r="D395" i="1"/>
  <c r="E395" i="1"/>
  <c r="A393" i="1"/>
  <c r="B393" i="1"/>
  <c r="C393" i="1"/>
  <c r="D393" i="1"/>
  <c r="E393" i="1"/>
  <c r="A396" i="1"/>
  <c r="B396" i="1"/>
  <c r="C396" i="1"/>
  <c r="D396" i="1"/>
  <c r="E396" i="1"/>
  <c r="A397" i="1"/>
  <c r="B397" i="1"/>
  <c r="C397" i="1"/>
  <c r="D397" i="1"/>
  <c r="E397" i="1"/>
  <c r="A398" i="1"/>
  <c r="B398" i="1"/>
  <c r="C398" i="1"/>
  <c r="D398" i="1"/>
  <c r="E398" i="1"/>
  <c r="A399" i="1"/>
  <c r="B399" i="1"/>
  <c r="C399" i="1"/>
  <c r="D399" i="1"/>
  <c r="E399" i="1"/>
  <c r="A400" i="1"/>
  <c r="B400" i="1"/>
  <c r="C400" i="1"/>
  <c r="D400" i="1"/>
  <c r="E400" i="1"/>
  <c r="A401" i="1"/>
  <c r="B401" i="1"/>
  <c r="C401" i="1"/>
  <c r="D401" i="1"/>
  <c r="E401" i="1"/>
  <c r="A402" i="1"/>
  <c r="B402" i="1"/>
  <c r="C402" i="1"/>
  <c r="D402" i="1"/>
  <c r="E402" i="1"/>
  <c r="A403" i="1"/>
  <c r="B403" i="1"/>
  <c r="C403" i="1"/>
  <c r="D403" i="1"/>
  <c r="E403" i="1"/>
  <c r="A404" i="1"/>
  <c r="B404" i="1"/>
  <c r="C404" i="1"/>
  <c r="D404" i="1"/>
  <c r="E404" i="1"/>
  <c r="A405" i="1"/>
  <c r="B405" i="1"/>
  <c r="C405" i="1"/>
  <c r="D405" i="1"/>
  <c r="E405" i="1"/>
  <c r="A406" i="1"/>
  <c r="B406" i="1"/>
  <c r="C406" i="1"/>
  <c r="D406" i="1"/>
  <c r="E406" i="1"/>
  <c r="A384" i="1"/>
  <c r="B384" i="1"/>
  <c r="C384" i="1"/>
  <c r="D384" i="1"/>
  <c r="E384" i="1"/>
  <c r="A407" i="1"/>
  <c r="B407" i="1"/>
  <c r="C407" i="1"/>
  <c r="D407" i="1"/>
  <c r="E407" i="1"/>
  <c r="A408" i="1"/>
  <c r="B408" i="1"/>
  <c r="C408" i="1"/>
  <c r="D408" i="1"/>
  <c r="E408" i="1"/>
  <c r="A409" i="1"/>
  <c r="B409" i="1"/>
  <c r="C409" i="1"/>
  <c r="D409" i="1"/>
  <c r="E409" i="1"/>
  <c r="A410" i="1"/>
  <c r="B410" i="1"/>
  <c r="C410" i="1"/>
  <c r="D410" i="1"/>
  <c r="E410" i="1"/>
  <c r="A411" i="1"/>
  <c r="B411" i="1"/>
  <c r="C411" i="1"/>
  <c r="D411" i="1"/>
  <c r="E411" i="1"/>
  <c r="A412" i="1"/>
  <c r="B412" i="1"/>
  <c r="C412" i="1"/>
  <c r="D412" i="1"/>
  <c r="E412" i="1"/>
  <c r="A413" i="1"/>
  <c r="B413" i="1"/>
  <c r="C413" i="1"/>
  <c r="D413" i="1"/>
  <c r="E413" i="1"/>
  <c r="A417" i="1"/>
  <c r="B417" i="1"/>
  <c r="C417" i="1"/>
  <c r="D417" i="1"/>
  <c r="E417" i="1"/>
  <c r="A414" i="1"/>
  <c r="B414" i="1"/>
  <c r="C414" i="1"/>
  <c r="D414" i="1"/>
  <c r="E414" i="1"/>
  <c r="A415" i="1"/>
  <c r="B415" i="1"/>
  <c r="C415" i="1"/>
  <c r="D415" i="1"/>
  <c r="E415" i="1"/>
  <c r="A416" i="1"/>
  <c r="B416" i="1"/>
  <c r="C416" i="1"/>
  <c r="D416" i="1"/>
  <c r="E416" i="1"/>
  <c r="A419" i="1"/>
  <c r="B419" i="1"/>
  <c r="C419" i="1"/>
  <c r="D419" i="1"/>
  <c r="E419" i="1"/>
  <c r="A420" i="1"/>
  <c r="B420" i="1"/>
  <c r="C420" i="1"/>
  <c r="D420" i="1"/>
  <c r="E420" i="1"/>
  <c r="A421" i="1"/>
  <c r="B421" i="1"/>
  <c r="C421" i="1"/>
  <c r="D421" i="1"/>
  <c r="E421" i="1"/>
  <c r="A422" i="1"/>
  <c r="B422" i="1"/>
  <c r="C422" i="1"/>
  <c r="D422" i="1"/>
  <c r="E422" i="1"/>
  <c r="A418" i="1"/>
  <c r="B418" i="1"/>
  <c r="C418" i="1"/>
  <c r="D418" i="1"/>
  <c r="E418" i="1"/>
  <c r="A423" i="1"/>
  <c r="B423" i="1"/>
  <c r="C423" i="1"/>
  <c r="D423" i="1"/>
  <c r="E423" i="1"/>
  <c r="A424" i="1"/>
  <c r="B424" i="1"/>
  <c r="C424" i="1"/>
  <c r="D424" i="1"/>
  <c r="E424" i="1"/>
  <c r="A425" i="1"/>
  <c r="B425" i="1"/>
  <c r="C425" i="1"/>
  <c r="D425" i="1"/>
  <c r="E425" i="1"/>
  <c r="A426" i="1"/>
  <c r="B426" i="1"/>
  <c r="C426" i="1"/>
  <c r="D426" i="1"/>
  <c r="E426" i="1"/>
  <c r="A429" i="1"/>
  <c r="B429" i="1"/>
  <c r="C429" i="1"/>
  <c r="D429" i="1"/>
  <c r="E429" i="1"/>
  <c r="A427" i="1"/>
  <c r="B427" i="1"/>
  <c r="C427" i="1"/>
  <c r="D427" i="1"/>
  <c r="E427" i="1"/>
  <c r="A430" i="1"/>
  <c r="B430" i="1"/>
  <c r="C430" i="1"/>
  <c r="D430" i="1"/>
  <c r="E430" i="1"/>
  <c r="A428" i="1"/>
  <c r="B428" i="1"/>
  <c r="C428" i="1"/>
  <c r="D428" i="1"/>
  <c r="E428" i="1"/>
  <c r="A431" i="1"/>
  <c r="B431" i="1"/>
  <c r="C431" i="1"/>
  <c r="D431" i="1"/>
  <c r="E431" i="1"/>
  <c r="A432" i="1"/>
  <c r="B432" i="1"/>
  <c r="C432" i="1"/>
  <c r="D432" i="1"/>
  <c r="E432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36" i="1"/>
  <c r="B436" i="1"/>
  <c r="C436" i="1"/>
  <c r="D436" i="1"/>
  <c r="E436" i="1"/>
  <c r="A437" i="1"/>
  <c r="B437" i="1"/>
  <c r="C437" i="1"/>
  <c r="D437" i="1"/>
  <c r="E437" i="1"/>
  <c r="A438" i="1"/>
  <c r="B438" i="1"/>
  <c r="C438" i="1"/>
  <c r="D438" i="1"/>
  <c r="E438" i="1"/>
  <c r="A439" i="1"/>
  <c r="B439" i="1"/>
  <c r="C439" i="1"/>
  <c r="D439" i="1"/>
  <c r="E439" i="1"/>
  <c r="A440" i="1"/>
  <c r="B440" i="1"/>
  <c r="C440" i="1"/>
  <c r="D440" i="1"/>
  <c r="E440" i="1"/>
  <c r="A441" i="1"/>
  <c r="B441" i="1"/>
  <c r="C441" i="1"/>
  <c r="D441" i="1"/>
  <c r="E441" i="1"/>
  <c r="A442" i="1"/>
  <c r="B442" i="1"/>
  <c r="C442" i="1"/>
  <c r="D442" i="1"/>
  <c r="E442" i="1"/>
  <c r="A443" i="1"/>
  <c r="B443" i="1"/>
  <c r="C443" i="1"/>
  <c r="D443" i="1"/>
  <c r="E443" i="1"/>
  <c r="A444" i="1"/>
  <c r="B444" i="1"/>
  <c r="C444" i="1"/>
  <c r="D444" i="1"/>
  <c r="E444" i="1"/>
  <c r="A445" i="1"/>
  <c r="B445" i="1"/>
  <c r="C445" i="1"/>
  <c r="D445" i="1"/>
  <c r="E445" i="1"/>
  <c r="A446" i="1"/>
  <c r="B446" i="1"/>
  <c r="C446" i="1"/>
  <c r="D446" i="1"/>
  <c r="E446" i="1"/>
  <c r="A447" i="1"/>
  <c r="B447" i="1"/>
  <c r="C447" i="1"/>
  <c r="D447" i="1"/>
  <c r="E447" i="1"/>
  <c r="A448" i="1"/>
  <c r="B448" i="1"/>
  <c r="C448" i="1"/>
  <c r="D448" i="1"/>
  <c r="E448" i="1"/>
  <c r="A449" i="1"/>
  <c r="B449" i="1"/>
  <c r="C449" i="1"/>
  <c r="D449" i="1"/>
  <c r="E449" i="1"/>
  <c r="A450" i="1"/>
  <c r="B450" i="1"/>
  <c r="C450" i="1"/>
  <c r="D450" i="1"/>
  <c r="E450" i="1"/>
  <c r="A451" i="1"/>
  <c r="B451" i="1"/>
  <c r="C451" i="1"/>
  <c r="D451" i="1"/>
  <c r="E451" i="1"/>
  <c r="A452" i="1"/>
  <c r="B452" i="1"/>
  <c r="C452" i="1"/>
  <c r="D452" i="1"/>
  <c r="E452" i="1"/>
  <c r="A453" i="1"/>
  <c r="B453" i="1"/>
  <c r="C453" i="1"/>
  <c r="D453" i="1"/>
  <c r="E453" i="1"/>
  <c r="A455" i="1"/>
  <c r="B455" i="1"/>
  <c r="C455" i="1"/>
  <c r="D455" i="1"/>
  <c r="E455" i="1"/>
  <c r="A456" i="1"/>
  <c r="B456" i="1"/>
  <c r="C456" i="1"/>
  <c r="D456" i="1"/>
  <c r="E456" i="1"/>
  <c r="A454" i="1"/>
  <c r="B454" i="1"/>
  <c r="C454" i="1"/>
  <c r="D454" i="1"/>
  <c r="E454" i="1"/>
  <c r="A457" i="1"/>
  <c r="B457" i="1"/>
  <c r="C457" i="1"/>
  <c r="D457" i="1"/>
  <c r="E457" i="1"/>
  <c r="A458" i="1"/>
  <c r="B458" i="1"/>
  <c r="C458" i="1"/>
  <c r="D458" i="1"/>
  <c r="E458" i="1"/>
  <c r="A459" i="1"/>
  <c r="B459" i="1"/>
  <c r="C459" i="1"/>
  <c r="D459" i="1"/>
  <c r="E459" i="1"/>
  <c r="A461" i="1"/>
  <c r="B461" i="1"/>
  <c r="C461" i="1"/>
  <c r="D461" i="1"/>
  <c r="E461" i="1"/>
  <c r="A460" i="1"/>
  <c r="B460" i="1"/>
  <c r="C460" i="1"/>
  <c r="D460" i="1"/>
  <c r="E460" i="1"/>
  <c r="A462" i="1"/>
  <c r="B462" i="1"/>
  <c r="C462" i="1"/>
  <c r="D462" i="1"/>
  <c r="E462" i="1"/>
  <c r="A465" i="1"/>
  <c r="B465" i="1"/>
  <c r="C465" i="1"/>
  <c r="D465" i="1"/>
  <c r="E465" i="1"/>
  <c r="A464" i="1"/>
  <c r="B464" i="1"/>
  <c r="C464" i="1"/>
  <c r="D464" i="1"/>
  <c r="E464" i="1"/>
  <c r="A463" i="1"/>
  <c r="B463" i="1"/>
  <c r="C463" i="1"/>
  <c r="D463" i="1"/>
  <c r="E463" i="1"/>
  <c r="A467" i="1"/>
  <c r="B467" i="1"/>
  <c r="C467" i="1"/>
  <c r="D467" i="1"/>
  <c r="E467" i="1"/>
  <c r="A466" i="1"/>
  <c r="B466" i="1"/>
  <c r="C466" i="1"/>
  <c r="D466" i="1"/>
  <c r="E466" i="1"/>
  <c r="A470" i="1"/>
  <c r="B470" i="1"/>
  <c r="C470" i="1"/>
  <c r="D470" i="1"/>
  <c r="E470" i="1"/>
  <c r="A468" i="1"/>
  <c r="B468" i="1"/>
  <c r="C468" i="1"/>
  <c r="D468" i="1"/>
  <c r="E468" i="1"/>
  <c r="A469" i="1"/>
  <c r="B469" i="1"/>
  <c r="C469" i="1"/>
  <c r="D469" i="1"/>
  <c r="E469" i="1"/>
  <c r="A471" i="1"/>
  <c r="B471" i="1"/>
  <c r="C471" i="1"/>
  <c r="D471" i="1"/>
  <c r="E471" i="1"/>
  <c r="A473" i="1"/>
  <c r="B473" i="1"/>
  <c r="C473" i="1"/>
  <c r="D473" i="1"/>
  <c r="E473" i="1"/>
  <c r="A474" i="1"/>
  <c r="B474" i="1"/>
  <c r="C474" i="1"/>
  <c r="D474" i="1"/>
  <c r="E474" i="1"/>
  <c r="A476" i="1"/>
  <c r="B476" i="1"/>
  <c r="C476" i="1"/>
  <c r="D476" i="1"/>
  <c r="E476" i="1"/>
  <c r="A475" i="1"/>
  <c r="B475" i="1"/>
  <c r="C475" i="1"/>
  <c r="D475" i="1"/>
  <c r="E475" i="1"/>
  <c r="A472" i="1"/>
  <c r="B472" i="1"/>
  <c r="C472" i="1"/>
  <c r="D472" i="1"/>
  <c r="E472" i="1"/>
  <c r="A477" i="1"/>
  <c r="B477" i="1"/>
  <c r="C477" i="1"/>
  <c r="D477" i="1"/>
  <c r="E477" i="1"/>
  <c r="A478" i="1"/>
  <c r="B478" i="1"/>
  <c r="C478" i="1"/>
  <c r="D478" i="1"/>
  <c r="E478" i="1"/>
  <c r="A479" i="1"/>
  <c r="B479" i="1"/>
  <c r="C479" i="1"/>
  <c r="D479" i="1"/>
  <c r="E479" i="1"/>
  <c r="A480" i="1"/>
  <c r="B480" i="1"/>
  <c r="C480" i="1"/>
  <c r="D480" i="1"/>
  <c r="E480" i="1"/>
  <c r="A481" i="1"/>
  <c r="B481" i="1"/>
  <c r="C481" i="1"/>
  <c r="D481" i="1"/>
  <c r="E481" i="1"/>
  <c r="A482" i="1"/>
  <c r="B482" i="1"/>
  <c r="C482" i="1"/>
  <c r="D482" i="1"/>
  <c r="E482" i="1"/>
  <c r="A483" i="1"/>
  <c r="B483" i="1"/>
  <c r="C483" i="1"/>
  <c r="D483" i="1"/>
  <c r="E483" i="1"/>
  <c r="A484" i="1"/>
  <c r="B484" i="1"/>
  <c r="C484" i="1"/>
  <c r="D484" i="1"/>
  <c r="E484" i="1"/>
  <c r="A487" i="1"/>
  <c r="B487" i="1"/>
  <c r="C487" i="1"/>
  <c r="D487" i="1"/>
  <c r="E487" i="1"/>
  <c r="A485" i="1"/>
  <c r="B485" i="1"/>
  <c r="C485" i="1"/>
  <c r="D485" i="1"/>
  <c r="E485" i="1"/>
  <c r="A488" i="1"/>
  <c r="B488" i="1"/>
  <c r="C488" i="1"/>
  <c r="D488" i="1"/>
  <c r="E488" i="1"/>
  <c r="A486" i="1"/>
  <c r="B486" i="1"/>
  <c r="C486" i="1"/>
  <c r="D486" i="1"/>
  <c r="E486" i="1"/>
  <c r="A489" i="1"/>
  <c r="B489" i="1"/>
  <c r="C489" i="1"/>
  <c r="D489" i="1"/>
  <c r="E489" i="1"/>
  <c r="A490" i="1"/>
  <c r="B490" i="1"/>
  <c r="C490" i="1"/>
  <c r="D490" i="1"/>
  <c r="E490" i="1"/>
  <c r="A491" i="1"/>
  <c r="B491" i="1"/>
  <c r="C491" i="1"/>
  <c r="D491" i="1"/>
  <c r="E491" i="1"/>
  <c r="A492" i="1"/>
  <c r="B492" i="1"/>
  <c r="C492" i="1"/>
  <c r="D492" i="1"/>
  <c r="E492" i="1"/>
  <c r="A493" i="1"/>
  <c r="B493" i="1"/>
  <c r="C493" i="1"/>
  <c r="D493" i="1"/>
  <c r="E493" i="1"/>
  <c r="A494" i="1"/>
  <c r="B494" i="1"/>
  <c r="C494" i="1"/>
  <c r="D494" i="1"/>
  <c r="E494" i="1"/>
  <c r="A495" i="1"/>
  <c r="B495" i="1"/>
  <c r="C495" i="1"/>
  <c r="D495" i="1"/>
  <c r="E495" i="1"/>
  <c r="A496" i="1"/>
  <c r="B496" i="1"/>
  <c r="C496" i="1"/>
  <c r="D496" i="1"/>
  <c r="E496" i="1"/>
  <c r="A497" i="1"/>
  <c r="B497" i="1"/>
  <c r="C497" i="1"/>
  <c r="D497" i="1"/>
  <c r="E497" i="1"/>
  <c r="A498" i="1"/>
  <c r="B498" i="1"/>
  <c r="C498" i="1"/>
  <c r="D498" i="1"/>
  <c r="E498" i="1"/>
  <c r="A499" i="1"/>
  <c r="B499" i="1"/>
  <c r="C499" i="1"/>
  <c r="D499" i="1"/>
  <c r="E499" i="1"/>
  <c r="A500" i="1"/>
  <c r="B500" i="1"/>
  <c r="C500" i="1"/>
  <c r="D500" i="1"/>
  <c r="E500" i="1"/>
  <c r="A501" i="1"/>
  <c r="B501" i="1"/>
  <c r="C501" i="1"/>
  <c r="D501" i="1"/>
  <c r="E501" i="1"/>
  <c r="A502" i="1"/>
  <c r="B502" i="1"/>
  <c r="C502" i="1"/>
  <c r="D502" i="1"/>
  <c r="E502" i="1"/>
  <c r="A503" i="1"/>
  <c r="B503" i="1"/>
  <c r="C503" i="1"/>
  <c r="D503" i="1"/>
  <c r="E503" i="1"/>
  <c r="A504" i="1"/>
  <c r="B504" i="1"/>
  <c r="C504" i="1"/>
  <c r="D504" i="1"/>
  <c r="E504" i="1"/>
  <c r="A505" i="1"/>
  <c r="B505" i="1"/>
  <c r="C505" i="1"/>
  <c r="D505" i="1"/>
  <c r="E505" i="1"/>
  <c r="A506" i="1"/>
  <c r="B506" i="1"/>
  <c r="C506" i="1"/>
  <c r="D506" i="1"/>
  <c r="E506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10" i="1"/>
  <c r="B510" i="1"/>
  <c r="C510" i="1"/>
  <c r="D510" i="1"/>
  <c r="E510" i="1"/>
  <c r="A511" i="1"/>
  <c r="B511" i="1"/>
  <c r="C511" i="1"/>
  <c r="D511" i="1"/>
  <c r="E511" i="1"/>
  <c r="A512" i="1"/>
  <c r="B512" i="1"/>
  <c r="C512" i="1"/>
  <c r="D512" i="1"/>
  <c r="E512" i="1"/>
  <c r="A513" i="1"/>
  <c r="B513" i="1"/>
  <c r="C513" i="1"/>
  <c r="D513" i="1"/>
  <c r="E513" i="1"/>
  <c r="A514" i="1"/>
  <c r="B514" i="1"/>
  <c r="C514" i="1"/>
  <c r="D514" i="1"/>
  <c r="E514" i="1"/>
  <c r="A515" i="1"/>
  <c r="B515" i="1"/>
  <c r="C515" i="1"/>
  <c r="D515" i="1"/>
  <c r="E515" i="1"/>
  <c r="A516" i="1"/>
  <c r="B516" i="1"/>
  <c r="C516" i="1"/>
  <c r="D516" i="1"/>
  <c r="E516" i="1"/>
  <c r="A517" i="1"/>
  <c r="B517" i="1"/>
  <c r="C517" i="1"/>
  <c r="D517" i="1"/>
  <c r="E517" i="1"/>
  <c r="A518" i="1"/>
  <c r="B518" i="1"/>
  <c r="C518" i="1"/>
  <c r="D518" i="1"/>
  <c r="E518" i="1"/>
  <c r="A519" i="1"/>
  <c r="B519" i="1"/>
  <c r="C519" i="1"/>
  <c r="D519" i="1"/>
  <c r="E519" i="1"/>
  <c r="A520" i="1"/>
  <c r="B520" i="1"/>
  <c r="C520" i="1"/>
  <c r="D520" i="1"/>
  <c r="E520" i="1"/>
  <c r="A521" i="1"/>
  <c r="B521" i="1"/>
  <c r="C521" i="1"/>
  <c r="D521" i="1"/>
  <c r="E521" i="1"/>
  <c r="A522" i="1"/>
  <c r="B522" i="1"/>
  <c r="C522" i="1"/>
  <c r="D522" i="1"/>
  <c r="E522" i="1"/>
  <c r="A523" i="1"/>
  <c r="B523" i="1"/>
  <c r="C523" i="1"/>
  <c r="D523" i="1"/>
  <c r="E523" i="1"/>
  <c r="A524" i="1"/>
  <c r="B524" i="1"/>
  <c r="C524" i="1"/>
  <c r="D524" i="1"/>
  <c r="E524" i="1"/>
  <c r="A525" i="1"/>
  <c r="B525" i="1"/>
  <c r="C525" i="1"/>
  <c r="D525" i="1"/>
  <c r="E525" i="1"/>
  <c r="A526" i="1"/>
  <c r="B526" i="1"/>
  <c r="C526" i="1"/>
  <c r="D526" i="1"/>
  <c r="E526" i="1"/>
  <c r="A528" i="1"/>
  <c r="B528" i="1"/>
  <c r="C528" i="1"/>
  <c r="D528" i="1"/>
  <c r="E528" i="1"/>
  <c r="A527" i="1"/>
  <c r="B527" i="1"/>
  <c r="C527" i="1"/>
  <c r="D527" i="1"/>
  <c r="E527" i="1"/>
  <c r="A529" i="1"/>
  <c r="B529" i="1"/>
  <c r="C529" i="1"/>
  <c r="D529" i="1"/>
  <c r="E529" i="1"/>
  <c r="A530" i="1"/>
  <c r="B530" i="1"/>
  <c r="C530" i="1"/>
  <c r="D530" i="1"/>
  <c r="E530" i="1"/>
  <c r="A531" i="1"/>
  <c r="B531" i="1"/>
  <c r="C531" i="1"/>
  <c r="D531" i="1"/>
  <c r="E531" i="1"/>
  <c r="A532" i="1"/>
  <c r="B532" i="1"/>
  <c r="C532" i="1"/>
  <c r="D532" i="1"/>
  <c r="E532" i="1"/>
  <c r="A533" i="1"/>
  <c r="B533" i="1"/>
  <c r="C533" i="1"/>
  <c r="D533" i="1"/>
  <c r="E533" i="1"/>
  <c r="A536" i="1"/>
  <c r="B536" i="1"/>
  <c r="C536" i="1"/>
  <c r="D536" i="1"/>
  <c r="E536" i="1"/>
  <c r="A534" i="1"/>
  <c r="B534" i="1"/>
  <c r="C534" i="1"/>
  <c r="D534" i="1"/>
  <c r="E534" i="1"/>
  <c r="A535" i="1"/>
  <c r="B535" i="1"/>
  <c r="C535" i="1"/>
  <c r="D535" i="1"/>
  <c r="E535" i="1"/>
  <c r="A537" i="1"/>
  <c r="B537" i="1"/>
  <c r="C537" i="1"/>
  <c r="D537" i="1"/>
  <c r="E537" i="1"/>
  <c r="A538" i="1"/>
  <c r="B538" i="1"/>
  <c r="C538" i="1"/>
  <c r="D538" i="1"/>
  <c r="E538" i="1"/>
  <c r="A539" i="1"/>
  <c r="B539" i="1"/>
  <c r="C539" i="1"/>
  <c r="D539" i="1"/>
  <c r="E539" i="1"/>
  <c r="A540" i="1"/>
  <c r="B540" i="1"/>
  <c r="C540" i="1"/>
  <c r="D540" i="1"/>
  <c r="E540" i="1"/>
  <c r="A541" i="1"/>
  <c r="B541" i="1"/>
  <c r="C541" i="1"/>
  <c r="D541" i="1"/>
  <c r="E541" i="1"/>
  <c r="A543" i="1"/>
  <c r="B543" i="1"/>
  <c r="C543" i="1"/>
  <c r="D543" i="1"/>
  <c r="E543" i="1"/>
  <c r="A545" i="1"/>
  <c r="B545" i="1"/>
  <c r="C545" i="1"/>
  <c r="D545" i="1"/>
  <c r="E545" i="1"/>
  <c r="A542" i="1"/>
  <c r="B542" i="1"/>
  <c r="C542" i="1"/>
  <c r="D542" i="1"/>
  <c r="E542" i="1"/>
  <c r="A546" i="1"/>
  <c r="B546" i="1"/>
  <c r="C546" i="1"/>
  <c r="D546" i="1"/>
  <c r="E546" i="1"/>
  <c r="A544" i="1"/>
  <c r="B544" i="1"/>
  <c r="C544" i="1"/>
  <c r="D544" i="1"/>
  <c r="E544" i="1"/>
  <c r="A547" i="1"/>
  <c r="B547" i="1"/>
  <c r="C547" i="1"/>
  <c r="D547" i="1"/>
  <c r="E547" i="1"/>
  <c r="A548" i="1"/>
  <c r="B548" i="1"/>
  <c r="C548" i="1"/>
  <c r="D548" i="1"/>
  <c r="E548" i="1"/>
  <c r="A549" i="1"/>
  <c r="B549" i="1"/>
  <c r="C549" i="1"/>
  <c r="D549" i="1"/>
  <c r="E549" i="1"/>
  <c r="A550" i="1"/>
  <c r="B550" i="1"/>
  <c r="C550" i="1"/>
  <c r="D550" i="1"/>
  <c r="E550" i="1"/>
  <c r="A553" i="1"/>
  <c r="B553" i="1"/>
  <c r="C553" i="1"/>
  <c r="D553" i="1"/>
  <c r="E553" i="1"/>
  <c r="A551" i="1"/>
  <c r="B551" i="1"/>
  <c r="C551" i="1"/>
  <c r="D551" i="1"/>
  <c r="E551" i="1"/>
  <c r="A555" i="1"/>
  <c r="B555" i="1"/>
  <c r="C555" i="1"/>
  <c r="D555" i="1"/>
  <c r="E555" i="1"/>
  <c r="A556" i="1"/>
  <c r="B556" i="1"/>
  <c r="C556" i="1"/>
  <c r="D556" i="1"/>
  <c r="E556" i="1"/>
  <c r="A552" i="1"/>
  <c r="B552" i="1"/>
  <c r="C552" i="1"/>
  <c r="D552" i="1"/>
  <c r="E552" i="1"/>
  <c r="A557" i="1"/>
  <c r="B557" i="1"/>
  <c r="C557" i="1"/>
  <c r="D557" i="1"/>
  <c r="E557" i="1"/>
  <c r="A558" i="1"/>
  <c r="B558" i="1"/>
  <c r="C558" i="1"/>
  <c r="D558" i="1"/>
  <c r="E558" i="1"/>
  <c r="A554" i="1"/>
  <c r="B554" i="1"/>
  <c r="C554" i="1"/>
  <c r="D554" i="1"/>
  <c r="E554" i="1"/>
  <c r="A560" i="1"/>
  <c r="B560" i="1"/>
  <c r="C560" i="1"/>
  <c r="D560" i="1"/>
  <c r="E560" i="1"/>
  <c r="A561" i="1"/>
  <c r="B561" i="1"/>
  <c r="C561" i="1"/>
  <c r="D561" i="1"/>
  <c r="E561" i="1"/>
  <c r="A559" i="1"/>
  <c r="B559" i="1"/>
  <c r="C559" i="1"/>
  <c r="D559" i="1"/>
  <c r="E559" i="1"/>
  <c r="A567" i="1"/>
  <c r="B567" i="1"/>
  <c r="C567" i="1"/>
  <c r="D567" i="1"/>
  <c r="E567" i="1"/>
  <c r="A562" i="1"/>
  <c r="B562" i="1"/>
  <c r="C562" i="1"/>
  <c r="D562" i="1"/>
  <c r="E562" i="1"/>
  <c r="A564" i="1"/>
  <c r="B564" i="1"/>
  <c r="C564" i="1"/>
  <c r="D564" i="1"/>
  <c r="E564" i="1"/>
  <c r="A565" i="1"/>
  <c r="B565" i="1"/>
  <c r="C565" i="1"/>
  <c r="D565" i="1"/>
  <c r="E565" i="1"/>
  <c r="A563" i="1"/>
  <c r="B563" i="1"/>
  <c r="C563" i="1"/>
  <c r="D563" i="1"/>
  <c r="E563" i="1"/>
  <c r="A569" i="1"/>
  <c r="B569" i="1"/>
  <c r="C569" i="1"/>
  <c r="D569" i="1"/>
  <c r="E569" i="1"/>
  <c r="A566" i="1"/>
  <c r="B566" i="1"/>
  <c r="C566" i="1"/>
  <c r="D566" i="1"/>
  <c r="E566" i="1"/>
  <c r="A568" i="1"/>
  <c r="B568" i="1"/>
  <c r="C568" i="1"/>
  <c r="D568" i="1"/>
  <c r="E568" i="1"/>
  <c r="A570" i="1"/>
  <c r="B570" i="1"/>
  <c r="C570" i="1"/>
  <c r="D570" i="1"/>
  <c r="E570" i="1"/>
  <c r="A571" i="1"/>
  <c r="B571" i="1"/>
  <c r="C571" i="1"/>
  <c r="D571" i="1"/>
  <c r="E571" i="1"/>
  <c r="A572" i="1"/>
  <c r="B572" i="1"/>
  <c r="C572" i="1"/>
  <c r="D572" i="1"/>
  <c r="E572" i="1"/>
  <c r="A573" i="1"/>
  <c r="B573" i="1"/>
  <c r="C573" i="1"/>
  <c r="D573" i="1"/>
  <c r="E573" i="1"/>
  <c r="A574" i="1"/>
  <c r="B574" i="1"/>
  <c r="C574" i="1"/>
  <c r="D574" i="1"/>
  <c r="E574" i="1"/>
  <c r="A575" i="1"/>
  <c r="B575" i="1"/>
  <c r="C575" i="1"/>
  <c r="D575" i="1"/>
  <c r="E575" i="1"/>
  <c r="A576" i="1"/>
  <c r="B576" i="1"/>
  <c r="C576" i="1"/>
  <c r="D576" i="1"/>
  <c r="E576" i="1"/>
  <c r="A577" i="1"/>
  <c r="B577" i="1"/>
  <c r="C577" i="1"/>
  <c r="D577" i="1"/>
  <c r="E577" i="1"/>
  <c r="A578" i="1"/>
  <c r="B578" i="1"/>
  <c r="C578" i="1"/>
  <c r="D578" i="1"/>
  <c r="E578" i="1"/>
  <c r="A579" i="1"/>
  <c r="B579" i="1"/>
  <c r="C579" i="1"/>
  <c r="D579" i="1"/>
  <c r="E579" i="1"/>
  <c r="A580" i="1"/>
  <c r="B580" i="1"/>
  <c r="C580" i="1"/>
  <c r="D580" i="1"/>
  <c r="E580" i="1"/>
  <c r="A581" i="1"/>
  <c r="B581" i="1"/>
  <c r="C581" i="1"/>
  <c r="D581" i="1"/>
  <c r="E581" i="1"/>
  <c r="A582" i="1"/>
  <c r="B582" i="1"/>
  <c r="C582" i="1"/>
  <c r="D582" i="1"/>
  <c r="E582" i="1"/>
  <c r="A583" i="1"/>
  <c r="B583" i="1"/>
  <c r="C583" i="1"/>
  <c r="D583" i="1"/>
  <c r="E583" i="1"/>
  <c r="A584" i="1"/>
  <c r="B584" i="1"/>
  <c r="C584" i="1"/>
  <c r="D584" i="1"/>
  <c r="E584" i="1"/>
  <c r="A585" i="1"/>
  <c r="B585" i="1"/>
  <c r="C585" i="1"/>
  <c r="D585" i="1"/>
  <c r="E585" i="1"/>
  <c r="A588" i="1"/>
  <c r="B588" i="1"/>
  <c r="C588" i="1"/>
  <c r="D588" i="1"/>
  <c r="E588" i="1"/>
  <c r="A586" i="1"/>
  <c r="B586" i="1"/>
  <c r="C586" i="1"/>
  <c r="D586" i="1"/>
  <c r="E586" i="1"/>
  <c r="A587" i="1"/>
  <c r="B587" i="1"/>
  <c r="C587" i="1"/>
  <c r="D587" i="1"/>
  <c r="E587" i="1"/>
  <c r="A589" i="1"/>
  <c r="B589" i="1"/>
  <c r="C589" i="1"/>
  <c r="D589" i="1"/>
  <c r="E589" i="1"/>
  <c r="A590" i="1"/>
  <c r="B590" i="1"/>
  <c r="C590" i="1"/>
  <c r="D590" i="1"/>
  <c r="E590" i="1"/>
  <c r="A591" i="1"/>
  <c r="B591" i="1"/>
  <c r="C591" i="1"/>
  <c r="D591" i="1"/>
  <c r="E591" i="1"/>
  <c r="A592" i="1"/>
  <c r="B592" i="1"/>
  <c r="C592" i="1"/>
  <c r="D592" i="1"/>
  <c r="E592" i="1"/>
  <c r="A593" i="1"/>
  <c r="B593" i="1"/>
  <c r="C593" i="1"/>
  <c r="D593" i="1"/>
  <c r="E593" i="1"/>
  <c r="A594" i="1"/>
  <c r="B594" i="1"/>
  <c r="C594" i="1"/>
  <c r="D594" i="1"/>
  <c r="E594" i="1"/>
  <c r="A595" i="1"/>
  <c r="B595" i="1"/>
  <c r="C595" i="1"/>
  <c r="D595" i="1"/>
  <c r="E595" i="1"/>
  <c r="A596" i="1"/>
  <c r="B596" i="1"/>
  <c r="C596" i="1"/>
  <c r="D596" i="1"/>
  <c r="E596" i="1"/>
  <c r="A597" i="1"/>
  <c r="B597" i="1"/>
  <c r="C597" i="1"/>
  <c r="D597" i="1"/>
  <c r="E597" i="1"/>
  <c r="A598" i="1"/>
  <c r="B598" i="1"/>
  <c r="C598" i="1"/>
  <c r="D598" i="1"/>
  <c r="E598" i="1"/>
  <c r="A599" i="1"/>
  <c r="B599" i="1"/>
  <c r="C599" i="1"/>
  <c r="D599" i="1"/>
  <c r="E599" i="1"/>
  <c r="A600" i="1"/>
  <c r="B600" i="1"/>
  <c r="C600" i="1"/>
  <c r="D600" i="1"/>
  <c r="E600" i="1"/>
  <c r="A601" i="1"/>
  <c r="B601" i="1"/>
  <c r="C601" i="1"/>
  <c r="D601" i="1"/>
  <c r="E601" i="1"/>
  <c r="A602" i="1"/>
  <c r="B602" i="1"/>
  <c r="C602" i="1"/>
  <c r="D602" i="1"/>
  <c r="E602" i="1"/>
  <c r="A603" i="1"/>
  <c r="B603" i="1"/>
  <c r="C603" i="1"/>
  <c r="D603" i="1"/>
  <c r="E603" i="1"/>
  <c r="A608" i="1"/>
  <c r="B608" i="1"/>
  <c r="C608" i="1"/>
  <c r="D608" i="1"/>
  <c r="E608" i="1"/>
  <c r="A609" i="1"/>
  <c r="B609" i="1"/>
  <c r="C609" i="1"/>
  <c r="D609" i="1"/>
  <c r="E609" i="1"/>
  <c r="A610" i="1"/>
  <c r="B610" i="1"/>
  <c r="C610" i="1"/>
  <c r="D610" i="1"/>
  <c r="E610" i="1"/>
  <c r="A604" i="1"/>
  <c r="B604" i="1"/>
  <c r="C604" i="1"/>
  <c r="D604" i="1"/>
  <c r="E604" i="1"/>
  <c r="A605" i="1"/>
  <c r="B605" i="1"/>
  <c r="C605" i="1"/>
  <c r="D605" i="1"/>
  <c r="E605" i="1"/>
  <c r="A606" i="1"/>
  <c r="B606" i="1"/>
  <c r="C606" i="1"/>
  <c r="D606" i="1"/>
  <c r="E606" i="1"/>
  <c r="A607" i="1"/>
  <c r="B607" i="1"/>
  <c r="C607" i="1"/>
  <c r="D607" i="1"/>
  <c r="E607" i="1"/>
  <c r="A612" i="1"/>
  <c r="B612" i="1"/>
  <c r="C612" i="1"/>
  <c r="D612" i="1"/>
  <c r="E612" i="1"/>
  <c r="A611" i="1"/>
  <c r="B611" i="1"/>
  <c r="C611" i="1"/>
  <c r="D611" i="1"/>
  <c r="E611" i="1"/>
  <c r="A613" i="1"/>
  <c r="B613" i="1"/>
  <c r="C613" i="1"/>
  <c r="D613" i="1"/>
  <c r="E613" i="1"/>
  <c r="A617" i="1"/>
  <c r="B617" i="1"/>
  <c r="C617" i="1"/>
  <c r="D617" i="1"/>
  <c r="E617" i="1"/>
  <c r="A614" i="1"/>
  <c r="B614" i="1"/>
  <c r="C614" i="1"/>
  <c r="D614" i="1"/>
  <c r="E614" i="1"/>
  <c r="A618" i="1"/>
  <c r="B618" i="1"/>
  <c r="C618" i="1"/>
  <c r="D618" i="1"/>
  <c r="E618" i="1"/>
  <c r="A615" i="1"/>
  <c r="B615" i="1"/>
  <c r="C615" i="1"/>
  <c r="D615" i="1"/>
  <c r="E615" i="1"/>
  <c r="A630" i="1"/>
  <c r="B630" i="1"/>
  <c r="C630" i="1"/>
  <c r="D630" i="1"/>
  <c r="E630" i="1"/>
  <c r="A619" i="1"/>
  <c r="B619" i="1"/>
  <c r="C619" i="1"/>
  <c r="D619" i="1"/>
  <c r="E619" i="1"/>
  <c r="A621" i="1"/>
  <c r="B621" i="1"/>
  <c r="C621" i="1"/>
  <c r="D621" i="1"/>
  <c r="E621" i="1"/>
  <c r="A622" i="1"/>
  <c r="B622" i="1"/>
  <c r="C622" i="1"/>
  <c r="D622" i="1"/>
  <c r="E622" i="1"/>
  <c r="A623" i="1"/>
  <c r="B623" i="1"/>
  <c r="C623" i="1"/>
  <c r="D623" i="1"/>
  <c r="E623" i="1"/>
  <c r="A632" i="1"/>
  <c r="B632" i="1"/>
  <c r="C632" i="1"/>
  <c r="D632" i="1"/>
  <c r="E632" i="1"/>
  <c r="A631" i="1"/>
  <c r="B631" i="1"/>
  <c r="C631" i="1"/>
  <c r="D631" i="1"/>
  <c r="E631" i="1"/>
  <c r="A620" i="1"/>
  <c r="B620" i="1"/>
  <c r="C620" i="1"/>
  <c r="D620" i="1"/>
  <c r="E620" i="1"/>
  <c r="A624" i="1"/>
  <c r="B624" i="1"/>
  <c r="C624" i="1"/>
  <c r="D624" i="1"/>
  <c r="E624" i="1"/>
  <c r="A625" i="1"/>
  <c r="B625" i="1"/>
  <c r="C625" i="1"/>
  <c r="D625" i="1"/>
  <c r="E625" i="1"/>
  <c r="A626" i="1"/>
  <c r="B626" i="1"/>
  <c r="C626" i="1"/>
  <c r="D626" i="1"/>
  <c r="E626" i="1"/>
  <c r="A627" i="1"/>
  <c r="B627" i="1"/>
  <c r="C627" i="1"/>
  <c r="D627" i="1"/>
  <c r="E627" i="1"/>
  <c r="A616" i="1"/>
  <c r="B616" i="1"/>
  <c r="C616" i="1"/>
  <c r="D616" i="1"/>
  <c r="E616" i="1"/>
  <c r="A628" i="1"/>
  <c r="B628" i="1"/>
  <c r="C628" i="1"/>
  <c r="D628" i="1"/>
  <c r="E628" i="1"/>
  <c r="A629" i="1"/>
  <c r="B629" i="1"/>
  <c r="C629" i="1"/>
  <c r="D629" i="1"/>
  <c r="E629" i="1"/>
  <c r="A633" i="1"/>
  <c r="B633" i="1"/>
  <c r="C633" i="1"/>
  <c r="D633" i="1"/>
  <c r="E633" i="1"/>
  <c r="A638" i="1"/>
  <c r="B638" i="1"/>
  <c r="C638" i="1"/>
  <c r="D638" i="1"/>
  <c r="E638" i="1"/>
  <c r="A634" i="1"/>
  <c r="B634" i="1"/>
  <c r="C634" i="1"/>
  <c r="D634" i="1"/>
  <c r="E634" i="1"/>
  <c r="A635" i="1"/>
  <c r="B635" i="1"/>
  <c r="C635" i="1"/>
  <c r="D635" i="1"/>
  <c r="E635" i="1"/>
  <c r="A640" i="1"/>
  <c r="B640" i="1"/>
  <c r="C640" i="1"/>
  <c r="D640" i="1"/>
  <c r="E640" i="1"/>
  <c r="A636" i="1"/>
  <c r="B636" i="1"/>
  <c r="C636" i="1"/>
  <c r="D636" i="1"/>
  <c r="E636" i="1"/>
  <c r="A641" i="1"/>
  <c r="B641" i="1"/>
  <c r="C641" i="1"/>
  <c r="D641" i="1"/>
  <c r="E641" i="1"/>
  <c r="A639" i="1"/>
  <c r="B639" i="1"/>
  <c r="C639" i="1"/>
  <c r="D639" i="1"/>
  <c r="E639" i="1"/>
  <c r="A637" i="1"/>
  <c r="B637" i="1"/>
  <c r="C637" i="1"/>
  <c r="D637" i="1"/>
  <c r="E637" i="1"/>
  <c r="A642" i="1"/>
  <c r="B642" i="1"/>
  <c r="C642" i="1"/>
  <c r="D642" i="1"/>
  <c r="E642" i="1"/>
  <c r="A644" i="1"/>
  <c r="B644" i="1"/>
  <c r="C644" i="1"/>
  <c r="D644" i="1"/>
  <c r="E644" i="1"/>
  <c r="A643" i="1"/>
  <c r="B643" i="1"/>
  <c r="C643" i="1"/>
  <c r="D643" i="1"/>
  <c r="E643" i="1"/>
  <c r="A646" i="1"/>
  <c r="B646" i="1"/>
  <c r="C646" i="1"/>
  <c r="D646" i="1"/>
  <c r="E646" i="1"/>
  <c r="A645" i="1"/>
  <c r="B645" i="1"/>
  <c r="C645" i="1"/>
  <c r="D645" i="1"/>
  <c r="E645" i="1"/>
  <c r="A647" i="1"/>
  <c r="B647" i="1"/>
  <c r="C647" i="1"/>
  <c r="D647" i="1"/>
  <c r="E647" i="1"/>
  <c r="A648" i="1"/>
  <c r="B648" i="1"/>
  <c r="C648" i="1"/>
  <c r="D648" i="1"/>
  <c r="E648" i="1"/>
  <c r="A649" i="1"/>
  <c r="B649" i="1"/>
  <c r="C649" i="1"/>
  <c r="D649" i="1"/>
  <c r="E649" i="1"/>
  <c r="A650" i="1"/>
  <c r="B650" i="1"/>
  <c r="C650" i="1"/>
  <c r="D650" i="1"/>
  <c r="E650" i="1"/>
  <c r="A652" i="1"/>
  <c r="B652" i="1"/>
  <c r="C652" i="1"/>
  <c r="D652" i="1"/>
  <c r="E652" i="1"/>
  <c r="A653" i="1"/>
  <c r="B653" i="1"/>
  <c r="C653" i="1"/>
  <c r="D653" i="1"/>
  <c r="E653" i="1"/>
  <c r="A651" i="1"/>
  <c r="B651" i="1"/>
  <c r="C651" i="1"/>
  <c r="D651" i="1"/>
  <c r="E651" i="1"/>
  <c r="A654" i="1"/>
  <c r="B654" i="1"/>
  <c r="C654" i="1"/>
  <c r="D654" i="1"/>
  <c r="E654" i="1"/>
  <c r="A656" i="1"/>
  <c r="B656" i="1"/>
  <c r="C656" i="1"/>
  <c r="D656" i="1"/>
  <c r="E656" i="1"/>
  <c r="A655" i="1"/>
  <c r="B655" i="1"/>
  <c r="C655" i="1"/>
  <c r="D655" i="1"/>
  <c r="E655" i="1"/>
  <c r="A657" i="1"/>
  <c r="B657" i="1"/>
  <c r="C657" i="1"/>
  <c r="D657" i="1"/>
  <c r="E657" i="1"/>
  <c r="A658" i="1"/>
  <c r="C658" i="1"/>
  <c r="D658" i="1"/>
  <c r="E658" i="1"/>
  <c r="A659" i="1"/>
  <c r="B659" i="1"/>
  <c r="C659" i="1"/>
  <c r="D659" i="1"/>
  <c r="E659" i="1"/>
  <c r="A660" i="1"/>
  <c r="B660" i="1"/>
  <c r="C660" i="1"/>
  <c r="D660" i="1"/>
  <c r="E660" i="1"/>
  <c r="A661" i="1"/>
  <c r="B661" i="1"/>
  <c r="C661" i="1"/>
  <c r="D661" i="1"/>
  <c r="E661" i="1"/>
  <c r="A663" i="1"/>
  <c r="B663" i="1"/>
  <c r="C663" i="1"/>
  <c r="D663" i="1"/>
  <c r="E663" i="1"/>
  <c r="A662" i="1"/>
  <c r="B662" i="1"/>
  <c r="C662" i="1"/>
  <c r="D662" i="1"/>
  <c r="E662" i="1"/>
  <c r="A664" i="1"/>
  <c r="B664" i="1"/>
  <c r="C664" i="1"/>
  <c r="D664" i="1"/>
  <c r="E664" i="1"/>
  <c r="A665" i="1"/>
  <c r="B665" i="1"/>
  <c r="C665" i="1"/>
  <c r="D665" i="1"/>
  <c r="E665" i="1"/>
  <c r="A666" i="1"/>
  <c r="B666" i="1"/>
  <c r="C666" i="1"/>
  <c r="D666" i="1"/>
  <c r="E666" i="1"/>
  <c r="A668" i="1"/>
  <c r="B668" i="1"/>
  <c r="C668" i="1"/>
  <c r="D668" i="1"/>
  <c r="E668" i="1"/>
  <c r="A667" i="1"/>
  <c r="B667" i="1"/>
  <c r="C667" i="1"/>
  <c r="D667" i="1"/>
  <c r="E667" i="1"/>
  <c r="A669" i="1"/>
  <c r="B669" i="1"/>
  <c r="C669" i="1"/>
  <c r="D669" i="1"/>
  <c r="E669" i="1"/>
  <c r="A670" i="1"/>
  <c r="B670" i="1"/>
  <c r="C670" i="1"/>
  <c r="D670" i="1"/>
  <c r="E670" i="1"/>
  <c r="A671" i="1"/>
  <c r="B671" i="1"/>
  <c r="C671" i="1"/>
  <c r="D671" i="1"/>
  <c r="E671" i="1"/>
  <c r="A672" i="1"/>
  <c r="B672" i="1"/>
  <c r="C672" i="1"/>
  <c r="D672" i="1"/>
  <c r="E672" i="1"/>
  <c r="A673" i="1"/>
  <c r="B673" i="1"/>
  <c r="C673" i="1"/>
  <c r="D673" i="1"/>
  <c r="E673" i="1"/>
  <c r="A676" i="1"/>
  <c r="B676" i="1"/>
  <c r="C676" i="1"/>
  <c r="D676" i="1"/>
  <c r="E676" i="1"/>
  <c r="A675" i="1"/>
  <c r="B675" i="1"/>
  <c r="C675" i="1"/>
  <c r="D675" i="1"/>
  <c r="E675" i="1"/>
  <c r="A674" i="1"/>
  <c r="B674" i="1"/>
  <c r="C674" i="1"/>
  <c r="D674" i="1"/>
  <c r="E674" i="1"/>
  <c r="A677" i="1"/>
  <c r="B677" i="1"/>
  <c r="C677" i="1"/>
  <c r="D677" i="1"/>
  <c r="E677" i="1"/>
  <c r="A678" i="1"/>
  <c r="B678" i="1"/>
  <c r="C678" i="1"/>
  <c r="D678" i="1"/>
  <c r="E678" i="1"/>
  <c r="A680" i="1"/>
  <c r="B680" i="1"/>
  <c r="C680" i="1"/>
  <c r="D680" i="1"/>
  <c r="E680" i="1"/>
  <c r="A679" i="1"/>
  <c r="B679" i="1"/>
  <c r="C679" i="1"/>
  <c r="D679" i="1"/>
  <c r="E679" i="1"/>
  <c r="A681" i="1"/>
  <c r="B681" i="1"/>
  <c r="C681" i="1"/>
  <c r="D681" i="1"/>
  <c r="E681" i="1"/>
  <c r="A682" i="1"/>
  <c r="B682" i="1"/>
  <c r="C682" i="1"/>
  <c r="D682" i="1"/>
  <c r="E682" i="1"/>
  <c r="A683" i="1"/>
  <c r="B683" i="1"/>
  <c r="C683" i="1"/>
  <c r="D683" i="1"/>
  <c r="E683" i="1"/>
  <c r="A684" i="1"/>
  <c r="B684" i="1"/>
  <c r="C684" i="1"/>
  <c r="D684" i="1"/>
  <c r="E684" i="1"/>
  <c r="A685" i="1"/>
  <c r="B685" i="1"/>
  <c r="C685" i="1"/>
  <c r="D685" i="1"/>
  <c r="E685" i="1"/>
  <c r="A686" i="1"/>
  <c r="B686" i="1"/>
  <c r="C686" i="1"/>
  <c r="D686" i="1"/>
  <c r="E686" i="1"/>
  <c r="A687" i="1"/>
  <c r="B687" i="1"/>
  <c r="C687" i="1"/>
  <c r="D687" i="1"/>
  <c r="E687" i="1"/>
  <c r="A688" i="1"/>
  <c r="B688" i="1"/>
  <c r="C688" i="1"/>
  <c r="D688" i="1"/>
  <c r="E688" i="1"/>
  <c r="A689" i="1"/>
  <c r="B689" i="1"/>
  <c r="C689" i="1"/>
  <c r="D689" i="1"/>
  <c r="E689" i="1"/>
  <c r="A691" i="1"/>
  <c r="B691" i="1"/>
  <c r="C691" i="1"/>
  <c r="D691" i="1"/>
  <c r="E691" i="1"/>
  <c r="A692" i="1"/>
  <c r="B692" i="1"/>
  <c r="C692" i="1"/>
  <c r="D692" i="1"/>
  <c r="E692" i="1"/>
  <c r="A696" i="1"/>
  <c r="C696" i="1"/>
  <c r="D696" i="1"/>
  <c r="E696" i="1"/>
  <c r="A693" i="1"/>
  <c r="B693" i="1"/>
  <c r="C693" i="1"/>
  <c r="D693" i="1"/>
  <c r="E693" i="1"/>
  <c r="A694" i="1"/>
  <c r="B694" i="1"/>
  <c r="C694" i="1"/>
  <c r="D694" i="1"/>
  <c r="E694" i="1"/>
  <c r="A695" i="1"/>
  <c r="B695" i="1"/>
  <c r="C695" i="1"/>
  <c r="D695" i="1"/>
  <c r="E695" i="1"/>
  <c r="A698" i="1"/>
  <c r="B698" i="1"/>
  <c r="C698" i="1"/>
  <c r="D698" i="1"/>
  <c r="E698" i="1"/>
  <c r="A697" i="1"/>
  <c r="B697" i="1"/>
  <c r="C697" i="1"/>
  <c r="D697" i="1"/>
  <c r="E697" i="1"/>
  <c r="A699" i="1"/>
  <c r="B699" i="1"/>
  <c r="C699" i="1"/>
  <c r="D699" i="1"/>
  <c r="E699" i="1"/>
  <c r="A700" i="1"/>
  <c r="B700" i="1"/>
  <c r="C700" i="1"/>
  <c r="D700" i="1"/>
  <c r="E700" i="1"/>
  <c r="A701" i="1"/>
  <c r="B701" i="1"/>
  <c r="C701" i="1"/>
  <c r="D701" i="1"/>
  <c r="E701" i="1"/>
  <c r="A702" i="1"/>
  <c r="B702" i="1"/>
  <c r="C702" i="1"/>
  <c r="D702" i="1"/>
  <c r="E702" i="1"/>
  <c r="A703" i="1"/>
  <c r="B703" i="1"/>
  <c r="C703" i="1"/>
  <c r="D703" i="1"/>
  <c r="E703" i="1"/>
  <c r="A704" i="1"/>
  <c r="B704" i="1"/>
  <c r="C704" i="1"/>
  <c r="D704" i="1"/>
  <c r="E704" i="1"/>
  <c r="A705" i="1"/>
  <c r="B705" i="1"/>
  <c r="C705" i="1"/>
  <c r="D705" i="1"/>
  <c r="E705" i="1"/>
  <c r="A706" i="1"/>
  <c r="B706" i="1"/>
  <c r="C706" i="1"/>
  <c r="D706" i="1"/>
  <c r="E706" i="1"/>
  <c r="A707" i="1"/>
  <c r="B707" i="1"/>
  <c r="C707" i="1"/>
  <c r="D707" i="1"/>
  <c r="E707" i="1"/>
  <c r="A708" i="1"/>
  <c r="B708" i="1"/>
  <c r="C708" i="1"/>
  <c r="D708" i="1"/>
  <c r="E708" i="1"/>
  <c r="A709" i="1"/>
  <c r="B709" i="1"/>
  <c r="C709" i="1"/>
  <c r="D709" i="1"/>
  <c r="E709" i="1"/>
  <c r="A710" i="1"/>
  <c r="C710" i="1"/>
  <c r="D710" i="1"/>
  <c r="E710" i="1"/>
  <c r="A711" i="1"/>
  <c r="B711" i="1"/>
  <c r="C711" i="1"/>
  <c r="D711" i="1"/>
  <c r="E711" i="1"/>
  <c r="A713" i="1"/>
  <c r="B713" i="1"/>
  <c r="C713" i="1"/>
  <c r="D713" i="1"/>
  <c r="E713" i="1"/>
  <c r="A712" i="1"/>
  <c r="B712" i="1"/>
  <c r="C712" i="1"/>
  <c r="D712" i="1"/>
  <c r="E712" i="1"/>
  <c r="A714" i="1"/>
  <c r="B714" i="1"/>
  <c r="C714" i="1"/>
  <c r="D714" i="1"/>
  <c r="E714" i="1"/>
  <c r="A715" i="1"/>
  <c r="B715" i="1"/>
  <c r="C715" i="1"/>
  <c r="D715" i="1"/>
  <c r="E715" i="1"/>
  <c r="A716" i="1"/>
  <c r="B716" i="1"/>
  <c r="C716" i="1"/>
  <c r="D716" i="1"/>
  <c r="E716" i="1"/>
  <c r="A690" i="1"/>
  <c r="B690" i="1"/>
  <c r="C690" i="1"/>
  <c r="D690" i="1"/>
  <c r="E690" i="1"/>
  <c r="A717" i="1"/>
  <c r="B717" i="1"/>
  <c r="C717" i="1"/>
  <c r="D717" i="1"/>
  <c r="E717" i="1"/>
  <c r="A718" i="1"/>
  <c r="B718" i="1"/>
  <c r="C718" i="1"/>
  <c r="D718" i="1"/>
  <c r="E718" i="1"/>
  <c r="A719" i="1"/>
  <c r="B719" i="1"/>
  <c r="C719" i="1"/>
  <c r="D719" i="1"/>
  <c r="E719" i="1"/>
  <c r="A721" i="1"/>
  <c r="B721" i="1"/>
  <c r="C721" i="1"/>
  <c r="D721" i="1"/>
  <c r="E721" i="1"/>
  <c r="A722" i="1"/>
  <c r="B722" i="1"/>
  <c r="C722" i="1"/>
  <c r="D722" i="1"/>
  <c r="E722" i="1"/>
  <c r="A720" i="1"/>
  <c r="B720" i="1"/>
  <c r="C720" i="1"/>
  <c r="D720" i="1"/>
  <c r="E720" i="1"/>
  <c r="A723" i="1"/>
  <c r="B723" i="1"/>
  <c r="C723" i="1"/>
  <c r="D723" i="1"/>
  <c r="E723" i="1"/>
  <c r="A724" i="1"/>
  <c r="B724" i="1"/>
  <c r="C724" i="1"/>
  <c r="D724" i="1"/>
  <c r="E724" i="1"/>
  <c r="A726" i="1"/>
  <c r="B726" i="1"/>
  <c r="C726" i="1"/>
  <c r="D726" i="1"/>
  <c r="E726" i="1"/>
  <c r="A725" i="1"/>
  <c r="B725" i="1"/>
  <c r="C725" i="1"/>
  <c r="D725" i="1"/>
  <c r="E725" i="1"/>
  <c r="A727" i="1"/>
  <c r="B727" i="1"/>
  <c r="C727" i="1"/>
  <c r="D727" i="1"/>
  <c r="E727" i="1"/>
  <c r="A728" i="1"/>
  <c r="B728" i="1"/>
  <c r="C728" i="1"/>
  <c r="D728" i="1"/>
  <c r="E728" i="1"/>
  <c r="A729" i="1"/>
  <c r="B729" i="1"/>
  <c r="C729" i="1"/>
  <c r="D729" i="1"/>
  <c r="E729" i="1"/>
  <c r="A731" i="1"/>
  <c r="B731" i="1"/>
  <c r="C731" i="1"/>
  <c r="D731" i="1"/>
  <c r="E731" i="1"/>
  <c r="A730" i="1"/>
  <c r="B730" i="1"/>
  <c r="C730" i="1"/>
  <c r="D730" i="1"/>
  <c r="E730" i="1"/>
  <c r="A734" i="1"/>
  <c r="B734" i="1"/>
  <c r="C734" i="1"/>
  <c r="D734" i="1"/>
  <c r="E734" i="1"/>
  <c r="A733" i="1"/>
  <c r="B733" i="1"/>
  <c r="C733" i="1"/>
  <c r="D733" i="1"/>
  <c r="E733" i="1"/>
  <c r="A732" i="1"/>
  <c r="B732" i="1"/>
  <c r="C732" i="1"/>
  <c r="D732" i="1"/>
  <c r="E732" i="1"/>
  <c r="A735" i="1"/>
  <c r="B735" i="1"/>
  <c r="C735" i="1"/>
  <c r="D735" i="1"/>
  <c r="E735" i="1"/>
  <c r="A736" i="1"/>
  <c r="B736" i="1"/>
  <c r="C736" i="1"/>
  <c r="D736" i="1"/>
  <c r="E736" i="1"/>
  <c r="A737" i="1"/>
  <c r="B737" i="1"/>
  <c r="C737" i="1"/>
  <c r="D737" i="1"/>
  <c r="E737" i="1"/>
  <c r="A738" i="1"/>
  <c r="B738" i="1"/>
  <c r="C738" i="1"/>
  <c r="D738" i="1"/>
  <c r="E738" i="1"/>
  <c r="A739" i="1"/>
  <c r="B739" i="1"/>
  <c r="C739" i="1"/>
  <c r="D739" i="1"/>
  <c r="E739" i="1"/>
  <c r="A740" i="1"/>
  <c r="B740" i="1"/>
  <c r="C740" i="1"/>
  <c r="D740" i="1"/>
  <c r="E740" i="1"/>
  <c r="A741" i="1"/>
  <c r="B741" i="1"/>
  <c r="C741" i="1"/>
  <c r="D741" i="1"/>
  <c r="E741" i="1"/>
  <c r="A743" i="1"/>
  <c r="B743" i="1"/>
  <c r="C743" i="1"/>
  <c r="D743" i="1"/>
  <c r="E743" i="1"/>
  <c r="A744" i="1"/>
  <c r="B744" i="1"/>
  <c r="C744" i="1"/>
  <c r="D744" i="1"/>
  <c r="E744" i="1"/>
  <c r="A742" i="1"/>
  <c r="B742" i="1"/>
  <c r="C742" i="1"/>
  <c r="D742" i="1"/>
  <c r="E742" i="1"/>
  <c r="A745" i="1"/>
  <c r="B745" i="1"/>
  <c r="C745" i="1"/>
  <c r="D745" i="1"/>
  <c r="E745" i="1"/>
  <c r="A747" i="1"/>
  <c r="B747" i="1"/>
  <c r="C747" i="1"/>
  <c r="D747" i="1"/>
  <c r="E747" i="1"/>
  <c r="A748" i="1"/>
  <c r="B748" i="1"/>
  <c r="C748" i="1"/>
  <c r="D748" i="1"/>
  <c r="E748" i="1"/>
  <c r="A746" i="1"/>
  <c r="B746" i="1"/>
  <c r="C746" i="1"/>
  <c r="D746" i="1"/>
  <c r="E746" i="1"/>
  <c r="A749" i="1"/>
  <c r="B749" i="1"/>
  <c r="C749" i="1"/>
  <c r="D749" i="1"/>
  <c r="E749" i="1"/>
  <c r="A750" i="1"/>
  <c r="B750" i="1"/>
  <c r="C750" i="1"/>
  <c r="D750" i="1"/>
  <c r="E750" i="1"/>
  <c r="A751" i="1"/>
  <c r="B751" i="1"/>
  <c r="C751" i="1"/>
  <c r="D751" i="1"/>
  <c r="E751" i="1"/>
  <c r="A752" i="1"/>
  <c r="B752" i="1"/>
  <c r="C752" i="1"/>
  <c r="D752" i="1"/>
  <c r="E752" i="1"/>
  <c r="A753" i="1"/>
  <c r="B753" i="1"/>
  <c r="C753" i="1"/>
  <c r="D753" i="1"/>
  <c r="E753" i="1"/>
  <c r="A754" i="1"/>
  <c r="B754" i="1"/>
  <c r="C754" i="1"/>
  <c r="D754" i="1"/>
  <c r="E754" i="1"/>
  <c r="A755" i="1"/>
  <c r="B755" i="1"/>
  <c r="C755" i="1"/>
  <c r="D755" i="1"/>
  <c r="E755" i="1"/>
  <c r="A756" i="1"/>
  <c r="B756" i="1"/>
  <c r="C756" i="1"/>
  <c r="D756" i="1"/>
  <c r="E756" i="1"/>
  <c r="A757" i="1"/>
  <c r="B757" i="1"/>
  <c r="C757" i="1"/>
  <c r="D757" i="1"/>
  <c r="E757" i="1"/>
  <c r="A758" i="1"/>
  <c r="B758" i="1"/>
  <c r="C758" i="1"/>
  <c r="D758" i="1"/>
  <c r="E758" i="1"/>
  <c r="A759" i="1"/>
  <c r="B759" i="1"/>
  <c r="C759" i="1"/>
  <c r="D759" i="1"/>
  <c r="E759" i="1"/>
  <c r="A760" i="1"/>
  <c r="B760" i="1"/>
  <c r="C760" i="1"/>
  <c r="D760" i="1"/>
  <c r="E760" i="1"/>
  <c r="A761" i="1"/>
  <c r="B761" i="1"/>
  <c r="C761" i="1"/>
  <c r="D761" i="1"/>
  <c r="E761" i="1"/>
  <c r="A762" i="1"/>
  <c r="B762" i="1"/>
  <c r="C762" i="1"/>
  <c r="D762" i="1"/>
  <c r="E762" i="1"/>
  <c r="A763" i="1"/>
  <c r="B763" i="1"/>
  <c r="C763" i="1"/>
  <c r="D763" i="1"/>
  <c r="E763" i="1"/>
  <c r="A764" i="1"/>
  <c r="B764" i="1"/>
  <c r="C764" i="1"/>
  <c r="D764" i="1"/>
  <c r="E764" i="1"/>
  <c r="A765" i="1"/>
  <c r="B765" i="1"/>
  <c r="C765" i="1"/>
  <c r="D765" i="1"/>
  <c r="E765" i="1"/>
  <c r="A766" i="1"/>
  <c r="B766" i="1"/>
  <c r="C766" i="1"/>
  <c r="D766" i="1"/>
  <c r="E766" i="1"/>
  <c r="A767" i="1"/>
  <c r="B767" i="1"/>
  <c r="C767" i="1"/>
  <c r="D767" i="1"/>
  <c r="E767" i="1"/>
  <c r="A768" i="1"/>
  <c r="B768" i="1"/>
  <c r="C768" i="1"/>
  <c r="D768" i="1"/>
  <c r="E768" i="1"/>
  <c r="A769" i="1"/>
  <c r="B769" i="1"/>
  <c r="C769" i="1"/>
  <c r="D769" i="1"/>
  <c r="E769" i="1"/>
  <c r="A770" i="1"/>
  <c r="B770" i="1"/>
  <c r="C770" i="1"/>
  <c r="D770" i="1"/>
  <c r="E770" i="1"/>
  <c r="A771" i="1"/>
  <c r="B771" i="1"/>
  <c r="C771" i="1"/>
  <c r="D771" i="1"/>
  <c r="E771" i="1"/>
  <c r="A773" i="1"/>
  <c r="B773" i="1"/>
  <c r="C773" i="1"/>
  <c r="D773" i="1"/>
  <c r="E773" i="1"/>
  <c r="A772" i="1"/>
  <c r="B772" i="1"/>
  <c r="C772" i="1"/>
  <c r="D772" i="1"/>
  <c r="E772" i="1"/>
  <c r="A774" i="1"/>
  <c r="B774" i="1"/>
  <c r="C774" i="1"/>
  <c r="D774" i="1"/>
  <c r="E774" i="1"/>
  <c r="A775" i="1"/>
  <c r="B775" i="1"/>
  <c r="C775" i="1"/>
  <c r="D775" i="1"/>
  <c r="E775" i="1"/>
  <c r="A776" i="1"/>
  <c r="B776" i="1"/>
  <c r="C776" i="1"/>
  <c r="D776" i="1"/>
  <c r="E776" i="1"/>
  <c r="A777" i="1"/>
  <c r="B777" i="1"/>
  <c r="C777" i="1"/>
  <c r="D777" i="1"/>
  <c r="E777" i="1"/>
  <c r="A778" i="1"/>
  <c r="B778" i="1"/>
  <c r="C778" i="1"/>
  <c r="D778" i="1"/>
  <c r="E778" i="1"/>
  <c r="A780" i="1"/>
  <c r="B780" i="1"/>
  <c r="C780" i="1"/>
  <c r="D780" i="1"/>
  <c r="E780" i="1"/>
  <c r="A779" i="1"/>
  <c r="B779" i="1"/>
  <c r="C779" i="1"/>
  <c r="D779" i="1"/>
  <c r="E779" i="1"/>
  <c r="A782" i="1"/>
  <c r="B782" i="1"/>
  <c r="C782" i="1"/>
  <c r="D782" i="1"/>
  <c r="E782" i="1"/>
  <c r="A784" i="1"/>
  <c r="B784" i="1"/>
  <c r="C784" i="1"/>
  <c r="D784" i="1"/>
  <c r="E784" i="1"/>
  <c r="A781" i="1"/>
  <c r="B781" i="1"/>
  <c r="C781" i="1"/>
  <c r="D781" i="1"/>
  <c r="E781" i="1"/>
  <c r="A783" i="1"/>
  <c r="B783" i="1"/>
  <c r="C783" i="1"/>
  <c r="D783" i="1"/>
  <c r="E783" i="1"/>
  <c r="A785" i="1"/>
  <c r="B785" i="1"/>
  <c r="C785" i="1"/>
  <c r="D785" i="1"/>
  <c r="E785" i="1"/>
  <c r="A786" i="1"/>
  <c r="B786" i="1"/>
  <c r="C786" i="1"/>
  <c r="D786" i="1"/>
  <c r="E786" i="1"/>
  <c r="A787" i="1"/>
  <c r="B787" i="1"/>
  <c r="C787" i="1"/>
  <c r="D787" i="1"/>
  <c r="E787" i="1"/>
  <c r="A788" i="1"/>
  <c r="B788" i="1"/>
  <c r="C788" i="1"/>
  <c r="D788" i="1"/>
  <c r="E788" i="1"/>
  <c r="A789" i="1"/>
  <c r="B789" i="1"/>
  <c r="C789" i="1"/>
  <c r="D789" i="1"/>
  <c r="E789" i="1"/>
  <c r="A790" i="1"/>
  <c r="B790" i="1"/>
  <c r="C790" i="1"/>
  <c r="D790" i="1"/>
  <c r="E790" i="1"/>
  <c r="A791" i="1"/>
  <c r="B791" i="1"/>
  <c r="C791" i="1"/>
  <c r="D791" i="1"/>
  <c r="E791" i="1"/>
  <c r="A793" i="1"/>
  <c r="B793" i="1"/>
  <c r="C793" i="1"/>
  <c r="D793" i="1"/>
  <c r="E793" i="1"/>
  <c r="A792" i="1"/>
  <c r="B792" i="1"/>
  <c r="C792" i="1"/>
  <c r="D792" i="1"/>
  <c r="E792" i="1"/>
  <c r="A794" i="1"/>
  <c r="B794" i="1"/>
  <c r="C794" i="1"/>
  <c r="D794" i="1"/>
  <c r="E794" i="1"/>
  <c r="A795" i="1"/>
  <c r="B795" i="1"/>
  <c r="C795" i="1"/>
  <c r="D795" i="1"/>
  <c r="E795" i="1"/>
  <c r="A796" i="1"/>
  <c r="B796" i="1"/>
  <c r="C796" i="1"/>
  <c r="D796" i="1"/>
  <c r="E796" i="1"/>
  <c r="A797" i="1"/>
  <c r="B797" i="1"/>
  <c r="C797" i="1"/>
  <c r="D797" i="1"/>
  <c r="E797" i="1"/>
  <c r="A798" i="1"/>
  <c r="B798" i="1"/>
  <c r="C798" i="1"/>
  <c r="D798" i="1"/>
  <c r="E798" i="1"/>
  <c r="A799" i="1"/>
  <c r="B799" i="1"/>
  <c r="C799" i="1"/>
  <c r="D799" i="1"/>
  <c r="E799" i="1"/>
  <c r="A800" i="1"/>
  <c r="B800" i="1"/>
  <c r="C800" i="1"/>
  <c r="D800" i="1"/>
  <c r="E800" i="1"/>
  <c r="A801" i="1"/>
  <c r="B801" i="1"/>
  <c r="C801" i="1"/>
  <c r="D801" i="1"/>
  <c r="E801" i="1"/>
  <c r="A802" i="1"/>
  <c r="B802" i="1"/>
  <c r="C802" i="1"/>
  <c r="D802" i="1"/>
  <c r="E802" i="1"/>
  <c r="A804" i="1"/>
  <c r="B804" i="1"/>
  <c r="C804" i="1"/>
  <c r="D804" i="1"/>
  <c r="E804" i="1"/>
  <c r="A803" i="1"/>
  <c r="B803" i="1"/>
  <c r="C803" i="1"/>
  <c r="D803" i="1"/>
  <c r="E803" i="1"/>
  <c r="A805" i="1"/>
  <c r="B805" i="1"/>
  <c r="C805" i="1"/>
  <c r="D805" i="1"/>
  <c r="E805" i="1"/>
  <c r="A806" i="1"/>
  <c r="B806" i="1"/>
  <c r="C806" i="1"/>
  <c r="D806" i="1"/>
  <c r="E806" i="1"/>
  <c r="A808" i="1"/>
  <c r="B808" i="1"/>
  <c r="C808" i="1"/>
  <c r="D808" i="1"/>
  <c r="E808" i="1"/>
  <c r="A807" i="1"/>
  <c r="B807" i="1"/>
  <c r="C807" i="1"/>
  <c r="D807" i="1"/>
  <c r="E807" i="1"/>
  <c r="A810" i="1"/>
  <c r="B810" i="1"/>
  <c r="C810" i="1"/>
  <c r="D810" i="1"/>
  <c r="E810" i="1"/>
  <c r="A809" i="1"/>
  <c r="B809" i="1"/>
  <c r="C809" i="1"/>
  <c r="D809" i="1"/>
  <c r="E809" i="1"/>
  <c r="A811" i="1"/>
  <c r="B811" i="1"/>
  <c r="C811" i="1"/>
  <c r="D811" i="1"/>
  <c r="E811" i="1"/>
  <c r="A813" i="1"/>
  <c r="B813" i="1"/>
  <c r="C813" i="1"/>
  <c r="D813" i="1"/>
  <c r="E813" i="1"/>
  <c r="A812" i="1"/>
  <c r="B812" i="1"/>
  <c r="C812" i="1"/>
  <c r="D812" i="1"/>
  <c r="E812" i="1"/>
  <c r="A814" i="1"/>
  <c r="B814" i="1"/>
  <c r="C814" i="1"/>
  <c r="D814" i="1"/>
  <c r="E814" i="1"/>
  <c r="A815" i="1"/>
  <c r="B815" i="1"/>
  <c r="C815" i="1"/>
  <c r="D815" i="1"/>
  <c r="E815" i="1"/>
  <c r="A816" i="1"/>
  <c r="B816" i="1"/>
  <c r="C816" i="1"/>
  <c r="D816" i="1"/>
  <c r="E816" i="1"/>
  <c r="A819" i="1"/>
  <c r="B819" i="1"/>
  <c r="C819" i="1"/>
  <c r="D819" i="1"/>
  <c r="E819" i="1"/>
  <c r="A817" i="1"/>
  <c r="B817" i="1"/>
  <c r="C817" i="1"/>
  <c r="D817" i="1"/>
  <c r="E817" i="1"/>
  <c r="A818" i="1"/>
  <c r="B818" i="1"/>
  <c r="C818" i="1"/>
  <c r="D818" i="1"/>
  <c r="E818" i="1"/>
  <c r="A820" i="1"/>
  <c r="B820" i="1"/>
  <c r="C820" i="1"/>
  <c r="D820" i="1"/>
  <c r="E820" i="1"/>
  <c r="A821" i="1"/>
  <c r="B821" i="1"/>
  <c r="C821" i="1"/>
  <c r="D821" i="1"/>
  <c r="E821" i="1"/>
  <c r="A822" i="1"/>
  <c r="B822" i="1"/>
  <c r="C822" i="1"/>
  <c r="D822" i="1"/>
  <c r="E822" i="1"/>
  <c r="A823" i="1"/>
  <c r="B823" i="1"/>
  <c r="C823" i="1"/>
  <c r="D823" i="1"/>
  <c r="E823" i="1"/>
  <c r="A824" i="1"/>
  <c r="B824" i="1"/>
  <c r="C824" i="1"/>
  <c r="D824" i="1"/>
  <c r="E824" i="1"/>
  <c r="A825" i="1"/>
  <c r="B825" i="1"/>
  <c r="C825" i="1"/>
  <c r="D825" i="1"/>
  <c r="E825" i="1"/>
  <c r="A7" i="1"/>
  <c r="B7" i="1"/>
  <c r="C7" i="1"/>
  <c r="D7" i="1"/>
  <c r="E7" i="1"/>
  <c r="A15" i="1"/>
  <c r="B15" i="1"/>
  <c r="C15" i="1"/>
  <c r="D15" i="1"/>
  <c r="E15" i="1"/>
  <c r="A10" i="1"/>
  <c r="B10" i="1"/>
  <c r="C10" i="1"/>
  <c r="D10" i="1"/>
  <c r="E10" i="1"/>
  <c r="A8" i="1"/>
  <c r="B8" i="1"/>
  <c r="C8" i="1"/>
  <c r="D8" i="1"/>
  <c r="E8" i="1"/>
  <c r="A9" i="1"/>
  <c r="B9" i="1"/>
  <c r="C9" i="1"/>
  <c r="D9" i="1"/>
  <c r="E9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9" i="1"/>
  <c r="B19" i="1"/>
  <c r="C19" i="1"/>
  <c r="D19" i="1"/>
  <c r="E19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20" i="1"/>
  <c r="B20" i="1"/>
  <c r="C20" i="1"/>
  <c r="D20" i="1"/>
  <c r="E20" i="1"/>
  <c r="A21" i="1"/>
  <c r="B21" i="1"/>
  <c r="C21" i="1"/>
  <c r="D21" i="1"/>
  <c r="E21" i="1"/>
  <c r="A14" i="1"/>
  <c r="B14" i="1"/>
  <c r="C14" i="1"/>
  <c r="D14" i="1"/>
  <c r="E14" i="1"/>
  <c r="A22" i="1"/>
  <c r="B22" i="1"/>
  <c r="C22" i="1"/>
  <c r="D22" i="1"/>
  <c r="E22" i="1"/>
  <c r="A23" i="1"/>
  <c r="B23" i="1"/>
  <c r="C23" i="1"/>
  <c r="D23" i="1"/>
  <c r="E23" i="1"/>
  <c r="A29" i="1"/>
  <c r="B29" i="1"/>
  <c r="C29" i="1"/>
  <c r="D29" i="1"/>
  <c r="E29" i="1"/>
  <c r="A24" i="1"/>
  <c r="B24" i="1"/>
  <c r="C24" i="1"/>
  <c r="D24" i="1"/>
  <c r="E24" i="1"/>
  <c r="A25" i="1"/>
  <c r="B25" i="1"/>
  <c r="C25" i="1"/>
  <c r="D25" i="1"/>
  <c r="E25" i="1"/>
  <c r="A33" i="1"/>
  <c r="B33" i="1"/>
  <c r="C33" i="1"/>
  <c r="D33" i="1"/>
  <c r="E33" i="1"/>
  <c r="A26" i="1"/>
  <c r="B26" i="1"/>
  <c r="C26" i="1"/>
  <c r="D26" i="1"/>
  <c r="E26" i="1"/>
  <c r="A27" i="1"/>
  <c r="B27" i="1"/>
  <c r="C27" i="1"/>
  <c r="D27" i="1"/>
  <c r="E27" i="1"/>
  <c r="A30" i="1"/>
  <c r="B30" i="1"/>
  <c r="C30" i="1"/>
  <c r="D30" i="1"/>
  <c r="E30" i="1"/>
  <c r="A28" i="1"/>
  <c r="B28" i="1"/>
  <c r="C28" i="1"/>
  <c r="D28" i="1"/>
  <c r="E28" i="1"/>
  <c r="A31" i="1"/>
  <c r="B31" i="1"/>
  <c r="C31" i="1"/>
  <c r="D31" i="1"/>
  <c r="E31" i="1"/>
  <c r="A36" i="1"/>
  <c r="B36" i="1"/>
  <c r="C36" i="1"/>
  <c r="D36" i="1"/>
  <c r="E36" i="1"/>
  <c r="A35" i="1"/>
  <c r="B35" i="1"/>
  <c r="C35" i="1"/>
  <c r="D35" i="1"/>
  <c r="E35" i="1"/>
  <c r="A38" i="1"/>
  <c r="B38" i="1"/>
  <c r="C38" i="1"/>
  <c r="D38" i="1"/>
  <c r="E38" i="1"/>
  <c r="A37" i="1"/>
  <c r="B37" i="1"/>
  <c r="C37" i="1"/>
  <c r="D37" i="1"/>
  <c r="E37" i="1"/>
  <c r="A39" i="1"/>
  <c r="B39" i="1"/>
  <c r="C39" i="1"/>
  <c r="D39" i="1"/>
  <c r="E39" i="1"/>
  <c r="A44" i="1"/>
  <c r="B44" i="1"/>
  <c r="C44" i="1"/>
  <c r="D44" i="1"/>
  <c r="E44" i="1"/>
  <c r="A43" i="1"/>
  <c r="B43" i="1"/>
  <c r="C43" i="1"/>
  <c r="D43" i="1"/>
  <c r="E43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0" i="1"/>
  <c r="B50" i="1"/>
  <c r="C50" i="1"/>
  <c r="D50" i="1"/>
  <c r="E50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32" i="1"/>
  <c r="B32" i="1"/>
  <c r="C32" i="1"/>
  <c r="D32" i="1"/>
  <c r="E32" i="1"/>
  <c r="A60" i="1"/>
  <c r="B60" i="1"/>
  <c r="C60" i="1"/>
  <c r="D60" i="1"/>
  <c r="E60" i="1"/>
  <c r="A62" i="1"/>
  <c r="B62" i="1"/>
  <c r="C62" i="1"/>
  <c r="D62" i="1"/>
  <c r="E62" i="1"/>
  <c r="A63" i="1"/>
  <c r="B63" i="1"/>
  <c r="C63" i="1"/>
  <c r="D63" i="1"/>
  <c r="E63" i="1"/>
  <c r="A61" i="1"/>
  <c r="B61" i="1"/>
  <c r="C61" i="1"/>
  <c r="D61" i="1"/>
  <c r="E61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70" i="1"/>
  <c r="B70" i="1"/>
  <c r="C70" i="1"/>
  <c r="D70" i="1"/>
  <c r="E70" i="1"/>
  <c r="A69" i="1"/>
  <c r="B69" i="1"/>
  <c r="C69" i="1"/>
  <c r="D69" i="1"/>
  <c r="E69" i="1"/>
  <c r="A34" i="1"/>
  <c r="B34" i="1"/>
  <c r="C34" i="1"/>
  <c r="D34" i="1"/>
  <c r="E34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3" i="1"/>
  <c r="B83" i="1"/>
  <c r="C83" i="1"/>
  <c r="D83" i="1"/>
  <c r="E83" i="1"/>
  <c r="A81" i="1"/>
  <c r="B81" i="1"/>
  <c r="C81" i="1"/>
  <c r="D81" i="1"/>
  <c r="E81" i="1"/>
  <c r="A82" i="1"/>
  <c r="B82" i="1"/>
  <c r="C82" i="1"/>
  <c r="D82" i="1"/>
  <c r="E82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12" i="1"/>
  <c r="B112" i="1"/>
  <c r="C112" i="1"/>
  <c r="D112" i="1"/>
  <c r="E112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1" i="1"/>
  <c r="B131" i="1"/>
  <c r="C131" i="1"/>
  <c r="D131" i="1"/>
  <c r="E131" i="1"/>
  <c r="A130" i="1"/>
  <c r="B130" i="1"/>
  <c r="C130" i="1"/>
  <c r="D130" i="1"/>
  <c r="E130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8" i="1"/>
  <c r="B138" i="1"/>
  <c r="C138" i="1"/>
  <c r="D138" i="1"/>
  <c r="E138" i="1"/>
  <c r="A136" i="1"/>
  <c r="B136" i="1"/>
  <c r="C136" i="1"/>
  <c r="D136" i="1"/>
  <c r="E136" i="1"/>
  <c r="A137" i="1"/>
  <c r="B137" i="1"/>
  <c r="C137" i="1"/>
  <c r="D137" i="1"/>
  <c r="E137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50" i="1"/>
  <c r="B150" i="1"/>
  <c r="C150" i="1"/>
  <c r="D150" i="1"/>
  <c r="E150" i="1"/>
  <c r="A151" i="1"/>
  <c r="B151" i="1"/>
  <c r="C151" i="1"/>
  <c r="D151" i="1"/>
  <c r="E151" i="1"/>
  <c r="A156" i="1"/>
  <c r="B156" i="1"/>
  <c r="C156" i="1"/>
  <c r="D156" i="1"/>
  <c r="E156" i="1"/>
  <c r="A148" i="1"/>
  <c r="B148" i="1"/>
  <c r="C148" i="1"/>
  <c r="D148" i="1"/>
  <c r="E148" i="1"/>
  <c r="A149" i="1"/>
  <c r="B149" i="1"/>
  <c r="C149" i="1"/>
  <c r="D149" i="1"/>
  <c r="E149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60" i="1"/>
  <c r="B160" i="1"/>
  <c r="C160" i="1"/>
  <c r="D160" i="1"/>
  <c r="E160" i="1"/>
  <c r="A158" i="1"/>
  <c r="B158" i="1"/>
  <c r="C158" i="1"/>
  <c r="D158" i="1"/>
  <c r="E158" i="1"/>
  <c r="A159" i="1"/>
  <c r="B159" i="1"/>
  <c r="C159" i="1"/>
  <c r="D159" i="1"/>
  <c r="E159" i="1"/>
  <c r="A161" i="1"/>
  <c r="B161" i="1"/>
  <c r="C161" i="1"/>
  <c r="D161" i="1"/>
  <c r="E161" i="1"/>
  <c r="A157" i="1"/>
  <c r="B157" i="1"/>
  <c r="C157" i="1"/>
  <c r="D157" i="1"/>
  <c r="E157" i="1"/>
  <c r="A162" i="1"/>
  <c r="B162" i="1"/>
  <c r="C162" i="1"/>
  <c r="D162" i="1"/>
  <c r="E162" i="1"/>
  <c r="A163" i="1"/>
  <c r="B163" i="1"/>
  <c r="C163" i="1"/>
  <c r="D163" i="1"/>
  <c r="E163" i="1"/>
  <c r="A165" i="1"/>
  <c r="B165" i="1"/>
  <c r="C165" i="1"/>
  <c r="D165" i="1"/>
  <c r="E165" i="1"/>
  <c r="A164" i="1"/>
  <c r="B164" i="1"/>
  <c r="C164" i="1"/>
  <c r="D164" i="1"/>
  <c r="E164" i="1"/>
  <c r="A167" i="1"/>
  <c r="B167" i="1"/>
  <c r="C167" i="1"/>
  <c r="D167" i="1"/>
  <c r="E167" i="1"/>
  <c r="A168" i="1"/>
  <c r="B168" i="1"/>
  <c r="C168" i="1"/>
  <c r="D168" i="1"/>
  <c r="E168" i="1"/>
  <c r="A170" i="1"/>
  <c r="B170" i="1"/>
  <c r="C170" i="1"/>
  <c r="D170" i="1"/>
  <c r="E170" i="1"/>
  <c r="A169" i="1"/>
  <c r="B169" i="1"/>
  <c r="C169" i="1"/>
  <c r="D169" i="1"/>
  <c r="E169" i="1"/>
  <c r="A166" i="1"/>
  <c r="B166" i="1"/>
  <c r="C166" i="1"/>
  <c r="D166" i="1"/>
  <c r="E166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6" i="1"/>
  <c r="B176" i="1"/>
  <c r="C176" i="1"/>
  <c r="D176" i="1"/>
  <c r="E176" i="1"/>
  <c r="A175" i="1"/>
  <c r="B175" i="1"/>
  <c r="C175" i="1"/>
  <c r="D175" i="1"/>
  <c r="E175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9" i="1"/>
  <c r="B189" i="1"/>
  <c r="C189" i="1"/>
  <c r="D189" i="1"/>
  <c r="E189" i="1"/>
  <c r="A188" i="1"/>
  <c r="B188" i="1"/>
  <c r="C188" i="1"/>
  <c r="D188" i="1"/>
  <c r="E188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2" i="1"/>
  <c r="B212" i="1"/>
  <c r="C212" i="1"/>
  <c r="D212" i="1"/>
  <c r="E212" i="1"/>
  <c r="A211" i="1"/>
  <c r="B211" i="1"/>
  <c r="C211" i="1"/>
  <c r="D211" i="1"/>
  <c r="E211" i="1"/>
  <c r="A214" i="1"/>
  <c r="B214" i="1"/>
  <c r="C214" i="1"/>
  <c r="D214" i="1"/>
  <c r="E214" i="1"/>
  <c r="A213" i="1"/>
  <c r="B213" i="1"/>
  <c r="C213" i="1"/>
  <c r="D213" i="1"/>
  <c r="E213" i="1"/>
  <c r="A204" i="1"/>
  <c r="B204" i="1"/>
  <c r="C204" i="1"/>
  <c r="D204" i="1"/>
  <c r="E204" i="1"/>
  <c r="A221" i="1"/>
  <c r="B221" i="1"/>
  <c r="C221" i="1"/>
  <c r="D221" i="1"/>
  <c r="E221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9" i="1"/>
  <c r="B219" i="1"/>
  <c r="C219" i="1"/>
  <c r="D219" i="1"/>
  <c r="E219" i="1"/>
  <c r="A220" i="1"/>
  <c r="B220" i="1"/>
  <c r="C220" i="1"/>
  <c r="D220" i="1"/>
  <c r="E220" i="1"/>
  <c r="A223" i="1"/>
  <c r="B223" i="1"/>
  <c r="C223" i="1"/>
  <c r="D223" i="1"/>
  <c r="E223" i="1"/>
  <c r="A218" i="1"/>
  <c r="B218" i="1"/>
  <c r="C218" i="1"/>
  <c r="D218" i="1"/>
  <c r="E218" i="1"/>
  <c r="A224" i="1"/>
  <c r="B224" i="1"/>
  <c r="C224" i="1"/>
  <c r="D224" i="1"/>
  <c r="E224" i="1"/>
  <c r="A225" i="1"/>
  <c r="B225" i="1"/>
  <c r="C225" i="1"/>
  <c r="D225" i="1"/>
  <c r="E225" i="1"/>
  <c r="A227" i="1"/>
  <c r="B227" i="1"/>
  <c r="C227" i="1"/>
  <c r="D227" i="1"/>
  <c r="E227" i="1"/>
  <c r="A222" i="1"/>
  <c r="B222" i="1"/>
  <c r="C222" i="1"/>
  <c r="D222" i="1"/>
  <c r="E222" i="1"/>
</calcChain>
</file>

<file path=xl/sharedStrings.xml><?xml version="1.0" encoding="utf-8"?>
<sst xmlns="http://schemas.openxmlformats.org/spreadsheetml/2006/main" count="12" uniqueCount="12">
  <si>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</si>
  <si>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</si>
  <si>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</si>
  <si>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</si>
  <si>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</si>
  <si>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</si>
  <si>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</si>
  <si>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</si>
  <si>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</si>
  <si>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>Отчет об остатках на балансовых и внебалансовых счетах</t>
  </si>
  <si>
    <t>АО "Евразийский Банк"</t>
  </si>
  <si>
    <t>по состоянию на 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</si>
</sst>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right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5"/>
  <sheetViews>
    <sheetView tabSelected="1" zoomScale="85" zoomScaleNormal="85" workbookViewId="0">
      <selection activeCell="A2" sqref="A2:F2"/>
    </sheetView>
  </sheetViews>
  <sheetFormatPr defaultRowHeight="15" x14ac:dyDescent="0.25"/>
  <cols>
    <col min="1" max="1" width="14.7109375" bestFit="1" customWidth="1"/>
    <col min="2" max="2" width="133.140625" customWidth="1"/>
    <col min="3" max="3" width="24" bestFit="1" customWidth="1"/>
    <col min="4" max="4" width="25.28515625" bestFit="1" customWidth="1"/>
    <col min="5" max="5" width="20" bestFit="1" customWidth="1"/>
    <col min="6" max="6" width="18.5703125" style="1" bestFit="1" customWidth="1"/>
  </cols>
  <sheetData>
    <row r="1" spans="1:6" ht="18.75" x14ac:dyDescent="0.3">
      <c r="A1" s="5" t="s">
        <v>9</v>
      </c>
      <c r="B1" s="5"/>
      <c r="C1" s="5"/>
      <c r="D1" s="5"/>
      <c r="E1" s="5"/>
      <c r="F1" s="5"/>
    </row>
    <row r="2" spans="1:6" ht="18.75" x14ac:dyDescent="0.3">
      <c r="A2" s="6" t="s">
        <v>11</v>
      </c>
      <c r="B2" s="6"/>
      <c r="C2" s="6"/>
      <c r="D2" s="6"/>
      <c r="E2" s="6"/>
      <c r="F2" s="6"/>
    </row>
    <row r="3" spans="1:6" ht="17.25" customHeight="1" x14ac:dyDescent="0.3">
      <c r="A3" s="6"/>
      <c r="B3" s="6"/>
      <c r="C3" s="6"/>
      <c r="D3" s="6"/>
      <c r="E3" s="6"/>
      <c r="F3" s="6"/>
    </row>
    <row r="4" spans="1:6" ht="18.75" x14ac:dyDescent="0.3">
      <c r="A4" s="6" t="s">
        <v>10</v>
      </c>
      <c r="B4" s="6"/>
      <c r="C4" s="6"/>
      <c r="D4" s="6"/>
      <c r="E4" s="6"/>
      <c r="F4" s="6"/>
    </row>
    <row r="5" spans="1:6" ht="18" customHeight="1" x14ac:dyDescent="0.25">
      <c r="A5" s="7"/>
      <c r="B5" s="7"/>
      <c r="C5" s="7"/>
      <c r="D5" s="7"/>
      <c r="E5" s="7"/>
      <c r="F5" s="7"/>
    </row>
    <row r="6" spans="1:6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</row>
    <row r="7" spans="1:6" x14ac:dyDescent="0.25">
      <c r="A7" s="4" t="str">
        <f>"1001"</f>
        <v>1001</v>
      </c>
      <c r="B7" s="2" t="str">
        <f>"Наличность в кассе"</f>
        <v>Наличность в кассе</v>
      </c>
      <c r="C7" s="2" t="str">
        <f>"2"</f>
        <v>2</v>
      </c>
      <c r="D7" s="2" t="str">
        <f t="shared" ref="D7:D14" si="0">"3"</f>
        <v>3</v>
      </c>
      <c r="E7" s="2" t="str">
        <f>"2"</f>
        <v>2</v>
      </c>
      <c r="F7" s="3">
        <v>37132775207.330002</v>
      </c>
    </row>
    <row r="8" spans="1:6" x14ac:dyDescent="0.25">
      <c r="A8" s="4" t="str">
        <f>"1001"</f>
        <v>1001</v>
      </c>
      <c r="B8" s="2" t="str">
        <f>"Наличность в кассе"</f>
        <v>Наличность в кассе</v>
      </c>
      <c r="C8" s="2" t="str">
        <f>"1"</f>
        <v>1</v>
      </c>
      <c r="D8" s="2" t="str">
        <f t="shared" si="0"/>
        <v>3</v>
      </c>
      <c r="E8" s="2" t="str">
        <f>"1"</f>
        <v>1</v>
      </c>
      <c r="F8" s="3">
        <v>4517889557</v>
      </c>
    </row>
    <row r="9" spans="1:6" x14ac:dyDescent="0.25">
      <c r="A9" s="4" t="str">
        <f>"1001"</f>
        <v>1001</v>
      </c>
      <c r="B9" s="2" t="str">
        <f>"Наличность в кассе"</f>
        <v>Наличность в кассе</v>
      </c>
      <c r="C9" s="2" t="str">
        <f>"2"</f>
        <v>2</v>
      </c>
      <c r="D9" s="2" t="str">
        <f t="shared" si="0"/>
        <v>3</v>
      </c>
      <c r="E9" s="2" t="str">
        <f>"3"</f>
        <v>3</v>
      </c>
      <c r="F9" s="3">
        <v>1326802792.96</v>
      </c>
    </row>
    <row r="10" spans="1:6" x14ac:dyDescent="0.25">
      <c r="A10" s="4" t="str">
        <f>"1002"</f>
        <v>1002</v>
      </c>
      <c r="B10" s="2" t="str">
        <f>"Банкноты и монеты в пути"</f>
        <v>Банкноты и монеты в пути</v>
      </c>
      <c r="C10" s="2" t="str">
        <f>"2"</f>
        <v>2</v>
      </c>
      <c r="D10" s="2" t="str">
        <f t="shared" si="0"/>
        <v>3</v>
      </c>
      <c r="E10" s="2" t="str">
        <f>"2"</f>
        <v>2</v>
      </c>
      <c r="F10" s="3">
        <v>2462795472</v>
      </c>
    </row>
    <row r="11" spans="1:6" x14ac:dyDescent="0.25">
      <c r="A11" s="4" t="str">
        <f>"1002"</f>
        <v>1002</v>
      </c>
      <c r="B11" s="2" t="str">
        <f>"Банкноты и монеты в пути"</f>
        <v>Банкноты и монеты в пути</v>
      </c>
      <c r="C11" s="2" t="str">
        <f>"1"</f>
        <v>1</v>
      </c>
      <c r="D11" s="2" t="str">
        <f t="shared" si="0"/>
        <v>3</v>
      </c>
      <c r="E11" s="2" t="str">
        <f>"1"</f>
        <v>1</v>
      </c>
      <c r="F11" s="3">
        <v>4129547951</v>
      </c>
    </row>
    <row r="12" spans="1:6" x14ac:dyDescent="0.25">
      <c r="A12" s="4" t="str">
        <f>"1002"</f>
        <v>1002</v>
      </c>
      <c r="B12" s="2" t="str">
        <f>"Банкноты и монеты в пути"</f>
        <v>Банкноты и монеты в пути</v>
      </c>
      <c r="C12" s="2" t="str">
        <f>"2"</f>
        <v>2</v>
      </c>
      <c r="D12" s="2" t="str">
        <f t="shared" si="0"/>
        <v>3</v>
      </c>
      <c r="E12" s="2" t="str">
        <f>"3"</f>
        <v>3</v>
      </c>
      <c r="F12" s="3">
        <v>108767951.2</v>
      </c>
    </row>
    <row r="13" spans="1:6" x14ac:dyDescent="0.25">
      <c r="A13" s="4" t="str">
        <f>"1005"</f>
        <v>1005</v>
      </c>
      <c r="B13" s="2" t="str">
        <f>"Наличность в банкоматах и электронных терминалах"</f>
        <v>Наличность в банкоматах и электронных терминалах</v>
      </c>
      <c r="C13" s="2" t="str">
        <f>"1"</f>
        <v>1</v>
      </c>
      <c r="D13" s="2" t="str">
        <f t="shared" si="0"/>
        <v>3</v>
      </c>
      <c r="E13" s="2" t="str">
        <f>"1"</f>
        <v>1</v>
      </c>
      <c r="F13" s="3">
        <v>7761784188.3400002</v>
      </c>
    </row>
    <row r="14" spans="1:6" x14ac:dyDescent="0.25">
      <c r="A14" s="4" t="str">
        <f>"1005"</f>
        <v>1005</v>
      </c>
      <c r="B14" s="2" t="str">
        <f>"Наличность в банкоматах и электронных терминалах"</f>
        <v>Наличность в банкоматах и электронных терминалах</v>
      </c>
      <c r="C14" s="2" t="str">
        <f>"2"</f>
        <v>2</v>
      </c>
      <c r="D14" s="2" t="str">
        <f t="shared" si="0"/>
        <v>3</v>
      </c>
      <c r="E14" s="2" t="str">
        <f>"2"</f>
        <v>2</v>
      </c>
      <c r="F14" s="3">
        <v>3167570</v>
      </c>
    </row>
    <row r="15" spans="1:6" x14ac:dyDescent="0.25">
      <c r="A15" s="4" t="str">
        <f>"1011"</f>
        <v>1011</v>
      </c>
      <c r="B15" s="2" t="str">
        <f>"Аффинированные драгоценные металлы"</f>
        <v>Аффинированные драгоценные металлы</v>
      </c>
      <c r="C15" s="2" t="str">
        <f>""</f>
        <v/>
      </c>
      <c r="D15" s="2" t="str">
        <f>""</f>
        <v/>
      </c>
      <c r="E15" s="2" t="str">
        <f>""</f>
        <v/>
      </c>
      <c r="F15" s="3">
        <v>122164645.98999999</v>
      </c>
    </row>
    <row r="16" spans="1:6" x14ac:dyDescent="0.25">
      <c r="A16" s="4" t="str">
        <f>"1051"</f>
        <v>1051</v>
      </c>
      <c r="B16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6" s="2" t="str">
        <f t="shared" ref="C16:C21" si="1">"1"</f>
        <v>1</v>
      </c>
      <c r="D16" s="2" t="str">
        <f>"3"</f>
        <v>3</v>
      </c>
      <c r="E16" s="2" t="str">
        <f>"2"</f>
        <v>2</v>
      </c>
      <c r="F16" s="3">
        <v>12114770951.549999</v>
      </c>
    </row>
    <row r="17" spans="1:6" x14ac:dyDescent="0.25">
      <c r="A17" s="4" t="str">
        <f>"1051"</f>
        <v>1051</v>
      </c>
      <c r="B17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7" s="2" t="str">
        <f t="shared" si="1"/>
        <v>1</v>
      </c>
      <c r="D17" s="2" t="str">
        <f>"3"</f>
        <v>3</v>
      </c>
      <c r="E17" s="2" t="str">
        <f>"3"</f>
        <v>3</v>
      </c>
      <c r="F17" s="3">
        <v>87636954211.600006</v>
      </c>
    </row>
    <row r="18" spans="1:6" x14ac:dyDescent="0.25">
      <c r="A18" s="4" t="str">
        <f>"1051"</f>
        <v>1051</v>
      </c>
      <c r="B18" s="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8" s="2" t="str">
        <f t="shared" si="1"/>
        <v>1</v>
      </c>
      <c r="D18" s="2" t="str">
        <f>"3"</f>
        <v>3</v>
      </c>
      <c r="E18" s="2" t="str">
        <f>"1"</f>
        <v>1</v>
      </c>
      <c r="F18" s="3">
        <v>43829637117.290001</v>
      </c>
    </row>
    <row r="19" spans="1:6" x14ac:dyDescent="0.25">
      <c r="A19" s="4" t="str">
        <f t="shared" ref="A19:A28" si="2">"1052"</f>
        <v>1052</v>
      </c>
      <c r="B19" s="2" t="str">
        <f t="shared" ref="B19:B28" si="3">"Корреспондентские счета в других банках"</f>
        <v>Корреспондентские счета в других банках</v>
      </c>
      <c r="C19" s="2" t="str">
        <f t="shared" si="1"/>
        <v>1</v>
      </c>
      <c r="D19" s="2" t="str">
        <f>"4"</f>
        <v>4</v>
      </c>
      <c r="E19" s="2" t="str">
        <f>"1"</f>
        <v>1</v>
      </c>
      <c r="F19" s="3">
        <v>2773752129.1700001</v>
      </c>
    </row>
    <row r="20" spans="1:6" x14ac:dyDescent="0.25">
      <c r="A20" s="4" t="str">
        <f t="shared" si="2"/>
        <v>1052</v>
      </c>
      <c r="B20" s="2" t="str">
        <f t="shared" si="3"/>
        <v>Корреспондентские счета в других банках</v>
      </c>
      <c r="C20" s="2" t="str">
        <f t="shared" si="1"/>
        <v>1</v>
      </c>
      <c r="D20" s="2" t="str">
        <f>"5"</f>
        <v>5</v>
      </c>
      <c r="E20" s="2" t="str">
        <f>"2"</f>
        <v>2</v>
      </c>
      <c r="F20" s="3">
        <v>942498593.21000004</v>
      </c>
    </row>
    <row r="21" spans="1:6" x14ac:dyDescent="0.25">
      <c r="A21" s="4" t="str">
        <f t="shared" si="2"/>
        <v>1052</v>
      </c>
      <c r="B21" s="2" t="str">
        <f t="shared" si="3"/>
        <v>Корреспондентские счета в других банках</v>
      </c>
      <c r="C21" s="2" t="str">
        <f t="shared" si="1"/>
        <v>1</v>
      </c>
      <c r="D21" s="2" t="str">
        <f>"4"</f>
        <v>4</v>
      </c>
      <c r="E21" s="2" t="str">
        <f>"2"</f>
        <v>2</v>
      </c>
      <c r="F21" s="3">
        <v>10375954651.15</v>
      </c>
    </row>
    <row r="22" spans="1:6" x14ac:dyDescent="0.25">
      <c r="A22" s="4" t="str">
        <f t="shared" si="2"/>
        <v>1052</v>
      </c>
      <c r="B22" s="2" t="str">
        <f t="shared" si="3"/>
        <v>Корреспондентские счета в других банках</v>
      </c>
      <c r="C22" s="2" t="str">
        <f>"2"</f>
        <v>2</v>
      </c>
      <c r="D22" s="2" t="str">
        <f>"3"</f>
        <v>3</v>
      </c>
      <c r="E22" s="2" t="str">
        <f>"3"</f>
        <v>3</v>
      </c>
      <c r="F22" s="3">
        <v>2570004053.3499999</v>
      </c>
    </row>
    <row r="23" spans="1:6" x14ac:dyDescent="0.25">
      <c r="A23" s="4" t="str">
        <f t="shared" si="2"/>
        <v>1052</v>
      </c>
      <c r="B23" s="2" t="str">
        <f t="shared" si="3"/>
        <v>Корреспондентские счета в других банках</v>
      </c>
      <c r="C23" s="2" t="str">
        <f>"2"</f>
        <v>2</v>
      </c>
      <c r="D23" s="2" t="str">
        <f>"4"</f>
        <v>4</v>
      </c>
      <c r="E23" s="2" t="str">
        <f>"2"</f>
        <v>2</v>
      </c>
      <c r="F23" s="3">
        <v>169194226307.35999</v>
      </c>
    </row>
    <row r="24" spans="1:6" x14ac:dyDescent="0.25">
      <c r="A24" s="4" t="str">
        <f t="shared" si="2"/>
        <v>1052</v>
      </c>
      <c r="B24" s="2" t="str">
        <f t="shared" si="3"/>
        <v>Корреспондентские счета в других банках</v>
      </c>
      <c r="C24" s="2" t="str">
        <f>"2"</f>
        <v>2</v>
      </c>
      <c r="D24" s="2" t="str">
        <f>"3"</f>
        <v>3</v>
      </c>
      <c r="E24" s="2" t="str">
        <f>"1"</f>
        <v>1</v>
      </c>
      <c r="F24" s="3">
        <v>1495000</v>
      </c>
    </row>
    <row r="25" spans="1:6" x14ac:dyDescent="0.25">
      <c r="A25" s="4" t="str">
        <f t="shared" si="2"/>
        <v>1052</v>
      </c>
      <c r="B25" s="2" t="str">
        <f t="shared" si="3"/>
        <v>Корреспондентские счета в других банках</v>
      </c>
      <c r="C25" s="2" t="str">
        <f>"2"</f>
        <v>2</v>
      </c>
      <c r="D25" s="2" t="str">
        <f>"4"</f>
        <v>4</v>
      </c>
      <c r="E25" s="2" t="str">
        <f>"3"</f>
        <v>3</v>
      </c>
      <c r="F25" s="3">
        <v>33589823067.02</v>
      </c>
    </row>
    <row r="26" spans="1:6" x14ac:dyDescent="0.25">
      <c r="A26" s="4" t="str">
        <f t="shared" si="2"/>
        <v>1052</v>
      </c>
      <c r="B26" s="2" t="str">
        <f t="shared" si="3"/>
        <v>Корреспондентские счета в других банках</v>
      </c>
      <c r="C26" s="2" t="str">
        <f>"2"</f>
        <v>2</v>
      </c>
      <c r="D26" s="2" t="str">
        <f>"5"</f>
        <v>5</v>
      </c>
      <c r="E26" s="2" t="str">
        <f>"3"</f>
        <v>3</v>
      </c>
      <c r="F26" s="3">
        <v>54617447.759999998</v>
      </c>
    </row>
    <row r="27" spans="1:6" x14ac:dyDescent="0.25">
      <c r="A27" s="4" t="str">
        <f t="shared" si="2"/>
        <v>1052</v>
      </c>
      <c r="B27" s="2" t="str">
        <f t="shared" si="3"/>
        <v>Корреспондентские счета в других банках</v>
      </c>
      <c r="C27" s="2" t="str">
        <f>"1"</f>
        <v>1</v>
      </c>
      <c r="D27" s="2" t="str">
        <f>"4"</f>
        <v>4</v>
      </c>
      <c r="E27" s="2" t="str">
        <f>"3"</f>
        <v>3</v>
      </c>
      <c r="F27" s="3">
        <v>3165902.17</v>
      </c>
    </row>
    <row r="28" spans="1:6" x14ac:dyDescent="0.25">
      <c r="A28" s="4" t="str">
        <f t="shared" si="2"/>
        <v>1052</v>
      </c>
      <c r="B28" s="2" t="str">
        <f t="shared" si="3"/>
        <v>Корреспондентские счета в других банках</v>
      </c>
      <c r="C28" s="2" t="str">
        <f>"2"</f>
        <v>2</v>
      </c>
      <c r="D28" s="2" t="str">
        <f>"5"</f>
        <v>5</v>
      </c>
      <c r="E28" s="2" t="str">
        <f>"2"</f>
        <v>2</v>
      </c>
      <c r="F28" s="3">
        <v>211405944.78999999</v>
      </c>
    </row>
    <row r="29" spans="1:6" x14ac:dyDescent="0.25">
      <c r="A29" s="4" t="str">
        <f>"1054"</f>
        <v>1054</v>
      </c>
      <c r="B29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9" s="2" t="str">
        <f>"2"</f>
        <v>2</v>
      </c>
      <c r="D29" s="2" t="str">
        <f>"4"</f>
        <v>4</v>
      </c>
      <c r="E29" s="2" t="str">
        <f>"2"</f>
        <v>2</v>
      </c>
      <c r="F29" s="3">
        <v>-438364354.17000002</v>
      </c>
    </row>
    <row r="30" spans="1:6" x14ac:dyDescent="0.25">
      <c r="A30" s="4" t="str">
        <f>"1054"</f>
        <v>1054</v>
      </c>
      <c r="B30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s="2" t="str">
        <f>"2"</f>
        <v>2</v>
      </c>
      <c r="D30" s="2" t="str">
        <f>"4"</f>
        <v>4</v>
      </c>
      <c r="E30" s="2" t="str">
        <f>"3"</f>
        <v>3</v>
      </c>
      <c r="F30" s="3">
        <v>-161449658.03</v>
      </c>
    </row>
    <row r="31" spans="1:6" x14ac:dyDescent="0.25">
      <c r="A31" s="4" t="str">
        <f>"1054"</f>
        <v>1054</v>
      </c>
      <c r="B31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1" s="2" t="str">
        <f>"2"</f>
        <v>2</v>
      </c>
      <c r="D31" s="2" t="str">
        <f>"5"</f>
        <v>5</v>
      </c>
      <c r="E31" s="2" t="str">
        <f>"3"</f>
        <v>3</v>
      </c>
      <c r="F31" s="3">
        <v>-29988.15</v>
      </c>
    </row>
    <row r="32" spans="1:6" x14ac:dyDescent="0.25">
      <c r="A32" s="4" t="str">
        <f>"1054"</f>
        <v>1054</v>
      </c>
      <c r="B32" s="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2" s="2" t="str">
        <f>"2"</f>
        <v>2</v>
      </c>
      <c r="D32" s="2" t="str">
        <f>"5"</f>
        <v>5</v>
      </c>
      <c r="E32" s="2" t="str">
        <f>"2"</f>
        <v>2</v>
      </c>
      <c r="F32" s="3">
        <v>-103084.51</v>
      </c>
    </row>
    <row r="33" spans="1:6" x14ac:dyDescent="0.25">
      <c r="A33" s="4" t="str">
        <f>"1055"</f>
        <v>1055</v>
      </c>
      <c r="B33" s="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3" s="2" t="str">
        <f>"1"</f>
        <v>1</v>
      </c>
      <c r="D33" s="2" t="str">
        <f>"3"</f>
        <v>3</v>
      </c>
      <c r="E33" s="2" t="str">
        <f>"1"</f>
        <v>1</v>
      </c>
      <c r="F33" s="3">
        <v>1914589658.96</v>
      </c>
    </row>
    <row r="34" spans="1:6" x14ac:dyDescent="0.25">
      <c r="A34" s="4" t="str">
        <f>"1101"</f>
        <v>1101</v>
      </c>
      <c r="B34" s="2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C34" s="2" t="str">
        <f>"1"</f>
        <v>1</v>
      </c>
      <c r="D34" s="2" t="str">
        <f>"3"</f>
        <v>3</v>
      </c>
      <c r="E34" s="2" t="str">
        <f>"1"</f>
        <v>1</v>
      </c>
      <c r="F34" s="3">
        <v>13000000000</v>
      </c>
    </row>
    <row r="35" spans="1:6" x14ac:dyDescent="0.25">
      <c r="A35" s="4" t="str">
        <f>"1103"</f>
        <v>1103</v>
      </c>
      <c r="B35" s="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35" s="2" t="str">
        <f>"1"</f>
        <v>1</v>
      </c>
      <c r="D35" s="2" t="str">
        <f>"3"</f>
        <v>3</v>
      </c>
      <c r="E35" s="2" t="str">
        <f>"2"</f>
        <v>2</v>
      </c>
      <c r="F35" s="3">
        <v>325807200000</v>
      </c>
    </row>
    <row r="36" spans="1:6" x14ac:dyDescent="0.25">
      <c r="A36" s="4" t="str">
        <f>"1253"</f>
        <v>1253</v>
      </c>
      <c r="B36" s="2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C36" s="2" t="str">
        <f>"2"</f>
        <v>2</v>
      </c>
      <c r="D36" s="2" t="str">
        <f>"4"</f>
        <v>4</v>
      </c>
      <c r="E36" s="2" t="str">
        <f>"3"</f>
        <v>3</v>
      </c>
      <c r="F36" s="3">
        <v>1799000000</v>
      </c>
    </row>
    <row r="37" spans="1:6" x14ac:dyDescent="0.25">
      <c r="A37" s="4" t="str">
        <f>"1259"</f>
        <v>1259</v>
      </c>
      <c r="B37" s="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7" s="2" t="str">
        <f>"2"</f>
        <v>2</v>
      </c>
      <c r="D37" s="2" t="str">
        <f>"5"</f>
        <v>5</v>
      </c>
      <c r="E37" s="2" t="str">
        <f>"2"</f>
        <v>2</v>
      </c>
      <c r="F37" s="3">
        <v>-2466613.91</v>
      </c>
    </row>
    <row r="38" spans="1:6" x14ac:dyDescent="0.25">
      <c r="A38" s="4" t="str">
        <f>"1267"</f>
        <v>1267</v>
      </c>
      <c r="B38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8" s="2" t="str">
        <f>"1"</f>
        <v>1</v>
      </c>
      <c r="D38" s="2" t="str">
        <f>"5"</f>
        <v>5</v>
      </c>
      <c r="E38" s="2" t="str">
        <f>"1"</f>
        <v>1</v>
      </c>
      <c r="F38" s="3">
        <v>60000000</v>
      </c>
    </row>
    <row r="39" spans="1:6" x14ac:dyDescent="0.25">
      <c r="A39" s="4" t="str">
        <f>"1267"</f>
        <v>1267</v>
      </c>
      <c r="B39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9" s="2" t="str">
        <f>"2"</f>
        <v>2</v>
      </c>
      <c r="D39" s="2" t="str">
        <f>"5"</f>
        <v>5</v>
      </c>
      <c r="E39" s="2" t="str">
        <f>"2"</f>
        <v>2</v>
      </c>
      <c r="F39" s="3">
        <v>10293724295.74</v>
      </c>
    </row>
    <row r="40" spans="1:6" x14ac:dyDescent="0.25">
      <c r="A40" s="4" t="str">
        <f>"1267"</f>
        <v>1267</v>
      </c>
      <c r="B40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0" s="2" t="str">
        <f>"2"</f>
        <v>2</v>
      </c>
      <c r="D40" s="2" t="str">
        <f>"5"</f>
        <v>5</v>
      </c>
      <c r="E40" s="2" t="str">
        <f>"3"</f>
        <v>3</v>
      </c>
      <c r="F40" s="3">
        <v>6238091066.8000002</v>
      </c>
    </row>
    <row r="41" spans="1:6" x14ac:dyDescent="0.25">
      <c r="A41" s="4" t="str">
        <f>"1267"</f>
        <v>1267</v>
      </c>
      <c r="B41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1" s="2" t="str">
        <f>"1"</f>
        <v>1</v>
      </c>
      <c r="D41" s="2" t="str">
        <f>"7"</f>
        <v>7</v>
      </c>
      <c r="E41" s="2" t="str">
        <f>"1"</f>
        <v>1</v>
      </c>
      <c r="F41" s="3">
        <v>20000000</v>
      </c>
    </row>
    <row r="42" spans="1:6" x14ac:dyDescent="0.25">
      <c r="A42" s="4" t="str">
        <f>"1267"</f>
        <v>1267</v>
      </c>
      <c r="B42" s="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2" s="2" t="str">
        <f>"2"</f>
        <v>2</v>
      </c>
      <c r="D42" s="2" t="str">
        <f>"5"</f>
        <v>5</v>
      </c>
      <c r="E42" s="2" t="str">
        <f>"1"</f>
        <v>1</v>
      </c>
      <c r="F42" s="3">
        <v>445971160</v>
      </c>
    </row>
    <row r="43" spans="1:6" x14ac:dyDescent="0.25">
      <c r="A43" s="4" t="str">
        <f>"1302"</f>
        <v>1302</v>
      </c>
      <c r="B43" s="2" t="str">
        <f>"Краткосрочные займы, предоставленные другим банкам"</f>
        <v>Краткосрочные займы, предоставленные другим банкам</v>
      </c>
      <c r="C43" s="2" t="str">
        <f>"2"</f>
        <v>2</v>
      </c>
      <c r="D43" s="2" t="str">
        <f>"4"</f>
        <v>4</v>
      </c>
      <c r="E43" s="2" t="str">
        <f>"2"</f>
        <v>2</v>
      </c>
      <c r="F43" s="3">
        <v>1513201196.02</v>
      </c>
    </row>
    <row r="44" spans="1:6" x14ac:dyDescent="0.25">
      <c r="A44" s="4" t="str">
        <f>"1304"</f>
        <v>1304</v>
      </c>
      <c r="B44" s="2" t="str">
        <f>"Долгосрочные займы, предоставленные другим банкам"</f>
        <v>Долгосрочные займы, предоставленные другим банкам</v>
      </c>
      <c r="C44" s="2" t="str">
        <f>"2"</f>
        <v>2</v>
      </c>
      <c r="D44" s="2" t="str">
        <f>"4"</f>
        <v>4</v>
      </c>
      <c r="E44" s="2" t="str">
        <f>"2"</f>
        <v>2</v>
      </c>
      <c r="F44" s="3">
        <v>825830750</v>
      </c>
    </row>
    <row r="45" spans="1:6" x14ac:dyDescent="0.25">
      <c r="A45" s="4" t="str">
        <f>"1403"</f>
        <v>1403</v>
      </c>
      <c r="B45" s="2" t="str">
        <f>"Счета по кредитным карточкам клиентов"</f>
        <v>Счета по кредитным карточкам клиентов</v>
      </c>
      <c r="C45" s="2" t="str">
        <f>"1"</f>
        <v>1</v>
      </c>
      <c r="D45" s="2" t="str">
        <f>"9"</f>
        <v>9</v>
      </c>
      <c r="E45" s="2" t="str">
        <f>"1"</f>
        <v>1</v>
      </c>
      <c r="F45" s="3">
        <v>2890773953.6500001</v>
      </c>
    </row>
    <row r="46" spans="1:6" x14ac:dyDescent="0.25">
      <c r="A46" s="4" t="str">
        <f>"1403"</f>
        <v>1403</v>
      </c>
      <c r="B46" s="2" t="str">
        <f>"Счета по кредитным карточкам клиентов"</f>
        <v>Счета по кредитным карточкам клиентов</v>
      </c>
      <c r="C46" s="2" t="str">
        <f>"2"</f>
        <v>2</v>
      </c>
      <c r="D46" s="2" t="str">
        <f>"9"</f>
        <v>9</v>
      </c>
      <c r="E46" s="2" t="str">
        <f>"1"</f>
        <v>1</v>
      </c>
      <c r="F46" s="3">
        <v>3572586.93</v>
      </c>
    </row>
    <row r="47" spans="1:6" x14ac:dyDescent="0.25">
      <c r="A47" s="4" t="str">
        <f>"1411"</f>
        <v>1411</v>
      </c>
      <c r="B47" s="2" t="str">
        <f>"Краткосрочные займы, предоставленные клиентам"</f>
        <v>Краткосрочные займы, предоставленные клиентам</v>
      </c>
      <c r="C47" s="2" t="str">
        <f>"1"</f>
        <v>1</v>
      </c>
      <c r="D47" s="2" t="str">
        <f>"9"</f>
        <v>9</v>
      </c>
      <c r="E47" s="2" t="str">
        <f>"1"</f>
        <v>1</v>
      </c>
      <c r="F47" s="3">
        <v>4648891199.3999996</v>
      </c>
    </row>
    <row r="48" spans="1:6" x14ac:dyDescent="0.25">
      <c r="A48" s="4" t="str">
        <f>"1411"</f>
        <v>1411</v>
      </c>
      <c r="B48" s="2" t="str">
        <f>"Краткосрочные займы, предоставленные клиентам"</f>
        <v>Краткосрочные займы, предоставленные клиентам</v>
      </c>
      <c r="C48" s="2" t="str">
        <f>"1"</f>
        <v>1</v>
      </c>
      <c r="D48" s="2" t="str">
        <f>"7"</f>
        <v>7</v>
      </c>
      <c r="E48" s="2" t="str">
        <f>"1"</f>
        <v>1</v>
      </c>
      <c r="F48" s="3">
        <v>5245782201.5900002</v>
      </c>
    </row>
    <row r="49" spans="1:6" x14ac:dyDescent="0.25">
      <c r="A49" s="4" t="str">
        <f>"1411"</f>
        <v>1411</v>
      </c>
      <c r="B49" s="2" t="str">
        <f>"Краткосрочные займы, предоставленные клиентам"</f>
        <v>Краткосрочные займы, предоставленные клиентам</v>
      </c>
      <c r="C49" s="2" t="str">
        <f>"1"</f>
        <v>1</v>
      </c>
      <c r="D49" s="2" t="str">
        <f>"7"</f>
        <v>7</v>
      </c>
      <c r="E49" s="2" t="str">
        <f>"3"</f>
        <v>3</v>
      </c>
      <c r="F49" s="3">
        <v>130967200</v>
      </c>
    </row>
    <row r="50" spans="1:6" x14ac:dyDescent="0.25">
      <c r="A50" s="4" t="str">
        <f>"1411"</f>
        <v>1411</v>
      </c>
      <c r="B50" s="2" t="str">
        <f>"Краткосрочные займы, предоставленные клиентам"</f>
        <v>Краткосрочные займы, предоставленные клиентам</v>
      </c>
      <c r="C50" s="2" t="str">
        <f>"2"</f>
        <v>2</v>
      </c>
      <c r="D50" s="2" t="str">
        <f>"9"</f>
        <v>9</v>
      </c>
      <c r="E50" s="2" t="str">
        <f>"1"</f>
        <v>1</v>
      </c>
      <c r="F50" s="3">
        <v>228054.72</v>
      </c>
    </row>
    <row r="51" spans="1:6" x14ac:dyDescent="0.25">
      <c r="A51" s="4" t="str">
        <f t="shared" ref="A51:A61" si="4">"1417"</f>
        <v>1417</v>
      </c>
      <c r="B51" s="2" t="str">
        <f t="shared" ref="B51:B61" si="5">"Долгосрочные займы, предоставленные клиентам"</f>
        <v>Долгосрочные займы, предоставленные клиентам</v>
      </c>
      <c r="C51" s="2" t="str">
        <f t="shared" ref="C51:C57" si="6">"1"</f>
        <v>1</v>
      </c>
      <c r="D51" s="2" t="str">
        <f>"5"</f>
        <v>5</v>
      </c>
      <c r="E51" s="2" t="str">
        <f>"2"</f>
        <v>2</v>
      </c>
      <c r="F51" s="3">
        <v>13198479107.780001</v>
      </c>
    </row>
    <row r="52" spans="1:6" x14ac:dyDescent="0.25">
      <c r="A52" s="4" t="str">
        <f t="shared" si="4"/>
        <v>1417</v>
      </c>
      <c r="B52" s="2" t="str">
        <f t="shared" si="5"/>
        <v>Долгосрочные займы, предоставленные клиентам</v>
      </c>
      <c r="C52" s="2" t="str">
        <f t="shared" si="6"/>
        <v>1</v>
      </c>
      <c r="D52" s="2" t="str">
        <f>"5"</f>
        <v>5</v>
      </c>
      <c r="E52" s="2" t="str">
        <f>"1"</f>
        <v>1</v>
      </c>
      <c r="F52" s="3">
        <v>10439282739.82</v>
      </c>
    </row>
    <row r="53" spans="1:6" x14ac:dyDescent="0.25">
      <c r="A53" s="4" t="str">
        <f t="shared" si="4"/>
        <v>1417</v>
      </c>
      <c r="B53" s="2" t="str">
        <f t="shared" si="5"/>
        <v>Долгосрочные займы, предоставленные клиентам</v>
      </c>
      <c r="C53" s="2" t="str">
        <f t="shared" si="6"/>
        <v>1</v>
      </c>
      <c r="D53" s="2" t="str">
        <f>"7"</f>
        <v>7</v>
      </c>
      <c r="E53" s="2" t="str">
        <f>"2"</f>
        <v>2</v>
      </c>
      <c r="F53" s="3">
        <v>28583551312.360001</v>
      </c>
    </row>
    <row r="54" spans="1:6" x14ac:dyDescent="0.25">
      <c r="A54" s="4" t="str">
        <f t="shared" si="4"/>
        <v>1417</v>
      </c>
      <c r="B54" s="2" t="str">
        <f t="shared" si="5"/>
        <v>Долгосрочные займы, предоставленные клиентам</v>
      </c>
      <c r="C54" s="2" t="str">
        <f t="shared" si="6"/>
        <v>1</v>
      </c>
      <c r="D54" s="2" t="str">
        <f>"6"</f>
        <v>6</v>
      </c>
      <c r="E54" s="2" t="str">
        <f>"1"</f>
        <v>1</v>
      </c>
      <c r="F54" s="3">
        <v>8812487570</v>
      </c>
    </row>
    <row r="55" spans="1:6" x14ac:dyDescent="0.25">
      <c r="A55" s="4" t="str">
        <f t="shared" si="4"/>
        <v>1417</v>
      </c>
      <c r="B55" s="2" t="str">
        <f t="shared" si="5"/>
        <v>Долгосрочные займы, предоставленные клиентам</v>
      </c>
      <c r="C55" s="2" t="str">
        <f t="shared" si="6"/>
        <v>1</v>
      </c>
      <c r="D55" s="2" t="str">
        <f>"7"</f>
        <v>7</v>
      </c>
      <c r="E55" s="2" t="str">
        <f>"1"</f>
        <v>1</v>
      </c>
      <c r="F55" s="3">
        <v>298401566330.29999</v>
      </c>
    </row>
    <row r="56" spans="1:6" x14ac:dyDescent="0.25">
      <c r="A56" s="4" t="str">
        <f t="shared" si="4"/>
        <v>1417</v>
      </c>
      <c r="B56" s="2" t="str">
        <f t="shared" si="5"/>
        <v>Долгосрочные займы, предоставленные клиентам</v>
      </c>
      <c r="C56" s="2" t="str">
        <f t="shared" si="6"/>
        <v>1</v>
      </c>
      <c r="D56" s="2" t="str">
        <f>"7"</f>
        <v>7</v>
      </c>
      <c r="E56" s="2" t="str">
        <f>"3"</f>
        <v>3</v>
      </c>
      <c r="F56" s="3">
        <v>845245660.54999995</v>
      </c>
    </row>
    <row r="57" spans="1:6" x14ac:dyDescent="0.25">
      <c r="A57" s="4" t="str">
        <f t="shared" si="4"/>
        <v>1417</v>
      </c>
      <c r="B57" s="2" t="str">
        <f t="shared" si="5"/>
        <v>Долгосрочные займы, предоставленные клиентам</v>
      </c>
      <c r="C57" s="2" t="str">
        <f t="shared" si="6"/>
        <v>1</v>
      </c>
      <c r="D57" s="2" t="str">
        <f>"9"</f>
        <v>9</v>
      </c>
      <c r="E57" s="2" t="str">
        <f>"1"</f>
        <v>1</v>
      </c>
      <c r="F57" s="3">
        <v>909268069262.79004</v>
      </c>
    </row>
    <row r="58" spans="1:6" x14ac:dyDescent="0.25">
      <c r="A58" s="4" t="str">
        <f t="shared" si="4"/>
        <v>1417</v>
      </c>
      <c r="B58" s="2" t="str">
        <f t="shared" si="5"/>
        <v>Долгосрочные займы, предоставленные клиентам</v>
      </c>
      <c r="C58" s="2" t="str">
        <f>"2"</f>
        <v>2</v>
      </c>
      <c r="D58" s="2" t="str">
        <f>"7"</f>
        <v>7</v>
      </c>
      <c r="E58" s="2" t="str">
        <f>"1"</f>
        <v>1</v>
      </c>
      <c r="F58" s="3">
        <v>6100000000</v>
      </c>
    </row>
    <row r="59" spans="1:6" x14ac:dyDescent="0.25">
      <c r="A59" s="4" t="str">
        <f t="shared" si="4"/>
        <v>1417</v>
      </c>
      <c r="B59" s="2" t="str">
        <f t="shared" si="5"/>
        <v>Долгосрочные займы, предоставленные клиентам</v>
      </c>
      <c r="C59" s="2" t="str">
        <f>"2"</f>
        <v>2</v>
      </c>
      <c r="D59" s="2" t="str">
        <f>"7"</f>
        <v>7</v>
      </c>
      <c r="E59" s="2" t="str">
        <f>"2"</f>
        <v>2</v>
      </c>
      <c r="F59" s="3">
        <v>10837767216.370001</v>
      </c>
    </row>
    <row r="60" spans="1:6" x14ac:dyDescent="0.25">
      <c r="A60" s="4" t="str">
        <f t="shared" si="4"/>
        <v>1417</v>
      </c>
      <c r="B60" s="2" t="str">
        <f t="shared" si="5"/>
        <v>Долгосрочные займы, предоставленные клиентам</v>
      </c>
      <c r="C60" s="2" t="str">
        <f>"2"</f>
        <v>2</v>
      </c>
      <c r="D60" s="2" t="str">
        <f>"7"</f>
        <v>7</v>
      </c>
      <c r="E60" s="2" t="str">
        <f>"3"</f>
        <v>3</v>
      </c>
      <c r="F60" s="3">
        <v>7302910450.29</v>
      </c>
    </row>
    <row r="61" spans="1:6" x14ac:dyDescent="0.25">
      <c r="A61" s="4" t="str">
        <f t="shared" si="4"/>
        <v>1417</v>
      </c>
      <c r="B61" s="2" t="str">
        <f t="shared" si="5"/>
        <v>Долгосрочные займы, предоставленные клиентам</v>
      </c>
      <c r="C61" s="2" t="str">
        <f>"2"</f>
        <v>2</v>
      </c>
      <c r="D61" s="2" t="str">
        <f>"9"</f>
        <v>9</v>
      </c>
      <c r="E61" s="2" t="str">
        <f>"1"</f>
        <v>1</v>
      </c>
      <c r="F61" s="3">
        <v>36048708.740000002</v>
      </c>
    </row>
    <row r="62" spans="1:6" x14ac:dyDescent="0.25">
      <c r="A62" s="4" t="str">
        <f>"1421"</f>
        <v>1421</v>
      </c>
      <c r="B62" s="2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C62" s="2" t="str">
        <f>"1"</f>
        <v>1</v>
      </c>
      <c r="D62" s="2" t="str">
        <f>"7"</f>
        <v>7</v>
      </c>
      <c r="E62" s="2" t="str">
        <f>"1"</f>
        <v>1</v>
      </c>
      <c r="F62" s="3">
        <v>9256258.9100000001</v>
      </c>
    </row>
    <row r="63" spans="1:6" x14ac:dyDescent="0.25">
      <c r="A63" s="4" t="str">
        <f t="shared" ref="A63:A69" si="7">"1424"</f>
        <v>1424</v>
      </c>
      <c r="B63" s="2" t="str">
        <f t="shared" ref="B63:B69" si="8">"Просроченная задолженность клиентов по займам"</f>
        <v>Просроченная задолженность клиентов по займам</v>
      </c>
      <c r="C63" s="2" t="str">
        <f>"1"</f>
        <v>1</v>
      </c>
      <c r="D63" s="2" t="str">
        <f>"7"</f>
        <v>7</v>
      </c>
      <c r="E63" s="2" t="str">
        <f>"1"</f>
        <v>1</v>
      </c>
      <c r="F63" s="3">
        <v>8679209718.75</v>
      </c>
    </row>
    <row r="64" spans="1:6" x14ac:dyDescent="0.25">
      <c r="A64" s="4" t="str">
        <f t="shared" si="7"/>
        <v>1424</v>
      </c>
      <c r="B64" s="2" t="str">
        <f t="shared" si="8"/>
        <v>Просроченная задолженность клиентов по займам</v>
      </c>
      <c r="C64" s="2" t="str">
        <f>"1"</f>
        <v>1</v>
      </c>
      <c r="D64" s="2" t="str">
        <f>"5"</f>
        <v>5</v>
      </c>
      <c r="E64" s="2" t="str">
        <f>"1"</f>
        <v>1</v>
      </c>
      <c r="F64" s="3">
        <v>3805768429.4899998</v>
      </c>
    </row>
    <row r="65" spans="1:6" x14ac:dyDescent="0.25">
      <c r="A65" s="4" t="str">
        <f t="shared" si="7"/>
        <v>1424</v>
      </c>
      <c r="B65" s="2" t="str">
        <f t="shared" si="8"/>
        <v>Просроченная задолженность клиентов по займам</v>
      </c>
      <c r="C65" s="2" t="str">
        <f>"1"</f>
        <v>1</v>
      </c>
      <c r="D65" s="2" t="str">
        <f>"7"</f>
        <v>7</v>
      </c>
      <c r="E65" s="2" t="str">
        <f>"2"</f>
        <v>2</v>
      </c>
      <c r="F65" s="3">
        <v>177800278.97999999</v>
      </c>
    </row>
    <row r="66" spans="1:6" x14ac:dyDescent="0.25">
      <c r="A66" s="4" t="str">
        <f t="shared" si="7"/>
        <v>1424</v>
      </c>
      <c r="B66" s="2" t="str">
        <f t="shared" si="8"/>
        <v>Просроченная задолженность клиентов по займам</v>
      </c>
      <c r="C66" s="2" t="str">
        <f>"1"</f>
        <v>1</v>
      </c>
      <c r="D66" s="2" t="str">
        <f>"9"</f>
        <v>9</v>
      </c>
      <c r="E66" s="2" t="str">
        <f>"1"</f>
        <v>1</v>
      </c>
      <c r="F66" s="3">
        <v>30297371007.380001</v>
      </c>
    </row>
    <row r="67" spans="1:6" x14ac:dyDescent="0.25">
      <c r="A67" s="4" t="str">
        <f t="shared" si="7"/>
        <v>1424</v>
      </c>
      <c r="B67" s="2" t="str">
        <f t="shared" si="8"/>
        <v>Просроченная задолженность клиентов по займам</v>
      </c>
      <c r="C67" s="2" t="str">
        <f>"2"</f>
        <v>2</v>
      </c>
      <c r="D67" s="2" t="str">
        <f>"9"</f>
        <v>9</v>
      </c>
      <c r="E67" s="2" t="str">
        <f>"1"</f>
        <v>1</v>
      </c>
      <c r="F67" s="3">
        <v>14877020.039999999</v>
      </c>
    </row>
    <row r="68" spans="1:6" x14ac:dyDescent="0.25">
      <c r="A68" s="4" t="str">
        <f t="shared" si="7"/>
        <v>1424</v>
      </c>
      <c r="B68" s="2" t="str">
        <f t="shared" si="8"/>
        <v>Просроченная задолженность клиентов по займам</v>
      </c>
      <c r="C68" s="2" t="str">
        <f>"1"</f>
        <v>1</v>
      </c>
      <c r="D68" s="2" t="str">
        <f>"9"</f>
        <v>9</v>
      </c>
      <c r="E68" s="2" t="str">
        <f>"2"</f>
        <v>2</v>
      </c>
      <c r="F68" s="3">
        <v>122068522.91</v>
      </c>
    </row>
    <row r="69" spans="1:6" x14ac:dyDescent="0.25">
      <c r="A69" s="4" t="str">
        <f t="shared" si="7"/>
        <v>1424</v>
      </c>
      <c r="B69" s="2" t="str">
        <f t="shared" si="8"/>
        <v>Просроченная задолженность клиентов по займам</v>
      </c>
      <c r="C69" s="2" t="str">
        <f>"2"</f>
        <v>2</v>
      </c>
      <c r="D69" s="2" t="str">
        <f>"7"</f>
        <v>7</v>
      </c>
      <c r="E69" s="2" t="str">
        <f>"3"</f>
        <v>3</v>
      </c>
      <c r="F69" s="3">
        <v>493924074.14999998</v>
      </c>
    </row>
    <row r="70" spans="1:6" x14ac:dyDescent="0.25">
      <c r="A70" s="4" t="str">
        <f t="shared" ref="A70:A82" si="9">"1428"</f>
        <v>1428</v>
      </c>
      <c r="B70" s="2" t="str">
        <f t="shared" ref="B70:B82" si="10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70" s="2" t="str">
        <f t="shared" ref="C70:C75" si="11">"1"</f>
        <v>1</v>
      </c>
      <c r="D70" s="2" t="str">
        <f>"5"</f>
        <v>5</v>
      </c>
      <c r="E70" s="2" t="str">
        <f>"1"</f>
        <v>1</v>
      </c>
      <c r="F70" s="3">
        <v>-52626757.359999999</v>
      </c>
    </row>
    <row r="71" spans="1:6" x14ac:dyDescent="0.25">
      <c r="A71" s="4" t="str">
        <f t="shared" si="9"/>
        <v>1428</v>
      </c>
      <c r="B71" s="2" t="str">
        <f t="shared" si="10"/>
        <v>Резервы (провизии) по займам и финансовому лизингу, предоставленным клиентам</v>
      </c>
      <c r="C71" s="2" t="str">
        <f t="shared" si="11"/>
        <v>1</v>
      </c>
      <c r="D71" s="2" t="str">
        <f>"6"</f>
        <v>6</v>
      </c>
      <c r="E71" s="2" t="str">
        <f>"1"</f>
        <v>1</v>
      </c>
      <c r="F71" s="3">
        <v>-1950389094.05</v>
      </c>
    </row>
    <row r="72" spans="1:6" x14ac:dyDescent="0.25">
      <c r="A72" s="4" t="str">
        <f t="shared" si="9"/>
        <v>1428</v>
      </c>
      <c r="B72" s="2" t="str">
        <f t="shared" si="10"/>
        <v>Резервы (провизии) по займам и финансовому лизингу, предоставленным клиентам</v>
      </c>
      <c r="C72" s="2" t="str">
        <f t="shared" si="11"/>
        <v>1</v>
      </c>
      <c r="D72" s="2" t="str">
        <f>"5"</f>
        <v>5</v>
      </c>
      <c r="E72" s="2" t="str">
        <f>"2"</f>
        <v>2</v>
      </c>
      <c r="F72" s="3">
        <v>-313818952.12</v>
      </c>
    </row>
    <row r="73" spans="1:6" x14ac:dyDescent="0.25">
      <c r="A73" s="4" t="str">
        <f t="shared" si="9"/>
        <v>1428</v>
      </c>
      <c r="B73" s="2" t="str">
        <f t="shared" si="10"/>
        <v>Резервы (провизии) по займам и финансовому лизингу, предоставленным клиентам</v>
      </c>
      <c r="C73" s="2" t="str">
        <f t="shared" si="11"/>
        <v>1</v>
      </c>
      <c r="D73" s="2" t="str">
        <f>"7"</f>
        <v>7</v>
      </c>
      <c r="E73" s="2" t="str">
        <f>"2"</f>
        <v>2</v>
      </c>
      <c r="F73" s="3">
        <v>-17879691985.23</v>
      </c>
    </row>
    <row r="74" spans="1:6" x14ac:dyDescent="0.25">
      <c r="A74" s="4" t="str">
        <f t="shared" si="9"/>
        <v>1428</v>
      </c>
      <c r="B74" s="2" t="str">
        <f t="shared" si="10"/>
        <v>Резервы (провизии) по займам и финансовому лизингу, предоставленным клиентам</v>
      </c>
      <c r="C74" s="2" t="str">
        <f t="shared" si="11"/>
        <v>1</v>
      </c>
      <c r="D74" s="2" t="str">
        <f>"7"</f>
        <v>7</v>
      </c>
      <c r="E74" s="2" t="str">
        <f>"1"</f>
        <v>1</v>
      </c>
      <c r="F74" s="3">
        <v>-38418645833.220001</v>
      </c>
    </row>
    <row r="75" spans="1:6" x14ac:dyDescent="0.25">
      <c r="A75" s="4" t="str">
        <f t="shared" si="9"/>
        <v>1428</v>
      </c>
      <c r="B75" s="2" t="str">
        <f t="shared" si="10"/>
        <v>Резервы (провизии) по займам и финансовому лизингу, предоставленным клиентам</v>
      </c>
      <c r="C75" s="2" t="str">
        <f t="shared" si="11"/>
        <v>1</v>
      </c>
      <c r="D75" s="2" t="str">
        <f>"7"</f>
        <v>7</v>
      </c>
      <c r="E75" s="2" t="str">
        <f>"3"</f>
        <v>3</v>
      </c>
      <c r="F75" s="3">
        <v>-1650204.71</v>
      </c>
    </row>
    <row r="76" spans="1:6" x14ac:dyDescent="0.25">
      <c r="A76" s="4" t="str">
        <f t="shared" si="9"/>
        <v>1428</v>
      </c>
      <c r="B76" s="2" t="str">
        <f t="shared" si="10"/>
        <v>Резервы (провизии) по займам и финансовому лизингу, предоставленным клиентам</v>
      </c>
      <c r="C76" s="2" t="str">
        <f>"2"</f>
        <v>2</v>
      </c>
      <c r="D76" s="2" t="str">
        <f>"7"</f>
        <v>7</v>
      </c>
      <c r="E76" s="2" t="str">
        <f>"1"</f>
        <v>1</v>
      </c>
      <c r="F76" s="3">
        <v>-200062683.33000001</v>
      </c>
    </row>
    <row r="77" spans="1:6" x14ac:dyDescent="0.25">
      <c r="A77" s="4" t="str">
        <f t="shared" si="9"/>
        <v>1428</v>
      </c>
      <c r="B77" s="2" t="str">
        <f t="shared" si="10"/>
        <v>Резервы (провизии) по займам и финансовому лизингу, предоставленным клиентам</v>
      </c>
      <c r="C77" s="2" t="str">
        <f>"1"</f>
        <v>1</v>
      </c>
      <c r="D77" s="2" t="str">
        <f>"9"</f>
        <v>9</v>
      </c>
      <c r="E77" s="2" t="str">
        <f>"2"</f>
        <v>2</v>
      </c>
      <c r="F77" s="3">
        <v>-540706686.64999998</v>
      </c>
    </row>
    <row r="78" spans="1:6" x14ac:dyDescent="0.25">
      <c r="A78" s="4" t="str">
        <f t="shared" si="9"/>
        <v>1428</v>
      </c>
      <c r="B78" s="2" t="str">
        <f t="shared" si="10"/>
        <v>Резервы (провизии) по займам и финансовому лизингу, предоставленным клиентам</v>
      </c>
      <c r="C78" s="2" t="str">
        <f>"2"</f>
        <v>2</v>
      </c>
      <c r="D78" s="2" t="str">
        <f>"7"</f>
        <v>7</v>
      </c>
      <c r="E78" s="2" t="str">
        <f>"3"</f>
        <v>3</v>
      </c>
      <c r="F78" s="3">
        <v>-579693419.48000002</v>
      </c>
    </row>
    <row r="79" spans="1:6" x14ac:dyDescent="0.25">
      <c r="A79" s="4" t="str">
        <f t="shared" si="9"/>
        <v>1428</v>
      </c>
      <c r="B79" s="2" t="str">
        <f t="shared" si="10"/>
        <v>Резервы (провизии) по займам и финансовому лизингу, предоставленным клиентам</v>
      </c>
      <c r="C79" s="2" t="str">
        <f>"2"</f>
        <v>2</v>
      </c>
      <c r="D79" s="2" t="str">
        <f>"7"</f>
        <v>7</v>
      </c>
      <c r="E79" s="2" t="str">
        <f>"2"</f>
        <v>2</v>
      </c>
      <c r="F79" s="3">
        <v>-61405012.359999999</v>
      </c>
    </row>
    <row r="80" spans="1:6" x14ac:dyDescent="0.25">
      <c r="A80" s="4" t="str">
        <f t="shared" si="9"/>
        <v>1428</v>
      </c>
      <c r="B80" s="2" t="str">
        <f t="shared" si="10"/>
        <v>Резервы (провизии) по займам и финансовому лизингу, предоставленным клиентам</v>
      </c>
      <c r="C80" s="2" t="str">
        <f>"1"</f>
        <v>1</v>
      </c>
      <c r="D80" s="2" t="str">
        <f>"9"</f>
        <v>9</v>
      </c>
      <c r="E80" s="2" t="str">
        <f>"1"</f>
        <v>1</v>
      </c>
      <c r="F80" s="3">
        <v>-117457920587.09</v>
      </c>
    </row>
    <row r="81" spans="1:6" x14ac:dyDescent="0.25">
      <c r="A81" s="4" t="str">
        <f t="shared" si="9"/>
        <v>1428</v>
      </c>
      <c r="B81" s="2" t="str">
        <f t="shared" si="10"/>
        <v>Резервы (провизии) по займам и финансовому лизингу, предоставленным клиентам</v>
      </c>
      <c r="C81" s="2" t="str">
        <f>"2"</f>
        <v>2</v>
      </c>
      <c r="D81" s="2" t="str">
        <f>"9"</f>
        <v>9</v>
      </c>
      <c r="E81" s="2" t="str">
        <f>"2"</f>
        <v>2</v>
      </c>
      <c r="F81" s="3">
        <v>-77917.7</v>
      </c>
    </row>
    <row r="82" spans="1:6" x14ac:dyDescent="0.25">
      <c r="A82" s="4" t="str">
        <f t="shared" si="9"/>
        <v>1428</v>
      </c>
      <c r="B82" s="2" t="str">
        <f t="shared" si="10"/>
        <v>Резервы (провизии) по займам и финансовому лизингу, предоставленным клиентам</v>
      </c>
      <c r="C82" s="2" t="str">
        <f>"2"</f>
        <v>2</v>
      </c>
      <c r="D82" s="2" t="str">
        <f>"9"</f>
        <v>9</v>
      </c>
      <c r="E82" s="2" t="str">
        <f>"1"</f>
        <v>1</v>
      </c>
      <c r="F82" s="3">
        <v>-47225914.399999999</v>
      </c>
    </row>
    <row r="83" spans="1:6" x14ac:dyDescent="0.25">
      <c r="A83" s="4" t="str">
        <f t="shared" ref="A83:A93" si="12">"1434"</f>
        <v>1434</v>
      </c>
      <c r="B83" s="2" t="str">
        <f t="shared" ref="B83:B93" si="13">"Дисконт по займам, предоставленным клиентам"</f>
        <v>Дисконт по займам, предоставленным клиентам</v>
      </c>
      <c r="C83" s="2" t="str">
        <f t="shared" ref="C83:C89" si="14">"1"</f>
        <v>1</v>
      </c>
      <c r="D83" s="2" t="str">
        <f>"5"</f>
        <v>5</v>
      </c>
      <c r="E83" s="2" t="str">
        <f>"1"</f>
        <v>1</v>
      </c>
      <c r="F83" s="3">
        <v>-3864193688.8000002</v>
      </c>
    </row>
    <row r="84" spans="1:6" x14ac:dyDescent="0.25">
      <c r="A84" s="4" t="str">
        <f t="shared" si="12"/>
        <v>1434</v>
      </c>
      <c r="B84" s="2" t="str">
        <f t="shared" si="13"/>
        <v>Дисконт по займам, предоставленным клиентам</v>
      </c>
      <c r="C84" s="2" t="str">
        <f t="shared" si="14"/>
        <v>1</v>
      </c>
      <c r="D84" s="2" t="str">
        <f>"6"</f>
        <v>6</v>
      </c>
      <c r="E84" s="2" t="str">
        <f>"1"</f>
        <v>1</v>
      </c>
      <c r="F84" s="3">
        <v>-228518754.19</v>
      </c>
    </row>
    <row r="85" spans="1:6" x14ac:dyDescent="0.25">
      <c r="A85" s="4" t="str">
        <f t="shared" si="12"/>
        <v>1434</v>
      </c>
      <c r="B85" s="2" t="str">
        <f t="shared" si="13"/>
        <v>Дисконт по займам, предоставленным клиентам</v>
      </c>
      <c r="C85" s="2" t="str">
        <f t="shared" si="14"/>
        <v>1</v>
      </c>
      <c r="D85" s="2" t="str">
        <f>"7"</f>
        <v>7</v>
      </c>
      <c r="E85" s="2" t="str">
        <f>"2"</f>
        <v>2</v>
      </c>
      <c r="F85" s="3">
        <v>-1737423674.96</v>
      </c>
    </row>
    <row r="86" spans="1:6" x14ac:dyDescent="0.25">
      <c r="A86" s="4" t="str">
        <f t="shared" si="12"/>
        <v>1434</v>
      </c>
      <c r="B86" s="2" t="str">
        <f t="shared" si="13"/>
        <v>Дисконт по займам, предоставленным клиентам</v>
      </c>
      <c r="C86" s="2" t="str">
        <f t="shared" si="14"/>
        <v>1</v>
      </c>
      <c r="D86" s="2" t="str">
        <f>"5"</f>
        <v>5</v>
      </c>
      <c r="E86" s="2" t="str">
        <f>"2"</f>
        <v>2</v>
      </c>
      <c r="F86" s="3">
        <v>-45098531.280000001</v>
      </c>
    </row>
    <row r="87" spans="1:6" x14ac:dyDescent="0.25">
      <c r="A87" s="4" t="str">
        <f t="shared" si="12"/>
        <v>1434</v>
      </c>
      <c r="B87" s="2" t="str">
        <f t="shared" si="13"/>
        <v>Дисконт по займам, предоставленным клиентам</v>
      </c>
      <c r="C87" s="2" t="str">
        <f t="shared" si="14"/>
        <v>1</v>
      </c>
      <c r="D87" s="2" t="str">
        <f>"7"</f>
        <v>7</v>
      </c>
      <c r="E87" s="2" t="str">
        <f>"1"</f>
        <v>1</v>
      </c>
      <c r="F87" s="3">
        <v>-11560612971.370001</v>
      </c>
    </row>
    <row r="88" spans="1:6" x14ac:dyDescent="0.25">
      <c r="A88" s="4" t="str">
        <f t="shared" si="12"/>
        <v>1434</v>
      </c>
      <c r="B88" s="2" t="str">
        <f t="shared" si="13"/>
        <v>Дисконт по займам, предоставленным клиентам</v>
      </c>
      <c r="C88" s="2" t="str">
        <f t="shared" si="14"/>
        <v>1</v>
      </c>
      <c r="D88" s="2" t="str">
        <f>"9"</f>
        <v>9</v>
      </c>
      <c r="E88" s="2" t="str">
        <f>"1"</f>
        <v>1</v>
      </c>
      <c r="F88" s="3">
        <v>-17067453678.92</v>
      </c>
    </row>
    <row r="89" spans="1:6" x14ac:dyDescent="0.25">
      <c r="A89" s="4" t="str">
        <f t="shared" si="12"/>
        <v>1434</v>
      </c>
      <c r="B89" s="2" t="str">
        <f t="shared" si="13"/>
        <v>Дисконт по займам, предоставленным клиентам</v>
      </c>
      <c r="C89" s="2" t="str">
        <f t="shared" si="14"/>
        <v>1</v>
      </c>
      <c r="D89" s="2" t="str">
        <f>"7"</f>
        <v>7</v>
      </c>
      <c r="E89" s="2" t="str">
        <f>"3"</f>
        <v>3</v>
      </c>
      <c r="F89" s="3">
        <v>-739931.12</v>
      </c>
    </row>
    <row r="90" spans="1:6" x14ac:dyDescent="0.25">
      <c r="A90" s="4" t="str">
        <f t="shared" si="12"/>
        <v>1434</v>
      </c>
      <c r="B90" s="2" t="str">
        <f t="shared" si="13"/>
        <v>Дисконт по займам, предоставленным клиентам</v>
      </c>
      <c r="C90" s="2" t="str">
        <f>"2"</f>
        <v>2</v>
      </c>
      <c r="D90" s="2" t="str">
        <f>"7"</f>
        <v>7</v>
      </c>
      <c r="E90" s="2" t="str">
        <f>"2"</f>
        <v>2</v>
      </c>
      <c r="F90" s="3">
        <v>-34328605.840000004</v>
      </c>
    </row>
    <row r="91" spans="1:6" x14ac:dyDescent="0.25">
      <c r="A91" s="4" t="str">
        <f t="shared" si="12"/>
        <v>1434</v>
      </c>
      <c r="B91" s="2" t="str">
        <f t="shared" si="13"/>
        <v>Дисконт по займам, предоставленным клиентам</v>
      </c>
      <c r="C91" s="2" t="str">
        <f>"1"</f>
        <v>1</v>
      </c>
      <c r="D91" s="2" t="str">
        <f>"9"</f>
        <v>9</v>
      </c>
      <c r="E91" s="2" t="str">
        <f>"2"</f>
        <v>2</v>
      </c>
      <c r="F91" s="3">
        <v>-7730857.3200000003</v>
      </c>
    </row>
    <row r="92" spans="1:6" x14ac:dyDescent="0.25">
      <c r="A92" s="4" t="str">
        <f t="shared" si="12"/>
        <v>1434</v>
      </c>
      <c r="B92" s="2" t="str">
        <f t="shared" si="13"/>
        <v>Дисконт по займам, предоставленным клиентам</v>
      </c>
      <c r="C92" s="2" t="str">
        <f>"2"</f>
        <v>2</v>
      </c>
      <c r="D92" s="2" t="str">
        <f>"7"</f>
        <v>7</v>
      </c>
      <c r="E92" s="2" t="str">
        <f>"3"</f>
        <v>3</v>
      </c>
      <c r="F92" s="3">
        <v>-58911034.659999996</v>
      </c>
    </row>
    <row r="93" spans="1:6" x14ac:dyDescent="0.25">
      <c r="A93" s="4" t="str">
        <f t="shared" si="12"/>
        <v>1434</v>
      </c>
      <c r="B93" s="2" t="str">
        <f t="shared" si="13"/>
        <v>Дисконт по займам, предоставленным клиентам</v>
      </c>
      <c r="C93" s="2" t="str">
        <f>"2"</f>
        <v>2</v>
      </c>
      <c r="D93" s="2" t="str">
        <f>"9"</f>
        <v>9</v>
      </c>
      <c r="E93" s="2" t="str">
        <f>"1"</f>
        <v>1</v>
      </c>
      <c r="F93" s="3">
        <v>-23608153.280000001</v>
      </c>
    </row>
    <row r="94" spans="1:6" x14ac:dyDescent="0.25">
      <c r="A94" s="4" t="str">
        <f>"1435"</f>
        <v>1435</v>
      </c>
      <c r="B94" s="2" t="str">
        <f>"Премия по займам, предоставленным клиентам"</f>
        <v>Премия по займам, предоставленным клиентам</v>
      </c>
      <c r="C94" s="2" t="str">
        <f>"1"</f>
        <v>1</v>
      </c>
      <c r="D94" s="2" t="str">
        <f>"7"</f>
        <v>7</v>
      </c>
      <c r="E94" s="2" t="str">
        <f>"1"</f>
        <v>1</v>
      </c>
      <c r="F94" s="3">
        <v>11788933.91</v>
      </c>
    </row>
    <row r="95" spans="1:6" x14ac:dyDescent="0.25">
      <c r="A95" s="4" t="str">
        <f>"1435"</f>
        <v>1435</v>
      </c>
      <c r="B95" s="2" t="str">
        <f>"Премия по займам, предоставленным клиентам"</f>
        <v>Премия по займам, предоставленным клиентам</v>
      </c>
      <c r="C95" s="2" t="str">
        <f>"1"</f>
        <v>1</v>
      </c>
      <c r="D95" s="2" t="str">
        <f>"9"</f>
        <v>9</v>
      </c>
      <c r="E95" s="2" t="str">
        <f>"2"</f>
        <v>2</v>
      </c>
      <c r="F95" s="3">
        <v>632120.27</v>
      </c>
    </row>
    <row r="96" spans="1:6" x14ac:dyDescent="0.25">
      <c r="A96" s="4" t="str">
        <f>"1435"</f>
        <v>1435</v>
      </c>
      <c r="B96" s="2" t="str">
        <f>"Премия по займам, предоставленным клиентам"</f>
        <v>Премия по займам, предоставленным клиентам</v>
      </c>
      <c r="C96" s="2" t="str">
        <f>"2"</f>
        <v>2</v>
      </c>
      <c r="D96" s="2" t="str">
        <f>"9"</f>
        <v>9</v>
      </c>
      <c r="E96" s="2" t="str">
        <f>"1"</f>
        <v>1</v>
      </c>
      <c r="F96" s="3">
        <v>1998259.64</v>
      </c>
    </row>
    <row r="97" spans="1:6" x14ac:dyDescent="0.25">
      <c r="A97" s="4" t="str">
        <f>"1435"</f>
        <v>1435</v>
      </c>
      <c r="B97" s="2" t="str">
        <f>"Премия по займам, предоставленным клиентам"</f>
        <v>Премия по займам, предоставленным клиентам</v>
      </c>
      <c r="C97" s="2" t="str">
        <f>"1"</f>
        <v>1</v>
      </c>
      <c r="D97" s="2" t="str">
        <f>"9"</f>
        <v>9</v>
      </c>
      <c r="E97" s="2" t="str">
        <f>"1"</f>
        <v>1</v>
      </c>
      <c r="F97" s="3">
        <v>6455782395.2799997</v>
      </c>
    </row>
    <row r="98" spans="1:6" x14ac:dyDescent="0.25">
      <c r="A98" s="4" t="str">
        <f t="shared" ref="A98:A104" si="15">"1452"</f>
        <v>1452</v>
      </c>
      <c r="B98" s="2" t="str">
        <f t="shared" ref="B98:B104" si="1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C98" s="2" t="str">
        <f>"1"</f>
        <v>1</v>
      </c>
      <c r="D98" s="2" t="str">
        <f>"1"</f>
        <v>1</v>
      </c>
      <c r="E98" s="2" t="str">
        <f>"1"</f>
        <v>1</v>
      </c>
      <c r="F98" s="3">
        <v>246942388400</v>
      </c>
    </row>
    <row r="99" spans="1:6" x14ac:dyDescent="0.25">
      <c r="A99" s="4" t="str">
        <f t="shared" si="15"/>
        <v>1452</v>
      </c>
      <c r="B99" s="2" t="str">
        <f t="shared" si="16"/>
        <v>Ценные бумаги, учитываемые по справедливой стоимости через прочий совокупный доход</v>
      </c>
      <c r="C99" s="2" t="str">
        <f>"1"</f>
        <v>1</v>
      </c>
      <c r="D99" s="2" t="str">
        <f>"6"</f>
        <v>6</v>
      </c>
      <c r="E99" s="2" t="str">
        <f t="shared" ref="E99:E104" si="17">"2"</f>
        <v>2</v>
      </c>
      <c r="F99" s="3">
        <v>20494177900</v>
      </c>
    </row>
    <row r="100" spans="1:6" x14ac:dyDescent="0.25">
      <c r="A100" s="4" t="str">
        <f t="shared" si="15"/>
        <v>1452</v>
      </c>
      <c r="B100" s="2" t="str">
        <f t="shared" si="16"/>
        <v>Ценные бумаги, учитываемые по справедливой стоимости через прочий совокупный доход</v>
      </c>
      <c r="C100" s="2" t="str">
        <f>"1"</f>
        <v>1</v>
      </c>
      <c r="D100" s="2" t="str">
        <f>"1"</f>
        <v>1</v>
      </c>
      <c r="E100" s="2" t="str">
        <f t="shared" si="17"/>
        <v>2</v>
      </c>
      <c r="F100" s="3">
        <v>25668030770.060001</v>
      </c>
    </row>
    <row r="101" spans="1:6" x14ac:dyDescent="0.25">
      <c r="A101" s="4" t="str">
        <f t="shared" si="15"/>
        <v>1452</v>
      </c>
      <c r="B101" s="2" t="str">
        <f t="shared" si="16"/>
        <v>Ценные бумаги, учитываемые по справедливой стоимости через прочий совокупный доход</v>
      </c>
      <c r="C101" s="2" t="str">
        <f>"2"</f>
        <v>2</v>
      </c>
      <c r="D101" s="2" t="str">
        <f>"1"</f>
        <v>1</v>
      </c>
      <c r="E101" s="2" t="str">
        <f t="shared" si="17"/>
        <v>2</v>
      </c>
      <c r="F101" s="3">
        <v>134843040000</v>
      </c>
    </row>
    <row r="102" spans="1:6" x14ac:dyDescent="0.25">
      <c r="A102" s="4" t="str">
        <f t="shared" si="15"/>
        <v>1452</v>
      </c>
      <c r="B102" s="2" t="str">
        <f t="shared" si="16"/>
        <v>Ценные бумаги, учитываемые по справедливой стоимости через прочий совокупный доход</v>
      </c>
      <c r="C102" s="2" t="str">
        <f>"2"</f>
        <v>2</v>
      </c>
      <c r="D102" s="2" t="str">
        <f>"3"</f>
        <v>3</v>
      </c>
      <c r="E102" s="2" t="str">
        <f t="shared" si="17"/>
        <v>2</v>
      </c>
      <c r="F102" s="3">
        <v>1472100000</v>
      </c>
    </row>
    <row r="103" spans="1:6" x14ac:dyDescent="0.25">
      <c r="A103" s="4" t="str">
        <f t="shared" si="15"/>
        <v>1452</v>
      </c>
      <c r="B103" s="2" t="str">
        <f t="shared" si="16"/>
        <v>Ценные бумаги, учитываемые по справедливой стоимости через прочий совокупный доход</v>
      </c>
      <c r="C103" s="2" t="str">
        <f>"2"</f>
        <v>2</v>
      </c>
      <c r="D103" s="2" t="str">
        <f>"4"</f>
        <v>4</v>
      </c>
      <c r="E103" s="2" t="str">
        <f t="shared" si="17"/>
        <v>2</v>
      </c>
      <c r="F103" s="3">
        <v>905020000</v>
      </c>
    </row>
    <row r="104" spans="1:6" x14ac:dyDescent="0.25">
      <c r="A104" s="4" t="str">
        <f t="shared" si="15"/>
        <v>1452</v>
      </c>
      <c r="B104" s="2" t="str">
        <f t="shared" si="16"/>
        <v>Ценные бумаги, учитываемые по справедливой стоимости через прочий совокупный доход</v>
      </c>
      <c r="C104" s="2" t="str">
        <f>"2"</f>
        <v>2</v>
      </c>
      <c r="D104" s="2" t="str">
        <f>"5"</f>
        <v>5</v>
      </c>
      <c r="E104" s="2" t="str">
        <f t="shared" si="17"/>
        <v>2</v>
      </c>
      <c r="F104" s="3">
        <v>9634842920</v>
      </c>
    </row>
    <row r="105" spans="1:6" x14ac:dyDescent="0.25">
      <c r="A105" s="4" t="str">
        <f t="shared" ref="A105:A111" si="18">"1453"</f>
        <v>1453</v>
      </c>
      <c r="B105" s="2" t="str">
        <f t="shared" ref="B105:B111" si="19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C105" s="2" t="str">
        <f>"1"</f>
        <v>1</v>
      </c>
      <c r="D105" s="2" t="str">
        <f>"1"</f>
        <v>1</v>
      </c>
      <c r="E105" s="2" t="str">
        <f>"1"</f>
        <v>1</v>
      </c>
      <c r="F105" s="3">
        <v>-23051302362.34</v>
      </c>
    </row>
    <row r="106" spans="1:6" x14ac:dyDescent="0.25">
      <c r="A106" s="4" t="str">
        <f t="shared" si="18"/>
        <v>1453</v>
      </c>
      <c r="B106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06" s="2" t="str">
        <f>"1"</f>
        <v>1</v>
      </c>
      <c r="D106" s="2" t="str">
        <f>"1"</f>
        <v>1</v>
      </c>
      <c r="E106" s="2" t="str">
        <f t="shared" ref="E106:E111" si="20">"2"</f>
        <v>2</v>
      </c>
      <c r="F106" s="3">
        <v>-52501697.159999996</v>
      </c>
    </row>
    <row r="107" spans="1:6" x14ac:dyDescent="0.25">
      <c r="A107" s="4" t="str">
        <f t="shared" si="18"/>
        <v>1453</v>
      </c>
      <c r="B107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07" s="2" t="str">
        <f>"2"</f>
        <v>2</v>
      </c>
      <c r="D107" s="2" t="str">
        <f>"1"</f>
        <v>1</v>
      </c>
      <c r="E107" s="2" t="str">
        <f t="shared" si="20"/>
        <v>2</v>
      </c>
      <c r="F107" s="3">
        <v>-854218534.67999995</v>
      </c>
    </row>
    <row r="108" spans="1:6" x14ac:dyDescent="0.25">
      <c r="A108" s="4" t="str">
        <f t="shared" si="18"/>
        <v>1453</v>
      </c>
      <c r="B108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08" s="2" t="str">
        <f>"1"</f>
        <v>1</v>
      </c>
      <c r="D108" s="2" t="str">
        <f>"6"</f>
        <v>6</v>
      </c>
      <c r="E108" s="2" t="str">
        <f t="shared" si="20"/>
        <v>2</v>
      </c>
      <c r="F108" s="3">
        <v>-384157911.99000001</v>
      </c>
    </row>
    <row r="109" spans="1:6" x14ac:dyDescent="0.25">
      <c r="A109" s="4" t="str">
        <f t="shared" si="18"/>
        <v>1453</v>
      </c>
      <c r="B109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09" s="2" t="str">
        <f>"2"</f>
        <v>2</v>
      </c>
      <c r="D109" s="2" t="str">
        <f>"4"</f>
        <v>4</v>
      </c>
      <c r="E109" s="2" t="str">
        <f t="shared" si="20"/>
        <v>2</v>
      </c>
      <c r="F109" s="3">
        <v>-13801582.15</v>
      </c>
    </row>
    <row r="110" spans="1:6" x14ac:dyDescent="0.25">
      <c r="A110" s="4" t="str">
        <f t="shared" si="18"/>
        <v>1453</v>
      </c>
      <c r="B110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10" s="2" t="str">
        <f>"2"</f>
        <v>2</v>
      </c>
      <c r="D110" s="2" t="str">
        <f>"3"</f>
        <v>3</v>
      </c>
      <c r="E110" s="2" t="str">
        <f t="shared" si="20"/>
        <v>2</v>
      </c>
      <c r="F110" s="3">
        <v>-6376322.6399999997</v>
      </c>
    </row>
    <row r="111" spans="1:6" x14ac:dyDescent="0.25">
      <c r="A111" s="4" t="str">
        <f t="shared" si="18"/>
        <v>1453</v>
      </c>
      <c r="B111" s="2" t="str">
        <f t="shared" si="19"/>
        <v>Дисконт по приобретенным ценным бумагам, учитываемым по справедливой стоимости через прочий совокупный доход</v>
      </c>
      <c r="C111" s="2" t="str">
        <f>"2"</f>
        <v>2</v>
      </c>
      <c r="D111" s="2" t="str">
        <f>"5"</f>
        <v>5</v>
      </c>
      <c r="E111" s="2" t="str">
        <f t="shared" si="20"/>
        <v>2</v>
      </c>
      <c r="F111" s="3">
        <v>-45049424.890000001</v>
      </c>
    </row>
    <row r="112" spans="1:6" x14ac:dyDescent="0.25">
      <c r="A112" s="4" t="str">
        <f>"1454"</f>
        <v>1454</v>
      </c>
      <c r="B112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2" s="2" t="str">
        <f>"1"</f>
        <v>1</v>
      </c>
      <c r="D112" s="2" t="str">
        <f>"1"</f>
        <v>1</v>
      </c>
      <c r="E112" s="2" t="str">
        <f>"1"</f>
        <v>1</v>
      </c>
      <c r="F112" s="3">
        <v>487260871.51999998</v>
      </c>
    </row>
    <row r="113" spans="1:6" x14ac:dyDescent="0.25">
      <c r="A113" s="4" t="str">
        <f>"1454"</f>
        <v>1454</v>
      </c>
      <c r="B113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3" s="2" t="str">
        <f>"1"</f>
        <v>1</v>
      </c>
      <c r="D113" s="2" t="str">
        <f>"1"</f>
        <v>1</v>
      </c>
      <c r="E113" s="2" t="str">
        <f>"2"</f>
        <v>2</v>
      </c>
      <c r="F113" s="3">
        <v>875289866.75</v>
      </c>
    </row>
    <row r="114" spans="1:6" x14ac:dyDescent="0.25">
      <c r="A114" s="4" t="str">
        <f>"1454"</f>
        <v>1454</v>
      </c>
      <c r="B114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4" s="2" t="str">
        <f>"2"</f>
        <v>2</v>
      </c>
      <c r="D114" s="2" t="str">
        <f>"1"</f>
        <v>1</v>
      </c>
      <c r="E114" s="2" t="str">
        <f>"2"</f>
        <v>2</v>
      </c>
      <c r="F114" s="3">
        <v>123969969.93000001</v>
      </c>
    </row>
    <row r="115" spans="1:6" x14ac:dyDescent="0.25">
      <c r="A115" s="4" t="str">
        <f>"1454"</f>
        <v>1454</v>
      </c>
      <c r="B115" s="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5" s="2" t="str">
        <f>"2"</f>
        <v>2</v>
      </c>
      <c r="D115" s="2" t="str">
        <f>"5"</f>
        <v>5</v>
      </c>
      <c r="E115" s="2" t="str">
        <f>"2"</f>
        <v>2</v>
      </c>
      <c r="F115" s="3">
        <v>591128664.38</v>
      </c>
    </row>
    <row r="116" spans="1:6" x14ac:dyDescent="0.25">
      <c r="A116" s="4" t="str">
        <f t="shared" ref="A116:A122" si="21">"1456"</f>
        <v>1456</v>
      </c>
      <c r="B116" s="2" t="str">
        <f t="shared" ref="B116:B122" si="22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6" s="2" t="str">
        <f>"1"</f>
        <v>1</v>
      </c>
      <c r="D116" s="2" t="str">
        <f>"1"</f>
        <v>1</v>
      </c>
      <c r="E116" s="2" t="str">
        <f>"1"</f>
        <v>1</v>
      </c>
      <c r="F116" s="3">
        <v>35305517923.32</v>
      </c>
    </row>
    <row r="117" spans="1:6" x14ac:dyDescent="0.25">
      <c r="A117" s="4" t="str">
        <f t="shared" si="21"/>
        <v>1456</v>
      </c>
      <c r="B117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7" s="2" t="str">
        <f>"1"</f>
        <v>1</v>
      </c>
      <c r="D117" s="2" t="str">
        <f>"1"</f>
        <v>1</v>
      </c>
      <c r="E117" s="2" t="str">
        <f t="shared" ref="E117:E124" si="23">"2"</f>
        <v>2</v>
      </c>
      <c r="F117" s="3">
        <v>342482026.91000003</v>
      </c>
    </row>
    <row r="118" spans="1:6" x14ac:dyDescent="0.25">
      <c r="A118" s="4" t="str">
        <f t="shared" si="21"/>
        <v>1456</v>
      </c>
      <c r="B118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8" s="2" t="str">
        <f>"1"</f>
        <v>1</v>
      </c>
      <c r="D118" s="2" t="str">
        <f>"6"</f>
        <v>6</v>
      </c>
      <c r="E118" s="2" t="str">
        <f t="shared" si="23"/>
        <v>2</v>
      </c>
      <c r="F118" s="3">
        <v>1203293206.3800001</v>
      </c>
    </row>
    <row r="119" spans="1:6" x14ac:dyDescent="0.25">
      <c r="A119" s="4" t="str">
        <f t="shared" si="21"/>
        <v>1456</v>
      </c>
      <c r="B119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9" s="2" t="str">
        <f>"2"</f>
        <v>2</v>
      </c>
      <c r="D119" s="2" t="str">
        <f>"4"</f>
        <v>4</v>
      </c>
      <c r="E119" s="2" t="str">
        <f t="shared" si="23"/>
        <v>2</v>
      </c>
      <c r="F119" s="3">
        <v>107347476.64</v>
      </c>
    </row>
    <row r="120" spans="1:6" x14ac:dyDescent="0.25">
      <c r="A120" s="4" t="str">
        <f t="shared" si="21"/>
        <v>1456</v>
      </c>
      <c r="B120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0" s="2" t="str">
        <f>"2"</f>
        <v>2</v>
      </c>
      <c r="D120" s="2" t="str">
        <f>"3"</f>
        <v>3</v>
      </c>
      <c r="E120" s="2" t="str">
        <f t="shared" si="23"/>
        <v>2</v>
      </c>
      <c r="F120" s="3">
        <v>159898172.19999999</v>
      </c>
    </row>
    <row r="121" spans="1:6" x14ac:dyDescent="0.25">
      <c r="A121" s="4" t="str">
        <f t="shared" si="21"/>
        <v>1456</v>
      </c>
      <c r="B121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1" s="2" t="str">
        <f>"2"</f>
        <v>2</v>
      </c>
      <c r="D121" s="2" t="str">
        <f>"1"</f>
        <v>1</v>
      </c>
      <c r="E121" s="2" t="str">
        <f t="shared" si="23"/>
        <v>2</v>
      </c>
      <c r="F121" s="3">
        <v>547122519.58000004</v>
      </c>
    </row>
    <row r="122" spans="1:6" x14ac:dyDescent="0.25">
      <c r="A122" s="4" t="str">
        <f t="shared" si="21"/>
        <v>1456</v>
      </c>
      <c r="B122" s="2" t="str">
        <f t="shared" si="2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2" s="2" t="str">
        <f>"2"</f>
        <v>2</v>
      </c>
      <c r="D122" s="2" t="str">
        <f>"5"</f>
        <v>5</v>
      </c>
      <c r="E122" s="2" t="str">
        <f t="shared" si="23"/>
        <v>2</v>
      </c>
      <c r="F122" s="3">
        <v>363129844.69</v>
      </c>
    </row>
    <row r="123" spans="1:6" x14ac:dyDescent="0.25">
      <c r="A123" s="4" t="str">
        <f t="shared" ref="A123:A129" si="24">"1457"</f>
        <v>1457</v>
      </c>
      <c r="B123" s="2" t="str">
        <f t="shared" ref="B123:B129" si="25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3" s="2" t="str">
        <f>"1"</f>
        <v>1</v>
      </c>
      <c r="D123" s="2" t="str">
        <f>"1"</f>
        <v>1</v>
      </c>
      <c r="E123" s="2" t="str">
        <f t="shared" si="23"/>
        <v>2</v>
      </c>
      <c r="F123" s="3">
        <v>-789445728.10000002</v>
      </c>
    </row>
    <row r="124" spans="1:6" x14ac:dyDescent="0.25">
      <c r="A124" s="4" t="str">
        <f t="shared" si="24"/>
        <v>1457</v>
      </c>
      <c r="B124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4" s="2" t="str">
        <f>"1"</f>
        <v>1</v>
      </c>
      <c r="D124" s="2" t="str">
        <f>"6"</f>
        <v>6</v>
      </c>
      <c r="E124" s="2" t="str">
        <f t="shared" si="23"/>
        <v>2</v>
      </c>
      <c r="F124" s="3">
        <v>-2686641136.6500001</v>
      </c>
    </row>
    <row r="125" spans="1:6" x14ac:dyDescent="0.25">
      <c r="A125" s="4" t="str">
        <f t="shared" si="24"/>
        <v>1457</v>
      </c>
      <c r="B125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5" s="2" t="str">
        <f>"1"</f>
        <v>1</v>
      </c>
      <c r="D125" s="2" t="str">
        <f>"1"</f>
        <v>1</v>
      </c>
      <c r="E125" s="2" t="str">
        <f>"1"</f>
        <v>1</v>
      </c>
      <c r="F125" s="3">
        <v>-26198698871.119999</v>
      </c>
    </row>
    <row r="126" spans="1:6" x14ac:dyDescent="0.25">
      <c r="A126" s="4" t="str">
        <f t="shared" si="24"/>
        <v>1457</v>
      </c>
      <c r="B126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6" s="2" t="str">
        <f>"2"</f>
        <v>2</v>
      </c>
      <c r="D126" s="2" t="str">
        <f>"1"</f>
        <v>1</v>
      </c>
      <c r="E126" s="2" t="str">
        <f>"2"</f>
        <v>2</v>
      </c>
      <c r="F126" s="3">
        <v>-1157716698.6700001</v>
      </c>
    </row>
    <row r="127" spans="1:6" x14ac:dyDescent="0.25">
      <c r="A127" s="4" t="str">
        <f t="shared" si="24"/>
        <v>1457</v>
      </c>
      <c r="B127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7" s="2" t="str">
        <f>"2"</f>
        <v>2</v>
      </c>
      <c r="D127" s="2" t="str">
        <f>"3"</f>
        <v>3</v>
      </c>
      <c r="E127" s="2" t="str">
        <f>"2"</f>
        <v>2</v>
      </c>
      <c r="F127" s="3">
        <v>-416586119.56999999</v>
      </c>
    </row>
    <row r="128" spans="1:6" x14ac:dyDescent="0.25">
      <c r="A128" s="4" t="str">
        <f t="shared" si="24"/>
        <v>1457</v>
      </c>
      <c r="B128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8" s="2" t="str">
        <f>"2"</f>
        <v>2</v>
      </c>
      <c r="D128" s="2" t="str">
        <f>"4"</f>
        <v>4</v>
      </c>
      <c r="E128" s="2" t="str">
        <f>"2"</f>
        <v>2</v>
      </c>
      <c r="F128" s="3">
        <v>-432747390.49000001</v>
      </c>
    </row>
    <row r="129" spans="1:6" x14ac:dyDescent="0.25">
      <c r="A129" s="4" t="str">
        <f t="shared" si="24"/>
        <v>1457</v>
      </c>
      <c r="B129" s="2" t="str">
        <f t="shared" si="2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9" s="2" t="str">
        <f>"2"</f>
        <v>2</v>
      </c>
      <c r="D129" s="2" t="str">
        <f>"5"</f>
        <v>5</v>
      </c>
      <c r="E129" s="2" t="str">
        <f>"2"</f>
        <v>2</v>
      </c>
      <c r="F129" s="3">
        <v>-4223418329.9200001</v>
      </c>
    </row>
    <row r="130" spans="1:6" x14ac:dyDescent="0.25">
      <c r="A130" s="4" t="str">
        <f>"1459"</f>
        <v>1459</v>
      </c>
      <c r="B130" s="2" t="str">
        <f>"Просроченная задолженность по ценным бумагам, учитываемым по справедливой стоимости через прочий совокупный доход"</f>
        <v>Просроченная задолженность по ценным бумагам, учитываемым по справедливой стоимости через прочий совокупный доход</v>
      </c>
      <c r="C130" s="2" t="str">
        <f>"2"</f>
        <v>2</v>
      </c>
      <c r="D130" s="2" t="str">
        <f>"5"</f>
        <v>5</v>
      </c>
      <c r="E130" s="2" t="str">
        <f>"2"</f>
        <v>2</v>
      </c>
      <c r="F130" s="3">
        <v>4254046510</v>
      </c>
    </row>
    <row r="131" spans="1:6" x14ac:dyDescent="0.25">
      <c r="A131" s="4" t="str">
        <f t="shared" ref="A131:A137" si="26">"1481"</f>
        <v>1481</v>
      </c>
      <c r="B131" s="2" t="str">
        <f t="shared" ref="B131:B137" si="27">"Ценные бумаги, учитываемые по амортизированной стоимости"</f>
        <v>Ценные бумаги, учитываемые по амортизированной стоимости</v>
      </c>
      <c r="C131" s="2" t="str">
        <f>"1"</f>
        <v>1</v>
      </c>
      <c r="D131" s="2" t="str">
        <f>"1"</f>
        <v>1</v>
      </c>
      <c r="E131" s="2" t="str">
        <f>"1"</f>
        <v>1</v>
      </c>
      <c r="F131" s="3">
        <v>32705932000</v>
      </c>
    </row>
    <row r="132" spans="1:6" x14ac:dyDescent="0.25">
      <c r="A132" s="4" t="str">
        <f t="shared" si="26"/>
        <v>1481</v>
      </c>
      <c r="B132" s="2" t="str">
        <f t="shared" si="27"/>
        <v>Ценные бумаги, учитываемые по амортизированной стоимости</v>
      </c>
      <c r="C132" s="2" t="str">
        <f>"1"</f>
        <v>1</v>
      </c>
      <c r="D132" s="2" t="str">
        <f>"4"</f>
        <v>4</v>
      </c>
      <c r="E132" s="2" t="str">
        <f t="shared" ref="E132:E137" si="28">"2"</f>
        <v>2</v>
      </c>
      <c r="F132" s="3">
        <v>4525100000</v>
      </c>
    </row>
    <row r="133" spans="1:6" x14ac:dyDescent="0.25">
      <c r="A133" s="4" t="str">
        <f t="shared" si="26"/>
        <v>1481</v>
      </c>
      <c r="B133" s="2" t="str">
        <f t="shared" si="27"/>
        <v>Ценные бумаги, учитываемые по амортизированной стоимости</v>
      </c>
      <c r="C133" s="2" t="str">
        <f>"1"</f>
        <v>1</v>
      </c>
      <c r="D133" s="2" t="str">
        <f>"1"</f>
        <v>1</v>
      </c>
      <c r="E133" s="2" t="str">
        <f t="shared" si="28"/>
        <v>2</v>
      </c>
      <c r="F133" s="3">
        <v>67250226160</v>
      </c>
    </row>
    <row r="134" spans="1:6" x14ac:dyDescent="0.25">
      <c r="A134" s="4" t="str">
        <f t="shared" si="26"/>
        <v>1481</v>
      </c>
      <c r="B134" s="2" t="str">
        <f t="shared" si="27"/>
        <v>Ценные бумаги, учитываемые по амортизированной стоимости</v>
      </c>
      <c r="C134" s="2" t="str">
        <f>"1"</f>
        <v>1</v>
      </c>
      <c r="D134" s="2" t="str">
        <f>"6"</f>
        <v>6</v>
      </c>
      <c r="E134" s="2" t="str">
        <f t="shared" si="28"/>
        <v>2</v>
      </c>
      <c r="F134" s="3">
        <v>2262550000</v>
      </c>
    </row>
    <row r="135" spans="1:6" x14ac:dyDescent="0.25">
      <c r="A135" s="4" t="str">
        <f t="shared" si="26"/>
        <v>1481</v>
      </c>
      <c r="B135" s="2" t="str">
        <f t="shared" si="27"/>
        <v>Ценные бумаги, учитываемые по амортизированной стоимости</v>
      </c>
      <c r="C135" s="2" t="str">
        <f>"2"</f>
        <v>2</v>
      </c>
      <c r="D135" s="2" t="str">
        <f>"4"</f>
        <v>4</v>
      </c>
      <c r="E135" s="2" t="str">
        <f t="shared" si="28"/>
        <v>2</v>
      </c>
      <c r="F135" s="3">
        <v>3153994700</v>
      </c>
    </row>
    <row r="136" spans="1:6" x14ac:dyDescent="0.25">
      <c r="A136" s="4" t="str">
        <f t="shared" si="26"/>
        <v>1481</v>
      </c>
      <c r="B136" s="2" t="str">
        <f t="shared" si="27"/>
        <v>Ценные бумаги, учитываемые по амортизированной стоимости</v>
      </c>
      <c r="C136" s="2" t="str">
        <f>"2"</f>
        <v>2</v>
      </c>
      <c r="D136" s="2" t="str">
        <f>"5"</f>
        <v>5</v>
      </c>
      <c r="E136" s="2" t="str">
        <f t="shared" si="28"/>
        <v>2</v>
      </c>
      <c r="F136" s="3">
        <v>5384869000</v>
      </c>
    </row>
    <row r="137" spans="1:6" x14ac:dyDescent="0.25">
      <c r="A137" s="4" t="str">
        <f t="shared" si="26"/>
        <v>1481</v>
      </c>
      <c r="B137" s="2" t="str">
        <f t="shared" si="27"/>
        <v>Ценные бумаги, учитываемые по амортизированной стоимости</v>
      </c>
      <c r="C137" s="2" t="str">
        <f>"2"</f>
        <v>2</v>
      </c>
      <c r="D137" s="2" t="str">
        <f>"1"</f>
        <v>1</v>
      </c>
      <c r="E137" s="2" t="str">
        <f t="shared" si="28"/>
        <v>2</v>
      </c>
      <c r="F137" s="3">
        <v>71546310000</v>
      </c>
    </row>
    <row r="138" spans="1:6" x14ac:dyDescent="0.25">
      <c r="A138" s="4" t="str">
        <f>"1482"</f>
        <v>1482</v>
      </c>
      <c r="B138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8" s="2" t="str">
        <f>"1"</f>
        <v>1</v>
      </c>
      <c r="D138" s="2" t="str">
        <f>"1"</f>
        <v>1</v>
      </c>
      <c r="E138" s="2" t="str">
        <f>"1"</f>
        <v>1</v>
      </c>
      <c r="F138" s="3">
        <v>-972859112.42999995</v>
      </c>
    </row>
    <row r="139" spans="1:6" x14ac:dyDescent="0.25">
      <c r="A139" s="4" t="str">
        <f>"1482"</f>
        <v>1482</v>
      </c>
      <c r="B139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9" s="2" t="str">
        <f>"1"</f>
        <v>1</v>
      </c>
      <c r="D139" s="2" t="str">
        <f>"1"</f>
        <v>1</v>
      </c>
      <c r="E139" s="2" t="str">
        <f>"2"</f>
        <v>2</v>
      </c>
      <c r="F139" s="3">
        <v>-101424885.48</v>
      </c>
    </row>
    <row r="140" spans="1:6" x14ac:dyDescent="0.25">
      <c r="A140" s="4" t="str">
        <f>"1482"</f>
        <v>1482</v>
      </c>
      <c r="B140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0" s="2" t="str">
        <f>"1"</f>
        <v>1</v>
      </c>
      <c r="D140" s="2" t="str">
        <f>"4"</f>
        <v>4</v>
      </c>
      <c r="E140" s="2" t="str">
        <f>"2"</f>
        <v>2</v>
      </c>
      <c r="F140" s="3">
        <v>-12675547.220000001</v>
      </c>
    </row>
    <row r="141" spans="1:6" x14ac:dyDescent="0.25">
      <c r="A141" s="4" t="str">
        <f>"1482"</f>
        <v>1482</v>
      </c>
      <c r="B141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1" s="2" t="str">
        <f>"2"</f>
        <v>2</v>
      </c>
      <c r="D141" s="2" t="str">
        <f>"4"</f>
        <v>4</v>
      </c>
      <c r="E141" s="2" t="str">
        <f>"2"</f>
        <v>2</v>
      </c>
      <c r="F141" s="3">
        <v>-60711737.219999999</v>
      </c>
    </row>
    <row r="142" spans="1:6" x14ac:dyDescent="0.25">
      <c r="A142" s="4" t="str">
        <f>"1482"</f>
        <v>1482</v>
      </c>
      <c r="B142" s="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2" s="2" t="str">
        <f>"2"</f>
        <v>2</v>
      </c>
      <c r="D142" s="2" t="str">
        <f>"1"</f>
        <v>1</v>
      </c>
      <c r="E142" s="2" t="str">
        <f>"2"</f>
        <v>2</v>
      </c>
      <c r="F142" s="3">
        <v>-390129377.36000001</v>
      </c>
    </row>
    <row r="143" spans="1:6" x14ac:dyDescent="0.25">
      <c r="A143" s="4" t="str">
        <f t="shared" ref="A143:A148" si="29">"1483"</f>
        <v>1483</v>
      </c>
      <c r="B143" s="2" t="str">
        <f t="shared" ref="B143:B148" si="30"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43" s="2" t="str">
        <f>"1"</f>
        <v>1</v>
      </c>
      <c r="D143" s="2" t="str">
        <f>"1"</f>
        <v>1</v>
      </c>
      <c r="E143" s="2" t="str">
        <f>"2"</f>
        <v>2</v>
      </c>
      <c r="F143" s="3">
        <v>1980596670.8499999</v>
      </c>
    </row>
    <row r="144" spans="1:6" x14ac:dyDescent="0.25">
      <c r="A144" s="4" t="str">
        <f t="shared" si="29"/>
        <v>1483</v>
      </c>
      <c r="B144" s="2" t="str">
        <f t="shared" si="30"/>
        <v>Премия по ценным бумагам, учитываемым по амортизированной стоимости</v>
      </c>
      <c r="C144" s="2" t="str">
        <f>"1"</f>
        <v>1</v>
      </c>
      <c r="D144" s="2" t="str">
        <f>"1"</f>
        <v>1</v>
      </c>
      <c r="E144" s="2" t="str">
        <f>"1"</f>
        <v>1</v>
      </c>
      <c r="F144" s="3">
        <v>71447010.810000002</v>
      </c>
    </row>
    <row r="145" spans="1:6" x14ac:dyDescent="0.25">
      <c r="A145" s="4" t="str">
        <f t="shared" si="29"/>
        <v>1483</v>
      </c>
      <c r="B145" s="2" t="str">
        <f t="shared" si="30"/>
        <v>Премия по ценным бумагам, учитываемым по амортизированной стоимости</v>
      </c>
      <c r="C145" s="2" t="str">
        <f>"1"</f>
        <v>1</v>
      </c>
      <c r="D145" s="2" t="str">
        <f>"6"</f>
        <v>6</v>
      </c>
      <c r="E145" s="2" t="str">
        <f t="shared" ref="E145:E153" si="31">"2"</f>
        <v>2</v>
      </c>
      <c r="F145" s="3">
        <v>42730998.960000001</v>
      </c>
    </row>
    <row r="146" spans="1:6" x14ac:dyDescent="0.25">
      <c r="A146" s="4" t="str">
        <f t="shared" si="29"/>
        <v>1483</v>
      </c>
      <c r="B146" s="2" t="str">
        <f t="shared" si="30"/>
        <v>Премия по ценным бумагам, учитываемым по амортизированной стоимости</v>
      </c>
      <c r="C146" s="2" t="str">
        <f>"1"</f>
        <v>1</v>
      </c>
      <c r="D146" s="2" t="str">
        <f>"4"</f>
        <v>4</v>
      </c>
      <c r="E146" s="2" t="str">
        <f t="shared" si="31"/>
        <v>2</v>
      </c>
      <c r="F146" s="3">
        <v>91240880.950000003</v>
      </c>
    </row>
    <row r="147" spans="1:6" x14ac:dyDescent="0.25">
      <c r="A147" s="4" t="str">
        <f t="shared" si="29"/>
        <v>1483</v>
      </c>
      <c r="B147" s="2" t="str">
        <f t="shared" si="30"/>
        <v>Премия по ценным бумагам, учитываемым по амортизированной стоимости</v>
      </c>
      <c r="C147" s="2" t="str">
        <f>"2"</f>
        <v>2</v>
      </c>
      <c r="D147" s="2" t="str">
        <f>"1"</f>
        <v>1</v>
      </c>
      <c r="E147" s="2" t="str">
        <f t="shared" si="31"/>
        <v>2</v>
      </c>
      <c r="F147" s="3">
        <v>116954580.7</v>
      </c>
    </row>
    <row r="148" spans="1:6" x14ac:dyDescent="0.25">
      <c r="A148" s="4" t="str">
        <f t="shared" si="29"/>
        <v>1483</v>
      </c>
      <c r="B148" s="2" t="str">
        <f t="shared" si="30"/>
        <v>Премия по ценным бумагам, учитываемым по амортизированной стоимости</v>
      </c>
      <c r="C148" s="2" t="str">
        <f>"2"</f>
        <v>2</v>
      </c>
      <c r="D148" s="2" t="str">
        <f>"5"</f>
        <v>5</v>
      </c>
      <c r="E148" s="2" t="str">
        <f t="shared" si="31"/>
        <v>2</v>
      </c>
      <c r="F148" s="3">
        <v>120599689.03</v>
      </c>
    </row>
    <row r="149" spans="1:6" x14ac:dyDescent="0.25">
      <c r="A149" s="4" t="str">
        <f>"1485"</f>
        <v>1485</v>
      </c>
      <c r="B149" s="2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49" s="2" t="str">
        <f>"2"</f>
        <v>2</v>
      </c>
      <c r="D149" s="2" t="str">
        <f>"5"</f>
        <v>5</v>
      </c>
      <c r="E149" s="2" t="str">
        <f t="shared" si="31"/>
        <v>2</v>
      </c>
      <c r="F149" s="3">
        <v>13258543000</v>
      </c>
    </row>
    <row r="150" spans="1:6" x14ac:dyDescent="0.25">
      <c r="A150" s="4" t="str">
        <f>"1486"</f>
        <v>1486</v>
      </c>
      <c r="B150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0" s="2" t="str">
        <f>"1"</f>
        <v>1</v>
      </c>
      <c r="D150" s="2" t="str">
        <f>"4"</f>
        <v>4</v>
      </c>
      <c r="E150" s="2" t="str">
        <f t="shared" si="31"/>
        <v>2</v>
      </c>
      <c r="F150" s="3">
        <v>-7231498.96</v>
      </c>
    </row>
    <row r="151" spans="1:6" x14ac:dyDescent="0.25">
      <c r="A151" s="4" t="str">
        <f>"1486"</f>
        <v>1486</v>
      </c>
      <c r="B151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1" s="2" t="str">
        <f>"1"</f>
        <v>1</v>
      </c>
      <c r="D151" s="2" t="str">
        <f>"6"</f>
        <v>6</v>
      </c>
      <c r="E151" s="2" t="str">
        <f t="shared" si="31"/>
        <v>2</v>
      </c>
      <c r="F151" s="3">
        <v>-3729804.62</v>
      </c>
    </row>
    <row r="152" spans="1:6" x14ac:dyDescent="0.25">
      <c r="A152" s="4" t="str">
        <f>"1486"</f>
        <v>1486</v>
      </c>
      <c r="B152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2" s="2" t="str">
        <f>"2"</f>
        <v>2</v>
      </c>
      <c r="D152" s="2" t="str">
        <f>"4"</f>
        <v>4</v>
      </c>
      <c r="E152" s="2" t="str">
        <f t="shared" si="31"/>
        <v>2</v>
      </c>
      <c r="F152" s="3">
        <v>-1104747157.8399999</v>
      </c>
    </row>
    <row r="153" spans="1:6" x14ac:dyDescent="0.25">
      <c r="A153" s="4" t="str">
        <f>"1486"</f>
        <v>1486</v>
      </c>
      <c r="B153" s="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3" s="2" t="str">
        <f>"2"</f>
        <v>2</v>
      </c>
      <c r="D153" s="2" t="str">
        <f>"5"</f>
        <v>5</v>
      </c>
      <c r="E153" s="2" t="str">
        <f t="shared" si="31"/>
        <v>2</v>
      </c>
      <c r="F153" s="3">
        <v>-11290555882.309999</v>
      </c>
    </row>
    <row r="154" spans="1:6" x14ac:dyDescent="0.25">
      <c r="A154" s="4" t="str">
        <f>"1551"</f>
        <v>1551</v>
      </c>
      <c r="B154" s="2" t="str">
        <f>"Расчеты с другими банками"</f>
        <v>Расчеты с другими банками</v>
      </c>
      <c r="C154" s="2" t="str">
        <f>"1"</f>
        <v>1</v>
      </c>
      <c r="D154" s="2" t="str">
        <f>"4"</f>
        <v>4</v>
      </c>
      <c r="E154" s="2" t="str">
        <f>"1"</f>
        <v>1</v>
      </c>
      <c r="F154" s="3">
        <v>14197229.810000001</v>
      </c>
    </row>
    <row r="155" spans="1:6" x14ac:dyDescent="0.25">
      <c r="A155" s="4" t="str">
        <f>"1552"</f>
        <v>1552</v>
      </c>
      <c r="B155" s="2" t="str">
        <f>"Расчеты с клиентами"</f>
        <v>Расчеты с клиентами</v>
      </c>
      <c r="C155" s="2" t="str">
        <f>"1"</f>
        <v>1</v>
      </c>
      <c r="D155" s="2" t="str">
        <f>"6"</f>
        <v>6</v>
      </c>
      <c r="E155" s="2" t="str">
        <f>"1"</f>
        <v>1</v>
      </c>
      <c r="F155" s="3">
        <v>28590328.5</v>
      </c>
    </row>
    <row r="156" spans="1:6" x14ac:dyDescent="0.25">
      <c r="A156" s="4" t="str">
        <f>"1602"</f>
        <v>1602</v>
      </c>
      <c r="B156" s="2" t="str">
        <f>"Прочие запасы"</f>
        <v>Прочие запасы</v>
      </c>
      <c r="C156" s="2" t="str">
        <f>""</f>
        <v/>
      </c>
      <c r="D156" s="2" t="str">
        <f>""</f>
        <v/>
      </c>
      <c r="E156" s="2" t="str">
        <f>""</f>
        <v/>
      </c>
      <c r="F156" s="3">
        <v>361924008.18000001</v>
      </c>
    </row>
    <row r="157" spans="1:6" x14ac:dyDescent="0.25">
      <c r="A157" s="4" t="str">
        <f>"1603"</f>
        <v>1603</v>
      </c>
      <c r="B157" s="2" t="str">
        <f>"Монеты, изготовленные из драгоценных металлов, на складе"</f>
        <v>Монеты, изготовленные из драгоценных металлов, на складе</v>
      </c>
      <c r="C157" s="2" t="str">
        <f>"2"</f>
        <v>2</v>
      </c>
      <c r="D157" s="2" t="str">
        <f>""</f>
        <v/>
      </c>
      <c r="E157" s="2" t="str">
        <f>""</f>
        <v/>
      </c>
      <c r="F157" s="3">
        <v>1257976.3700000001</v>
      </c>
    </row>
    <row r="158" spans="1:6" x14ac:dyDescent="0.25">
      <c r="A158" s="4" t="str">
        <f>"1604"</f>
        <v>1604</v>
      </c>
      <c r="B158" s="2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58" s="2" t="str">
        <f>"2"</f>
        <v>2</v>
      </c>
      <c r="D158" s="2" t="str">
        <f>""</f>
        <v/>
      </c>
      <c r="E158" s="2" t="str">
        <f>""</f>
        <v/>
      </c>
      <c r="F158" s="3">
        <v>101534.55</v>
      </c>
    </row>
    <row r="159" spans="1:6" x14ac:dyDescent="0.25">
      <c r="A159" s="4" t="str">
        <f>"1610"</f>
        <v>1610</v>
      </c>
      <c r="B159" s="2" t="str">
        <f>"Долгосрочные активы, предназначенные для продажи"</f>
        <v>Долгосрочные активы, предназначенные для продажи</v>
      </c>
      <c r="C159" s="2" t="str">
        <f>""</f>
        <v/>
      </c>
      <c r="D159" s="2" t="str">
        <f>""</f>
        <v/>
      </c>
      <c r="E159" s="2" t="str">
        <f>""</f>
        <v/>
      </c>
      <c r="F159" s="3">
        <v>4116688637.3899999</v>
      </c>
    </row>
    <row r="160" spans="1:6" x14ac:dyDescent="0.25">
      <c r="A160" s="4" t="str">
        <f>"1652"</f>
        <v>1652</v>
      </c>
      <c r="B160" s="2" t="str">
        <f>"Земля, здания и сооружения"</f>
        <v>Земля, здания и сооружения</v>
      </c>
      <c r="C160" s="2" t="str">
        <f>""</f>
        <v/>
      </c>
      <c r="D160" s="2" t="str">
        <f>""</f>
        <v/>
      </c>
      <c r="E160" s="2" t="str">
        <f>""</f>
        <v/>
      </c>
      <c r="F160" s="3">
        <v>11727789405.780001</v>
      </c>
    </row>
    <row r="161" spans="1:6" x14ac:dyDescent="0.25">
      <c r="A161" s="4" t="str">
        <f>"1653"</f>
        <v>1653</v>
      </c>
      <c r="B161" s="2" t="str">
        <f>"Компьютерное оборудование"</f>
        <v>Компьютерное оборудование</v>
      </c>
      <c r="C161" s="2" t="str">
        <f>""</f>
        <v/>
      </c>
      <c r="D161" s="2" t="str">
        <f>""</f>
        <v/>
      </c>
      <c r="E161" s="2" t="str">
        <f>""</f>
        <v/>
      </c>
      <c r="F161" s="3">
        <v>5935596483.9499998</v>
      </c>
    </row>
    <row r="162" spans="1:6" x14ac:dyDescent="0.25">
      <c r="A162" s="4" t="str">
        <f>"1654"</f>
        <v>1654</v>
      </c>
      <c r="B162" s="2" t="str">
        <f>"Прочие основные средства"</f>
        <v>Прочие основные средства</v>
      </c>
      <c r="C162" s="2" t="str">
        <f>""</f>
        <v/>
      </c>
      <c r="D162" s="2" t="str">
        <f>""</f>
        <v/>
      </c>
      <c r="E162" s="2" t="str">
        <f>""</f>
        <v/>
      </c>
      <c r="F162" s="3">
        <v>11856304214.66</v>
      </c>
    </row>
    <row r="163" spans="1:6" x14ac:dyDescent="0.25">
      <c r="A163" s="4" t="str">
        <f>"1655"</f>
        <v>1655</v>
      </c>
      <c r="B163" s="2" t="str">
        <f>"Активы в форме права пользования"</f>
        <v>Активы в форме права пользования</v>
      </c>
      <c r="C163" s="2" t="str">
        <f>""</f>
        <v/>
      </c>
      <c r="D163" s="2" t="str">
        <f>""</f>
        <v/>
      </c>
      <c r="E163" s="2" t="str">
        <f>""</f>
        <v/>
      </c>
      <c r="F163" s="3">
        <v>4856856164.0600004</v>
      </c>
    </row>
    <row r="164" spans="1:6" x14ac:dyDescent="0.25">
      <c r="A164" s="4" t="str">
        <f>"1657"</f>
        <v>1657</v>
      </c>
      <c r="B164" s="2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64" s="2" t="str">
        <f>""</f>
        <v/>
      </c>
      <c r="D164" s="2" t="str">
        <f>""</f>
        <v/>
      </c>
      <c r="E164" s="2" t="str">
        <f>""</f>
        <v/>
      </c>
      <c r="F164" s="3">
        <v>785468360.02999997</v>
      </c>
    </row>
    <row r="165" spans="1:6" x14ac:dyDescent="0.25">
      <c r="A165" s="4" t="str">
        <f>"1658"</f>
        <v>1658</v>
      </c>
      <c r="B165" s="2" t="str">
        <f>"Транспортные средства"</f>
        <v>Транспортные средства</v>
      </c>
      <c r="C165" s="2" t="str">
        <f>""</f>
        <v/>
      </c>
      <c r="D165" s="2" t="str">
        <f>""</f>
        <v/>
      </c>
      <c r="E165" s="2" t="str">
        <f>""</f>
        <v/>
      </c>
      <c r="F165" s="3">
        <v>1053940113.17</v>
      </c>
    </row>
    <row r="166" spans="1:6" x14ac:dyDescent="0.25">
      <c r="A166" s="4" t="str">
        <f>"1659"</f>
        <v>1659</v>
      </c>
      <c r="B166" s="2" t="str">
        <f>"Нематериальные активы"</f>
        <v>Нематериальные активы</v>
      </c>
      <c r="C166" s="2" t="str">
        <f>""</f>
        <v/>
      </c>
      <c r="D166" s="2" t="str">
        <f>""</f>
        <v/>
      </c>
      <c r="E166" s="2" t="str">
        <f>""</f>
        <v/>
      </c>
      <c r="F166" s="3">
        <v>24137943056.950001</v>
      </c>
    </row>
    <row r="167" spans="1:6" x14ac:dyDescent="0.25">
      <c r="A167" s="4" t="str">
        <f>"1692"</f>
        <v>1692</v>
      </c>
      <c r="B167" s="2" t="str">
        <f>"Начисленная амортизация по зданиям и сооружениям"</f>
        <v>Начисленная амортизация по зданиям и сооружениям</v>
      </c>
      <c r="C167" s="2" t="str">
        <f>""</f>
        <v/>
      </c>
      <c r="D167" s="2" t="str">
        <f>""</f>
        <v/>
      </c>
      <c r="E167" s="2" t="str">
        <f>""</f>
        <v/>
      </c>
      <c r="F167" s="3">
        <v>-2787251544</v>
      </c>
    </row>
    <row r="168" spans="1:6" x14ac:dyDescent="0.25">
      <c r="A168" s="4" t="str">
        <f>"1693"</f>
        <v>1693</v>
      </c>
      <c r="B168" s="2" t="str">
        <f>"Начисленная амортизация по компьютерному оборудованию"</f>
        <v>Начисленная амортизация по компьютерному оборудованию</v>
      </c>
      <c r="C168" s="2" t="str">
        <f>""</f>
        <v/>
      </c>
      <c r="D168" s="2" t="str">
        <f>""</f>
        <v/>
      </c>
      <c r="E168" s="2" t="str">
        <f>""</f>
        <v/>
      </c>
      <c r="F168" s="3">
        <v>-3759336288.6100001</v>
      </c>
    </row>
    <row r="169" spans="1:6" x14ac:dyDescent="0.25">
      <c r="A169" s="4" t="str">
        <f>"1694"</f>
        <v>1694</v>
      </c>
      <c r="B169" s="2" t="str">
        <f>"Начисленная амортизация по прочим основным средствам"</f>
        <v>Начисленная амортизация по прочим основным средствам</v>
      </c>
      <c r="C169" s="2" t="str">
        <f>""</f>
        <v/>
      </c>
      <c r="D169" s="2" t="str">
        <f>""</f>
        <v/>
      </c>
      <c r="E169" s="2" t="str">
        <f>""</f>
        <v/>
      </c>
      <c r="F169" s="3">
        <v>-9466578271.1800003</v>
      </c>
    </row>
    <row r="170" spans="1:6" x14ac:dyDescent="0.25">
      <c r="A170" s="4" t="str">
        <f>"1695"</f>
        <v>1695</v>
      </c>
      <c r="B170" s="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70" s="2" t="str">
        <f>""</f>
        <v/>
      </c>
      <c r="D170" s="2" t="str">
        <f>""</f>
        <v/>
      </c>
      <c r="E170" s="2" t="str">
        <f>""</f>
        <v/>
      </c>
      <c r="F170" s="3">
        <v>-2636863271.04</v>
      </c>
    </row>
    <row r="171" spans="1:6" x14ac:dyDescent="0.25">
      <c r="A171" s="4" t="str">
        <f>"1697"</f>
        <v>1697</v>
      </c>
      <c r="B171" s="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71" s="2" t="str">
        <f>""</f>
        <v/>
      </c>
      <c r="D171" s="2" t="str">
        <f>""</f>
        <v/>
      </c>
      <c r="E171" s="2" t="str">
        <f>""</f>
        <v/>
      </c>
      <c r="F171" s="3">
        <v>-785174850.02999997</v>
      </c>
    </row>
    <row r="172" spans="1:6" x14ac:dyDescent="0.25">
      <c r="A172" s="4" t="str">
        <f>"1698"</f>
        <v>1698</v>
      </c>
      <c r="B172" s="2" t="str">
        <f>"Начисленная амортизация по транспортным средствам"</f>
        <v>Начисленная амортизация по транспортным средствам</v>
      </c>
      <c r="C172" s="2" t="str">
        <f>""</f>
        <v/>
      </c>
      <c r="D172" s="2" t="str">
        <f>""</f>
        <v/>
      </c>
      <c r="E172" s="2" t="str">
        <f>""</f>
        <v/>
      </c>
      <c r="F172" s="3">
        <v>-529147541.57999998</v>
      </c>
    </row>
    <row r="173" spans="1:6" x14ac:dyDescent="0.25">
      <c r="A173" s="4" t="str">
        <f>"1699"</f>
        <v>1699</v>
      </c>
      <c r="B173" s="2" t="str">
        <f>"Начисленная амортизация по нематериальным активам"</f>
        <v>Начисленная амортизация по нематериальным активам</v>
      </c>
      <c r="C173" s="2" t="str">
        <f>""</f>
        <v/>
      </c>
      <c r="D173" s="2" t="str">
        <f>""</f>
        <v/>
      </c>
      <c r="E173" s="2" t="str">
        <f>""</f>
        <v/>
      </c>
      <c r="F173" s="3">
        <v>-15460082352.52</v>
      </c>
    </row>
    <row r="174" spans="1:6" x14ac:dyDescent="0.25">
      <c r="A174" s="4" t="str">
        <f>"1710"</f>
        <v>1710</v>
      </c>
      <c r="B174" s="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4" s="2" t="str">
        <f>"1"</f>
        <v>1</v>
      </c>
      <c r="D174" s="2" t="str">
        <f>"3"</f>
        <v>3</v>
      </c>
      <c r="E174" s="2" t="str">
        <f>"2"</f>
        <v>2</v>
      </c>
      <c r="F174" s="3">
        <v>1930020094.1900001</v>
      </c>
    </row>
    <row r="175" spans="1:6" x14ac:dyDescent="0.25">
      <c r="A175" s="4" t="str">
        <f>"1730"</f>
        <v>1730</v>
      </c>
      <c r="B175" s="2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C175" s="2" t="str">
        <f>"2"</f>
        <v>2</v>
      </c>
      <c r="D175" s="2" t="str">
        <f>"4"</f>
        <v>4</v>
      </c>
      <c r="E175" s="2" t="str">
        <f>"2"</f>
        <v>2</v>
      </c>
      <c r="F175" s="3">
        <v>11988265.970000001</v>
      </c>
    </row>
    <row r="176" spans="1:6" x14ac:dyDescent="0.25">
      <c r="A176" s="4" t="str">
        <f t="shared" ref="A176:A188" si="32">"1740"</f>
        <v>1740</v>
      </c>
      <c r="B176" s="2" t="str">
        <f t="shared" ref="B176:B188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76" s="2" t="str">
        <f t="shared" ref="C176:C183" si="34">"1"</f>
        <v>1</v>
      </c>
      <c r="D176" s="2" t="str">
        <f>"6"</f>
        <v>6</v>
      </c>
      <c r="E176" s="2" t="str">
        <f>"1"</f>
        <v>1</v>
      </c>
      <c r="F176" s="3">
        <v>83645318.390000001</v>
      </c>
    </row>
    <row r="177" spans="1:6" x14ac:dyDescent="0.25">
      <c r="A177" s="4" t="str">
        <f t="shared" si="32"/>
        <v>1740</v>
      </c>
      <c r="B177" s="2" t="str">
        <f t="shared" si="33"/>
        <v>Начисленные доходы по займам и финансовому лизингу, предоставленным клиентам</v>
      </c>
      <c r="C177" s="2" t="str">
        <f t="shared" si="34"/>
        <v>1</v>
      </c>
      <c r="D177" s="2" t="str">
        <f>"5"</f>
        <v>5</v>
      </c>
      <c r="E177" s="2" t="str">
        <f>"1"</f>
        <v>1</v>
      </c>
      <c r="F177" s="3">
        <v>72922149.689999998</v>
      </c>
    </row>
    <row r="178" spans="1:6" x14ac:dyDescent="0.25">
      <c r="A178" s="4" t="str">
        <f t="shared" si="32"/>
        <v>1740</v>
      </c>
      <c r="B178" s="2" t="str">
        <f t="shared" si="33"/>
        <v>Начисленные доходы по займам и финансовому лизингу, предоставленным клиентам</v>
      </c>
      <c r="C178" s="2" t="str">
        <f t="shared" si="34"/>
        <v>1</v>
      </c>
      <c r="D178" s="2" t="str">
        <f>"5"</f>
        <v>5</v>
      </c>
      <c r="E178" s="2" t="str">
        <f>"2"</f>
        <v>2</v>
      </c>
      <c r="F178" s="3">
        <v>11794731.98</v>
      </c>
    </row>
    <row r="179" spans="1:6" x14ac:dyDescent="0.25">
      <c r="A179" s="4" t="str">
        <f t="shared" si="32"/>
        <v>1740</v>
      </c>
      <c r="B179" s="2" t="str">
        <f t="shared" si="33"/>
        <v>Начисленные доходы по займам и финансовому лизингу, предоставленным клиентам</v>
      </c>
      <c r="C179" s="2" t="str">
        <f t="shared" si="34"/>
        <v>1</v>
      </c>
      <c r="D179" s="2" t="str">
        <f>"7"</f>
        <v>7</v>
      </c>
      <c r="E179" s="2" t="str">
        <f>"1"</f>
        <v>1</v>
      </c>
      <c r="F179" s="3">
        <v>8753421016.5</v>
      </c>
    </row>
    <row r="180" spans="1:6" x14ac:dyDescent="0.25">
      <c r="A180" s="4" t="str">
        <f t="shared" si="32"/>
        <v>1740</v>
      </c>
      <c r="B180" s="2" t="str">
        <f t="shared" si="33"/>
        <v>Начисленные доходы по займам и финансовому лизингу, предоставленным клиентам</v>
      </c>
      <c r="C180" s="2" t="str">
        <f t="shared" si="34"/>
        <v>1</v>
      </c>
      <c r="D180" s="2" t="str">
        <f>"7"</f>
        <v>7</v>
      </c>
      <c r="E180" s="2" t="str">
        <f>"2"</f>
        <v>2</v>
      </c>
      <c r="F180" s="3">
        <v>20744301684.799999</v>
      </c>
    </row>
    <row r="181" spans="1:6" x14ac:dyDescent="0.25">
      <c r="A181" s="4" t="str">
        <f t="shared" si="32"/>
        <v>1740</v>
      </c>
      <c r="B181" s="2" t="str">
        <f t="shared" si="33"/>
        <v>Начисленные доходы по займам и финансовому лизингу, предоставленным клиентам</v>
      </c>
      <c r="C181" s="2" t="str">
        <f t="shared" si="34"/>
        <v>1</v>
      </c>
      <c r="D181" s="2" t="str">
        <f>"9"</f>
        <v>9</v>
      </c>
      <c r="E181" s="2" t="str">
        <f>"2"</f>
        <v>2</v>
      </c>
      <c r="F181" s="3">
        <v>1411905.11</v>
      </c>
    </row>
    <row r="182" spans="1:6" x14ac:dyDescent="0.25">
      <c r="A182" s="4" t="str">
        <f t="shared" si="32"/>
        <v>1740</v>
      </c>
      <c r="B182" s="2" t="str">
        <f t="shared" si="33"/>
        <v>Начисленные доходы по займам и финансовому лизингу, предоставленным клиентам</v>
      </c>
      <c r="C182" s="2" t="str">
        <f t="shared" si="34"/>
        <v>1</v>
      </c>
      <c r="D182" s="2" t="str">
        <f>"7"</f>
        <v>7</v>
      </c>
      <c r="E182" s="2" t="str">
        <f>"3"</f>
        <v>3</v>
      </c>
      <c r="F182" s="3">
        <v>5582541.8700000001</v>
      </c>
    </row>
    <row r="183" spans="1:6" x14ac:dyDescent="0.25">
      <c r="A183" s="4" t="str">
        <f t="shared" si="32"/>
        <v>1740</v>
      </c>
      <c r="B183" s="2" t="str">
        <f t="shared" si="33"/>
        <v>Начисленные доходы по займам и финансовому лизингу, предоставленным клиентам</v>
      </c>
      <c r="C183" s="2" t="str">
        <f t="shared" si="34"/>
        <v>1</v>
      </c>
      <c r="D183" s="2" t="str">
        <f>"9"</f>
        <v>9</v>
      </c>
      <c r="E183" s="2" t="str">
        <f>"1"</f>
        <v>1</v>
      </c>
      <c r="F183" s="3">
        <v>19097612341.130001</v>
      </c>
    </row>
    <row r="184" spans="1:6" x14ac:dyDescent="0.25">
      <c r="A184" s="4" t="str">
        <f t="shared" si="32"/>
        <v>1740</v>
      </c>
      <c r="B184" s="2" t="str">
        <f t="shared" si="33"/>
        <v>Начисленные доходы по займам и финансовому лизингу, предоставленным клиентам</v>
      </c>
      <c r="C184" s="2" t="str">
        <f>"2"</f>
        <v>2</v>
      </c>
      <c r="D184" s="2" t="str">
        <f>"7"</f>
        <v>7</v>
      </c>
      <c r="E184" s="2" t="str">
        <f>"1"</f>
        <v>1</v>
      </c>
      <c r="F184" s="3">
        <v>84600000</v>
      </c>
    </row>
    <row r="185" spans="1:6" x14ac:dyDescent="0.25">
      <c r="A185" s="4" t="str">
        <f t="shared" si="32"/>
        <v>1740</v>
      </c>
      <c r="B185" s="2" t="str">
        <f t="shared" si="33"/>
        <v>Начисленные доходы по займам и финансовому лизингу, предоставленным клиентам</v>
      </c>
      <c r="C185" s="2" t="str">
        <f>"2"</f>
        <v>2</v>
      </c>
      <c r="D185" s="2" t="str">
        <f>"7"</f>
        <v>7</v>
      </c>
      <c r="E185" s="2" t="str">
        <f>"2"</f>
        <v>2</v>
      </c>
      <c r="F185" s="3">
        <v>20442982.449999999</v>
      </c>
    </row>
    <row r="186" spans="1:6" x14ac:dyDescent="0.25">
      <c r="A186" s="4" t="str">
        <f t="shared" si="32"/>
        <v>1740</v>
      </c>
      <c r="B186" s="2" t="str">
        <f t="shared" si="33"/>
        <v>Начисленные доходы по займам и финансовому лизингу, предоставленным клиентам</v>
      </c>
      <c r="C186" s="2" t="str">
        <f>"2"</f>
        <v>2</v>
      </c>
      <c r="D186" s="2" t="str">
        <f>"9"</f>
        <v>9</v>
      </c>
      <c r="E186" s="2" t="str">
        <f>"1"</f>
        <v>1</v>
      </c>
      <c r="F186" s="3">
        <v>2718262.4</v>
      </c>
    </row>
    <row r="187" spans="1:6" x14ac:dyDescent="0.25">
      <c r="A187" s="4" t="str">
        <f t="shared" si="32"/>
        <v>1740</v>
      </c>
      <c r="B187" s="2" t="str">
        <f t="shared" si="33"/>
        <v>Начисленные доходы по займам и финансовому лизингу, предоставленным клиентам</v>
      </c>
      <c r="C187" s="2" t="str">
        <f>"2"</f>
        <v>2</v>
      </c>
      <c r="D187" s="2" t="str">
        <f>"7"</f>
        <v>7</v>
      </c>
      <c r="E187" s="2" t="str">
        <f>"3"</f>
        <v>3</v>
      </c>
      <c r="F187" s="3">
        <v>28820668.66</v>
      </c>
    </row>
    <row r="188" spans="1:6" x14ac:dyDescent="0.25">
      <c r="A188" s="4" t="str">
        <f t="shared" si="32"/>
        <v>1740</v>
      </c>
      <c r="B188" s="2" t="str">
        <f t="shared" si="33"/>
        <v>Начисленные доходы по займам и финансовому лизингу, предоставленным клиентам</v>
      </c>
      <c r="C188" s="2" t="str">
        <f>"2"</f>
        <v>2</v>
      </c>
      <c r="D188" s="2" t="str">
        <f>"9"</f>
        <v>9</v>
      </c>
      <c r="E188" s="2" t="str">
        <f>"2"</f>
        <v>2</v>
      </c>
      <c r="F188" s="3">
        <v>1443.51</v>
      </c>
    </row>
    <row r="189" spans="1:6" x14ac:dyDescent="0.25">
      <c r="A189" s="4" t="str">
        <f t="shared" ref="A189:A196" si="35">"1741"</f>
        <v>1741</v>
      </c>
      <c r="B189" s="2" t="str">
        <f t="shared" ref="B189:B196" si="36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89" s="2" t="str">
        <f>"1"</f>
        <v>1</v>
      </c>
      <c r="D189" s="2" t="str">
        <f>"5"</f>
        <v>5</v>
      </c>
      <c r="E189" s="2" t="str">
        <f>"1"</f>
        <v>1</v>
      </c>
      <c r="F189" s="3">
        <v>36913745.32</v>
      </c>
    </row>
    <row r="190" spans="1:6" x14ac:dyDescent="0.25">
      <c r="A190" s="4" t="str">
        <f t="shared" si="35"/>
        <v>1741</v>
      </c>
      <c r="B190" s="2" t="str">
        <f t="shared" si="36"/>
        <v>Просроченное вознаграждение по займам и финансовому лизингу, предоставленным клиентам</v>
      </c>
      <c r="C190" s="2" t="str">
        <f>"1"</f>
        <v>1</v>
      </c>
      <c r="D190" s="2" t="str">
        <f>"7"</f>
        <v>7</v>
      </c>
      <c r="E190" s="2" t="str">
        <f>"2"</f>
        <v>2</v>
      </c>
      <c r="F190" s="3">
        <v>2311539583.3200002</v>
      </c>
    </row>
    <row r="191" spans="1:6" x14ac:dyDescent="0.25">
      <c r="A191" s="4" t="str">
        <f t="shared" si="35"/>
        <v>1741</v>
      </c>
      <c r="B191" s="2" t="str">
        <f t="shared" si="36"/>
        <v>Просроченное вознаграждение по займам и финансовому лизингу, предоставленным клиентам</v>
      </c>
      <c r="C191" s="2" t="str">
        <f>"1"</f>
        <v>1</v>
      </c>
      <c r="D191" s="2" t="str">
        <f>"7"</f>
        <v>7</v>
      </c>
      <c r="E191" s="2" t="str">
        <f>"1"</f>
        <v>1</v>
      </c>
      <c r="F191" s="3">
        <v>26029993775.060001</v>
      </c>
    </row>
    <row r="192" spans="1:6" x14ac:dyDescent="0.25">
      <c r="A192" s="4" t="str">
        <f t="shared" si="35"/>
        <v>1741</v>
      </c>
      <c r="B192" s="2" t="str">
        <f t="shared" si="36"/>
        <v>Просроченное вознаграждение по займам и финансовому лизингу, предоставленным клиентам</v>
      </c>
      <c r="C192" s="2" t="str">
        <f>"2"</f>
        <v>2</v>
      </c>
      <c r="D192" s="2" t="str">
        <f>"7"</f>
        <v>7</v>
      </c>
      <c r="E192" s="2" t="str">
        <f>"3"</f>
        <v>3</v>
      </c>
      <c r="F192" s="3">
        <v>80093384.930000007</v>
      </c>
    </row>
    <row r="193" spans="1:6" x14ac:dyDescent="0.25">
      <c r="A193" s="4" t="str">
        <f t="shared" si="35"/>
        <v>1741</v>
      </c>
      <c r="B193" s="2" t="str">
        <f t="shared" si="36"/>
        <v>Просроченное вознаграждение по займам и финансовому лизингу, предоставленным клиентам</v>
      </c>
      <c r="C193" s="2" t="str">
        <f>"2"</f>
        <v>2</v>
      </c>
      <c r="D193" s="2" t="str">
        <f>"9"</f>
        <v>9</v>
      </c>
      <c r="E193" s="2" t="str">
        <f>"2"</f>
        <v>2</v>
      </c>
      <c r="F193" s="3">
        <v>89415.98</v>
      </c>
    </row>
    <row r="194" spans="1:6" x14ac:dyDescent="0.25">
      <c r="A194" s="4" t="str">
        <f t="shared" si="35"/>
        <v>1741</v>
      </c>
      <c r="B194" s="2" t="str">
        <f t="shared" si="36"/>
        <v>Просроченное вознаграждение по займам и финансовому лизингу, предоставленным клиентам</v>
      </c>
      <c r="C194" s="2" t="str">
        <f>"1"</f>
        <v>1</v>
      </c>
      <c r="D194" s="2" t="str">
        <f>"9"</f>
        <v>9</v>
      </c>
      <c r="E194" s="2" t="str">
        <f>"2"</f>
        <v>2</v>
      </c>
      <c r="F194" s="3">
        <v>447792004.11000001</v>
      </c>
    </row>
    <row r="195" spans="1:6" x14ac:dyDescent="0.25">
      <c r="A195" s="4" t="str">
        <f t="shared" si="35"/>
        <v>1741</v>
      </c>
      <c r="B195" s="2" t="str">
        <f t="shared" si="36"/>
        <v>Просроченное вознаграждение по займам и финансовому лизингу, предоставленным клиентам</v>
      </c>
      <c r="C195" s="2" t="str">
        <f>"2"</f>
        <v>2</v>
      </c>
      <c r="D195" s="2" t="str">
        <f>"9"</f>
        <v>9</v>
      </c>
      <c r="E195" s="2" t="str">
        <f>"1"</f>
        <v>1</v>
      </c>
      <c r="F195" s="3">
        <v>36344320.390000001</v>
      </c>
    </row>
    <row r="196" spans="1:6" x14ac:dyDescent="0.25">
      <c r="A196" s="4" t="str">
        <f t="shared" si="35"/>
        <v>1741</v>
      </c>
      <c r="B196" s="2" t="str">
        <f t="shared" si="36"/>
        <v>Просроченное вознаграждение по займам и финансовому лизингу, предоставленным клиентам</v>
      </c>
      <c r="C196" s="2" t="str">
        <f>"1"</f>
        <v>1</v>
      </c>
      <c r="D196" s="2" t="str">
        <f>"9"</f>
        <v>9</v>
      </c>
      <c r="E196" s="2" t="str">
        <f>"1"</f>
        <v>1</v>
      </c>
      <c r="F196" s="3">
        <v>17283609209.91</v>
      </c>
    </row>
    <row r="197" spans="1:6" x14ac:dyDescent="0.25">
      <c r="A197" s="4" t="str">
        <f t="shared" ref="A197:A204" si="37">"1745"</f>
        <v>1745</v>
      </c>
      <c r="B197" s="2" t="str">
        <f t="shared" ref="B197:B204" si="38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7" s="2" t="str">
        <f>"1"</f>
        <v>1</v>
      </c>
      <c r="D197" s="2" t="str">
        <f>"1"</f>
        <v>1</v>
      </c>
      <c r="E197" s="2" t="str">
        <f>"2"</f>
        <v>2</v>
      </c>
      <c r="F197" s="3">
        <v>1034954314.1900001</v>
      </c>
    </row>
    <row r="198" spans="1:6" x14ac:dyDescent="0.25">
      <c r="A198" s="4" t="str">
        <f t="shared" si="37"/>
        <v>1745</v>
      </c>
      <c r="B198" s="2" t="str">
        <f t="shared" si="38"/>
        <v>Начисленные доходы по ценным бумагам, учитываемым по амортизированной стоимости</v>
      </c>
      <c r="C198" s="2" t="str">
        <f>"1"</f>
        <v>1</v>
      </c>
      <c r="D198" s="2" t="str">
        <f>"1"</f>
        <v>1</v>
      </c>
      <c r="E198" s="2" t="str">
        <f>"1"</f>
        <v>1</v>
      </c>
      <c r="F198" s="3">
        <v>1257386256.8499999</v>
      </c>
    </row>
    <row r="199" spans="1:6" x14ac:dyDescent="0.25">
      <c r="A199" s="4" t="str">
        <f t="shared" si="37"/>
        <v>1745</v>
      </c>
      <c r="B199" s="2" t="str">
        <f t="shared" si="38"/>
        <v>Начисленные доходы по ценным бумагам, учитываемым по амортизированной стоимости</v>
      </c>
      <c r="C199" s="2" t="str">
        <f>"1"</f>
        <v>1</v>
      </c>
      <c r="D199" s="2" t="str">
        <f>"4"</f>
        <v>4</v>
      </c>
      <c r="E199" s="2" t="str">
        <f>"2"</f>
        <v>2</v>
      </c>
      <c r="F199" s="3">
        <v>42385041.490000002</v>
      </c>
    </row>
    <row r="200" spans="1:6" x14ac:dyDescent="0.25">
      <c r="A200" s="4" t="str">
        <f t="shared" si="37"/>
        <v>1745</v>
      </c>
      <c r="B200" s="2" t="str">
        <f t="shared" si="38"/>
        <v>Начисленные доходы по ценным бумагам, учитываемым по амортизированной стоимости</v>
      </c>
      <c r="C200" s="2" t="str">
        <f>"1"</f>
        <v>1</v>
      </c>
      <c r="D200" s="2" t="str">
        <f>"6"</f>
        <v>6</v>
      </c>
      <c r="E200" s="2" t="str">
        <f>"2"</f>
        <v>2</v>
      </c>
      <c r="F200" s="3">
        <v>25846493.329999998</v>
      </c>
    </row>
    <row r="201" spans="1:6" x14ac:dyDescent="0.25">
      <c r="A201" s="4" t="str">
        <f t="shared" si="37"/>
        <v>1745</v>
      </c>
      <c r="B201" s="2" t="str">
        <f t="shared" si="38"/>
        <v>Начисленные доходы по ценным бумагам, учитываемым по амортизированной стоимости</v>
      </c>
      <c r="C201" s="2" t="str">
        <f>"2"</f>
        <v>2</v>
      </c>
      <c r="D201" s="2" t="str">
        <f>"4"</f>
        <v>4</v>
      </c>
      <c r="E201" s="2" t="str">
        <f>"2"</f>
        <v>2</v>
      </c>
      <c r="F201" s="3">
        <v>45873106.219999999</v>
      </c>
    </row>
    <row r="202" spans="1:6" x14ac:dyDescent="0.25">
      <c r="A202" s="4" t="str">
        <f t="shared" si="37"/>
        <v>1745</v>
      </c>
      <c r="B202" s="2" t="str">
        <f t="shared" si="38"/>
        <v>Начисленные доходы по ценным бумагам, учитываемым по амортизированной стоимости</v>
      </c>
      <c r="C202" s="2" t="str">
        <f>"2"</f>
        <v>2</v>
      </c>
      <c r="D202" s="2" t="str">
        <f>"5"</f>
        <v>5</v>
      </c>
      <c r="E202" s="2" t="str">
        <f>"2"</f>
        <v>2</v>
      </c>
      <c r="F202" s="3">
        <v>34998431.149999999</v>
      </c>
    </row>
    <row r="203" spans="1:6" x14ac:dyDescent="0.25">
      <c r="A203" s="4" t="str">
        <f t="shared" si="37"/>
        <v>1745</v>
      </c>
      <c r="B203" s="2" t="str">
        <f t="shared" si="38"/>
        <v>Начисленные доходы по ценным бумагам, учитываемым по амортизированной стоимости</v>
      </c>
      <c r="C203" s="2" t="str">
        <f>"2"</f>
        <v>2</v>
      </c>
      <c r="D203" s="2" t="str">
        <f>"4"</f>
        <v>4</v>
      </c>
      <c r="E203" s="2" t="str">
        <f>"1"</f>
        <v>1</v>
      </c>
      <c r="F203" s="3">
        <v>0.03</v>
      </c>
    </row>
    <row r="204" spans="1:6" x14ac:dyDescent="0.25">
      <c r="A204" s="4" t="str">
        <f t="shared" si="37"/>
        <v>1745</v>
      </c>
      <c r="B204" s="2" t="str">
        <f t="shared" si="38"/>
        <v>Начисленные доходы по ценным бумагам, учитываемым по амортизированной стоимости</v>
      </c>
      <c r="C204" s="2" t="str">
        <f>"2"</f>
        <v>2</v>
      </c>
      <c r="D204" s="2" t="str">
        <f>"1"</f>
        <v>1</v>
      </c>
      <c r="E204" s="2" t="str">
        <f>"2"</f>
        <v>2</v>
      </c>
      <c r="F204" s="3">
        <v>245336373.80000001</v>
      </c>
    </row>
    <row r="205" spans="1:6" x14ac:dyDescent="0.25">
      <c r="A205" s="4" t="str">
        <f t="shared" ref="A205:A211" si="39">"1746"</f>
        <v>1746</v>
      </c>
      <c r="B205" s="2" t="str">
        <f t="shared" ref="B205:B211" si="40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C205" s="2" t="str">
        <f>"1"</f>
        <v>1</v>
      </c>
      <c r="D205" s="2" t="str">
        <f>"1"</f>
        <v>1</v>
      </c>
      <c r="E205" s="2" t="str">
        <f>"2"</f>
        <v>2</v>
      </c>
      <c r="F205" s="3">
        <v>476937453.51999998</v>
      </c>
    </row>
    <row r="206" spans="1:6" x14ac:dyDescent="0.25">
      <c r="A206" s="4" t="str">
        <f t="shared" si="39"/>
        <v>1746</v>
      </c>
      <c r="B206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06" s="2" t="str">
        <f>"1"</f>
        <v>1</v>
      </c>
      <c r="D206" s="2" t="str">
        <f>"1"</f>
        <v>1</v>
      </c>
      <c r="E206" s="2" t="str">
        <f>"1"</f>
        <v>1</v>
      </c>
      <c r="F206" s="3">
        <v>13629375433.82</v>
      </c>
    </row>
    <row r="207" spans="1:6" x14ac:dyDescent="0.25">
      <c r="A207" s="4" t="str">
        <f t="shared" si="39"/>
        <v>1746</v>
      </c>
      <c r="B207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07" s="2" t="str">
        <f>"1"</f>
        <v>1</v>
      </c>
      <c r="D207" s="2" t="str">
        <f>"6"</f>
        <v>6</v>
      </c>
      <c r="E207" s="2" t="str">
        <f t="shared" ref="E207:E213" si="41">"2"</f>
        <v>2</v>
      </c>
      <c r="F207" s="3">
        <v>74201702.879999995</v>
      </c>
    </row>
    <row r="208" spans="1:6" x14ac:dyDescent="0.25">
      <c r="A208" s="4" t="str">
        <f t="shared" si="39"/>
        <v>1746</v>
      </c>
      <c r="B208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08" s="2" t="str">
        <f t="shared" ref="C208:C213" si="42">"2"</f>
        <v>2</v>
      </c>
      <c r="D208" s="2" t="str">
        <f>"3"</f>
        <v>3</v>
      </c>
      <c r="E208" s="2" t="str">
        <f t="shared" si="41"/>
        <v>2</v>
      </c>
      <c r="F208" s="3">
        <v>4234809.7</v>
      </c>
    </row>
    <row r="209" spans="1:6" x14ac:dyDescent="0.25">
      <c r="A209" s="4" t="str">
        <f t="shared" si="39"/>
        <v>1746</v>
      </c>
      <c r="B209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09" s="2" t="str">
        <f t="shared" si="42"/>
        <v>2</v>
      </c>
      <c r="D209" s="2" t="str">
        <f>"5"</f>
        <v>5</v>
      </c>
      <c r="E209" s="2" t="str">
        <f t="shared" si="41"/>
        <v>2</v>
      </c>
      <c r="F209" s="3">
        <v>81353198.069999993</v>
      </c>
    </row>
    <row r="210" spans="1:6" x14ac:dyDescent="0.25">
      <c r="A210" s="4" t="str">
        <f t="shared" si="39"/>
        <v>1746</v>
      </c>
      <c r="B210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10" s="2" t="str">
        <f t="shared" si="42"/>
        <v>2</v>
      </c>
      <c r="D210" s="2" t="str">
        <f>"4"</f>
        <v>4</v>
      </c>
      <c r="E210" s="2" t="str">
        <f t="shared" si="41"/>
        <v>2</v>
      </c>
      <c r="F210" s="3">
        <v>13163013.609999999</v>
      </c>
    </row>
    <row r="211" spans="1:6" x14ac:dyDescent="0.25">
      <c r="A211" s="4" t="str">
        <f t="shared" si="39"/>
        <v>1746</v>
      </c>
      <c r="B211" s="2" t="str">
        <f t="shared" si="40"/>
        <v>Начисленные доходы по ценным бумагам, учитываемым по справедливой стоимости через прочий совокупный доход</v>
      </c>
      <c r="C211" s="2" t="str">
        <f t="shared" si="42"/>
        <v>2</v>
      </c>
      <c r="D211" s="2" t="str">
        <f>"1"</f>
        <v>1</v>
      </c>
      <c r="E211" s="2" t="str">
        <f t="shared" si="41"/>
        <v>2</v>
      </c>
      <c r="F211" s="3">
        <v>517038264.88999999</v>
      </c>
    </row>
    <row r="212" spans="1:6" x14ac:dyDescent="0.25">
      <c r="A212" s="4" t="str">
        <f>"1750"</f>
        <v>1750</v>
      </c>
      <c r="B212" s="2" t="str">
        <f>"Просроченное вознаграждение по ценным бумагам"</f>
        <v>Просроченное вознаграждение по ценным бумагам</v>
      </c>
      <c r="C212" s="2" t="str">
        <f t="shared" si="42"/>
        <v>2</v>
      </c>
      <c r="D212" s="2" t="str">
        <f>"4"</f>
        <v>4</v>
      </c>
      <c r="E212" s="2" t="str">
        <f t="shared" si="41"/>
        <v>2</v>
      </c>
      <c r="F212" s="3">
        <v>138006499.80000001</v>
      </c>
    </row>
    <row r="213" spans="1:6" x14ac:dyDescent="0.25">
      <c r="A213" s="4" t="str">
        <f>"1750"</f>
        <v>1750</v>
      </c>
      <c r="B213" s="2" t="str">
        <f>"Просроченное вознаграждение по ценным бумагам"</f>
        <v>Просроченное вознаграждение по ценным бумагам</v>
      </c>
      <c r="C213" s="2" t="str">
        <f t="shared" si="42"/>
        <v>2</v>
      </c>
      <c r="D213" s="2" t="str">
        <f>"5"</f>
        <v>5</v>
      </c>
      <c r="E213" s="2" t="str">
        <f t="shared" si="41"/>
        <v>2</v>
      </c>
      <c r="F213" s="3">
        <v>2197084812.6599998</v>
      </c>
    </row>
    <row r="214" spans="1:6" x14ac:dyDescent="0.25">
      <c r="A214" s="4" t="str">
        <f>"1793"</f>
        <v>1793</v>
      </c>
      <c r="B214" s="2" t="str">
        <f>"Расходы будущих периодов"</f>
        <v>Расходы будущих периодов</v>
      </c>
      <c r="C214" s="2" t="str">
        <f>"1"</f>
        <v>1</v>
      </c>
      <c r="D214" s="2" t="str">
        <f>"6"</f>
        <v>6</v>
      </c>
      <c r="E214" s="2" t="str">
        <f t="shared" ref="E214:E222" si="43">"1"</f>
        <v>1</v>
      </c>
      <c r="F214" s="3">
        <v>104350</v>
      </c>
    </row>
    <row r="215" spans="1:6" x14ac:dyDescent="0.25">
      <c r="A215" s="4" t="str">
        <f>"1793"</f>
        <v>1793</v>
      </c>
      <c r="B215" s="2" t="str">
        <f>"Расходы будущих периодов"</f>
        <v>Расходы будущих периодов</v>
      </c>
      <c r="C215" s="2" t="str">
        <f>"1"</f>
        <v>1</v>
      </c>
      <c r="D215" s="2" t="str">
        <f>"5"</f>
        <v>5</v>
      </c>
      <c r="E215" s="2" t="str">
        <f t="shared" si="43"/>
        <v>1</v>
      </c>
      <c r="F215" s="3">
        <v>2503053038.2800002</v>
      </c>
    </row>
    <row r="216" spans="1:6" x14ac:dyDescent="0.25">
      <c r="A216" s="4" t="str">
        <f>"1793"</f>
        <v>1793</v>
      </c>
      <c r="B216" s="2" t="str">
        <f>"Расходы будущих периодов"</f>
        <v>Расходы будущих периодов</v>
      </c>
      <c r="C216" s="2" t="str">
        <f>"1"</f>
        <v>1</v>
      </c>
      <c r="D216" s="2" t="str">
        <f>"9"</f>
        <v>9</v>
      </c>
      <c r="E216" s="2" t="str">
        <f t="shared" si="43"/>
        <v>1</v>
      </c>
      <c r="F216" s="3">
        <v>1952847.58</v>
      </c>
    </row>
    <row r="217" spans="1:6" x14ac:dyDescent="0.25">
      <c r="A217" s="4" t="str">
        <f>"1793"</f>
        <v>1793</v>
      </c>
      <c r="B217" s="2" t="str">
        <f>"Расходы будущих периодов"</f>
        <v>Расходы будущих периодов</v>
      </c>
      <c r="C217" s="2" t="str">
        <f>"2"</f>
        <v>2</v>
      </c>
      <c r="D217" s="2" t="str">
        <f>"7"</f>
        <v>7</v>
      </c>
      <c r="E217" s="2" t="str">
        <f t="shared" si="43"/>
        <v>1</v>
      </c>
      <c r="F217" s="3">
        <v>42710222.700000003</v>
      </c>
    </row>
    <row r="218" spans="1:6" x14ac:dyDescent="0.25">
      <c r="A218" s="4" t="str">
        <f>"1793"</f>
        <v>1793</v>
      </c>
      <c r="B218" s="2" t="str">
        <f>"Расходы будущих периодов"</f>
        <v>Расходы будущих периодов</v>
      </c>
      <c r="C218" s="2" t="str">
        <f>"1"</f>
        <v>1</v>
      </c>
      <c r="D218" s="2" t="str">
        <f>"7"</f>
        <v>7</v>
      </c>
      <c r="E218" s="2" t="str">
        <f t="shared" si="43"/>
        <v>1</v>
      </c>
      <c r="F218" s="3">
        <v>1050292013.3099999</v>
      </c>
    </row>
    <row r="219" spans="1:6" x14ac:dyDescent="0.25">
      <c r="A219" s="4" t="str">
        <f>"1811"</f>
        <v>1811</v>
      </c>
      <c r="B219" s="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9" s="2" t="str">
        <f>"1"</f>
        <v>1</v>
      </c>
      <c r="D219" s="2" t="str">
        <f>""</f>
        <v/>
      </c>
      <c r="E219" s="2" t="str">
        <f t="shared" si="43"/>
        <v>1</v>
      </c>
      <c r="F219" s="3">
        <v>155191058.84999999</v>
      </c>
    </row>
    <row r="220" spans="1:6" x14ac:dyDescent="0.25">
      <c r="A220" s="4" t="str">
        <f>"1811"</f>
        <v>1811</v>
      </c>
      <c r="B220" s="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20" s="2" t="str">
        <f>"2"</f>
        <v>2</v>
      </c>
      <c r="D220" s="2" t="str">
        <f>""</f>
        <v/>
      </c>
      <c r="E220" s="2" t="str">
        <f t="shared" si="43"/>
        <v>1</v>
      </c>
      <c r="F220" s="3">
        <v>53443.13</v>
      </c>
    </row>
    <row r="221" spans="1:6" x14ac:dyDescent="0.25">
      <c r="A221" s="4" t="str">
        <f>"1812"</f>
        <v>1812</v>
      </c>
      <c r="B221" s="2" t="str">
        <f>"Начисленные комиссионные доходы за агентские услуги"</f>
        <v>Начисленные комиссионные доходы за агентские услуги</v>
      </c>
      <c r="C221" s="2" t="str">
        <f>"1"</f>
        <v>1</v>
      </c>
      <c r="D221" s="2" t="str">
        <f>""</f>
        <v/>
      </c>
      <c r="E221" s="2" t="str">
        <f t="shared" si="43"/>
        <v>1</v>
      </c>
      <c r="F221" s="3">
        <v>576607019.58000004</v>
      </c>
    </row>
    <row r="222" spans="1:6" x14ac:dyDescent="0.25">
      <c r="A222" s="4" t="str">
        <f>"1815"</f>
        <v>1815</v>
      </c>
      <c r="B222" s="2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222" s="2" t="str">
        <f>"1"</f>
        <v>1</v>
      </c>
      <c r="D222" s="2" t="str">
        <f>""</f>
        <v/>
      </c>
      <c r="E222" s="2" t="str">
        <f t="shared" si="43"/>
        <v>1</v>
      </c>
      <c r="F222" s="3">
        <v>410626.64</v>
      </c>
    </row>
    <row r="223" spans="1:6" x14ac:dyDescent="0.25">
      <c r="A223" s="4" t="str">
        <f>"1816"</f>
        <v>1816</v>
      </c>
      <c r="B223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3" s="2" t="str">
        <f>"1"</f>
        <v>1</v>
      </c>
      <c r="D223" s="2" t="str">
        <f>""</f>
        <v/>
      </c>
      <c r="E223" s="2" t="str">
        <f>"2"</f>
        <v>2</v>
      </c>
      <c r="F223" s="3">
        <v>53243344.75</v>
      </c>
    </row>
    <row r="224" spans="1:6" x14ac:dyDescent="0.25">
      <c r="A224" s="4" t="str">
        <f>"1816"</f>
        <v>1816</v>
      </c>
      <c r="B224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4" s="2" t="str">
        <f>"1"</f>
        <v>1</v>
      </c>
      <c r="D224" s="2" t="str">
        <f>""</f>
        <v/>
      </c>
      <c r="E224" s="2" t="str">
        <f>"1"</f>
        <v>1</v>
      </c>
      <c r="F224" s="3">
        <v>335592715.08999997</v>
      </c>
    </row>
    <row r="225" spans="1:6" x14ac:dyDescent="0.25">
      <c r="A225" s="4" t="str">
        <f>"1816"</f>
        <v>1816</v>
      </c>
      <c r="B225" s="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5" s="2" t="str">
        <f>"1"</f>
        <v>1</v>
      </c>
      <c r="D225" s="2" t="str">
        <f>""</f>
        <v/>
      </c>
      <c r="E225" s="2" t="str">
        <f>"3"</f>
        <v>3</v>
      </c>
      <c r="F225" s="3">
        <v>10595215.439999999</v>
      </c>
    </row>
    <row r="226" spans="1:6" x14ac:dyDescent="0.25">
      <c r="A226" s="4" t="str">
        <f>"1817"</f>
        <v>1817</v>
      </c>
      <c r="B226" s="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6" s="2" t="str">
        <f>"2"</f>
        <v>2</v>
      </c>
      <c r="D226" s="2" t="str">
        <f>""</f>
        <v/>
      </c>
      <c r="E226" s="2" t="str">
        <f>"1"</f>
        <v>1</v>
      </c>
      <c r="F226" s="3">
        <v>1797.91</v>
      </c>
    </row>
    <row r="227" spans="1:6" x14ac:dyDescent="0.25">
      <c r="A227" s="4" t="str">
        <f>"1817"</f>
        <v>1817</v>
      </c>
      <c r="B227" s="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7" s="2" t="str">
        <f>"1"</f>
        <v>1</v>
      </c>
      <c r="D227" s="2" t="str">
        <f>""</f>
        <v/>
      </c>
      <c r="E227" s="2" t="str">
        <f>"1"</f>
        <v>1</v>
      </c>
      <c r="F227" s="3">
        <v>1202189.6399999999</v>
      </c>
    </row>
    <row r="228" spans="1:6" x14ac:dyDescent="0.25">
      <c r="A228" s="4" t="str">
        <f>"1818"</f>
        <v>1818</v>
      </c>
      <c r="B228" s="2" t="str">
        <f>"Начисленные прочие комиссионные доходы"</f>
        <v>Начисленные прочие комиссионные доходы</v>
      </c>
      <c r="C228" s="2" t="str">
        <f>"1"</f>
        <v>1</v>
      </c>
      <c r="D228" s="2" t="str">
        <f>""</f>
        <v/>
      </c>
      <c r="E228" s="2" t="str">
        <f>"1"</f>
        <v>1</v>
      </c>
      <c r="F228" s="3">
        <v>163540990.41</v>
      </c>
    </row>
    <row r="229" spans="1:6" x14ac:dyDescent="0.25">
      <c r="A229" s="4" t="str">
        <f>"1818"</f>
        <v>1818</v>
      </c>
      <c r="B229" s="2" t="str">
        <f>"Начисленные прочие комиссионные доходы"</f>
        <v>Начисленные прочие комиссионные доходы</v>
      </c>
      <c r="C229" s="2" t="str">
        <f>"2"</f>
        <v>2</v>
      </c>
      <c r="D229" s="2" t="str">
        <f>""</f>
        <v/>
      </c>
      <c r="E229" s="2" t="str">
        <f>"2"</f>
        <v>2</v>
      </c>
      <c r="F229" s="3">
        <v>249599.49</v>
      </c>
    </row>
    <row r="230" spans="1:6" x14ac:dyDescent="0.25">
      <c r="A230" s="4" t="str">
        <f>"1818"</f>
        <v>1818</v>
      </c>
      <c r="B230" s="2" t="str">
        <f>"Начисленные прочие комиссионные доходы"</f>
        <v>Начисленные прочие комиссионные доходы</v>
      </c>
      <c r="C230" s="2" t="str">
        <f>"2"</f>
        <v>2</v>
      </c>
      <c r="D230" s="2" t="str">
        <f>""</f>
        <v/>
      </c>
      <c r="E230" s="2" t="str">
        <f>"1"</f>
        <v>1</v>
      </c>
      <c r="F230" s="3">
        <v>191344.94</v>
      </c>
    </row>
    <row r="231" spans="1:6" x14ac:dyDescent="0.25">
      <c r="A231" s="4" t="str">
        <f>"1818"</f>
        <v>1818</v>
      </c>
      <c r="B231" s="2" t="str">
        <f>"Начисленные прочие комиссионные доходы"</f>
        <v>Начисленные прочие комиссионные доходы</v>
      </c>
      <c r="C231" s="2" t="str">
        <f>"2"</f>
        <v>2</v>
      </c>
      <c r="D231" s="2" t="str">
        <f>""</f>
        <v/>
      </c>
      <c r="E231" s="2" t="str">
        <f>"3"</f>
        <v>3</v>
      </c>
      <c r="F231" s="3">
        <v>243.43</v>
      </c>
    </row>
    <row r="232" spans="1:6" x14ac:dyDescent="0.25">
      <c r="A232" s="4" t="str">
        <f>"1819"</f>
        <v>1819</v>
      </c>
      <c r="B232" s="2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32" s="2" t="str">
        <f>"1"</f>
        <v>1</v>
      </c>
      <c r="D232" s="2" t="str">
        <f>""</f>
        <v/>
      </c>
      <c r="E232" s="2" t="str">
        <f>"1"</f>
        <v>1</v>
      </c>
      <c r="F232" s="3">
        <v>40330875.259999998</v>
      </c>
    </row>
    <row r="233" spans="1:6" x14ac:dyDescent="0.25">
      <c r="A233" s="4" t="str">
        <f>"1821"</f>
        <v>1821</v>
      </c>
      <c r="B233" s="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3" s="2" t="str">
        <f>"1"</f>
        <v>1</v>
      </c>
      <c r="D233" s="2" t="str">
        <f>""</f>
        <v/>
      </c>
      <c r="E233" s="2" t="str">
        <f>"1"</f>
        <v>1</v>
      </c>
      <c r="F233" s="3">
        <v>29486514.969999999</v>
      </c>
    </row>
    <row r="234" spans="1:6" x14ac:dyDescent="0.25">
      <c r="A234" s="4" t="str">
        <f>"1821"</f>
        <v>1821</v>
      </c>
      <c r="B234" s="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4" s="2" t="str">
        <f>"2"</f>
        <v>2</v>
      </c>
      <c r="D234" s="2" t="str">
        <f>""</f>
        <v/>
      </c>
      <c r="E234" s="2" t="str">
        <f>"1"</f>
        <v>1</v>
      </c>
      <c r="F234" s="3">
        <v>7303.64</v>
      </c>
    </row>
    <row r="235" spans="1:6" x14ac:dyDescent="0.25">
      <c r="A235" s="4" t="str">
        <f>"1822"</f>
        <v>1822</v>
      </c>
      <c r="B235" s="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5" s="2" t="str">
        <f>"2"</f>
        <v>2</v>
      </c>
      <c r="D235" s="2" t="str">
        <f>""</f>
        <v/>
      </c>
      <c r="E235" s="2" t="str">
        <f>"2"</f>
        <v>2</v>
      </c>
      <c r="F235" s="3">
        <v>731491.96</v>
      </c>
    </row>
    <row r="236" spans="1:6" x14ac:dyDescent="0.25">
      <c r="A236" s="4" t="str">
        <f>"1825"</f>
        <v>1825</v>
      </c>
      <c r="B236" s="2" t="str">
        <f>"Начисленные комиссионные доходы за услуги по инкассации"</f>
        <v>Начисленные комиссионные доходы за услуги по инкассации</v>
      </c>
      <c r="C236" s="2" t="str">
        <f>"1"</f>
        <v>1</v>
      </c>
      <c r="D236" s="2" t="str">
        <f>""</f>
        <v/>
      </c>
      <c r="E236" s="2" t="str">
        <f t="shared" ref="E236:E242" si="44">"1"</f>
        <v>1</v>
      </c>
      <c r="F236" s="3">
        <v>238500</v>
      </c>
    </row>
    <row r="237" spans="1:6" x14ac:dyDescent="0.25">
      <c r="A237" s="4" t="str">
        <f>"1831"</f>
        <v>1831</v>
      </c>
      <c r="B237" s="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7" s="2" t="str">
        <f>"1"</f>
        <v>1</v>
      </c>
      <c r="D237" s="2" t="str">
        <f>""</f>
        <v/>
      </c>
      <c r="E237" s="2" t="str">
        <f t="shared" si="44"/>
        <v>1</v>
      </c>
      <c r="F237" s="3">
        <v>3115713.35</v>
      </c>
    </row>
    <row r="238" spans="1:6" x14ac:dyDescent="0.25">
      <c r="A238" s="4" t="str">
        <f>"1831"</f>
        <v>1831</v>
      </c>
      <c r="B238" s="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8" s="2" t="str">
        <f>"2"</f>
        <v>2</v>
      </c>
      <c r="D238" s="2" t="str">
        <f>""</f>
        <v/>
      </c>
      <c r="E238" s="2" t="str">
        <f t="shared" si="44"/>
        <v>1</v>
      </c>
      <c r="F238" s="3">
        <v>3200</v>
      </c>
    </row>
    <row r="239" spans="1:6" x14ac:dyDescent="0.25">
      <c r="A239" s="4" t="str">
        <f>"1836"</f>
        <v>1836</v>
      </c>
      <c r="B239" s="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39" s="2" t="str">
        <f>"1"</f>
        <v>1</v>
      </c>
      <c r="D239" s="2" t="str">
        <f>""</f>
        <v/>
      </c>
      <c r="E239" s="2" t="str">
        <f t="shared" si="44"/>
        <v>1</v>
      </c>
      <c r="F239" s="3">
        <v>14661597.02</v>
      </c>
    </row>
    <row r="240" spans="1:6" x14ac:dyDescent="0.25">
      <c r="A240" s="4" t="str">
        <f>"1837"</f>
        <v>1837</v>
      </c>
      <c r="B240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40" s="2" t="str">
        <f>"1"</f>
        <v>1</v>
      </c>
      <c r="D240" s="2" t="str">
        <f>""</f>
        <v/>
      </c>
      <c r="E240" s="2" t="str">
        <f t="shared" si="44"/>
        <v>1</v>
      </c>
      <c r="F240" s="3">
        <v>9847331.9499999993</v>
      </c>
    </row>
    <row r="241" spans="1:6" x14ac:dyDescent="0.25">
      <c r="A241" s="4" t="str">
        <f>"1837"</f>
        <v>1837</v>
      </c>
      <c r="B241" s="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41" s="2" t="str">
        <f>"2"</f>
        <v>2</v>
      </c>
      <c r="D241" s="2" t="str">
        <f>""</f>
        <v/>
      </c>
      <c r="E241" s="2" t="str">
        <f t="shared" si="44"/>
        <v>1</v>
      </c>
      <c r="F241" s="3">
        <v>111200</v>
      </c>
    </row>
    <row r="242" spans="1:6" x14ac:dyDescent="0.25">
      <c r="A242" s="4" t="str">
        <f>"1838"</f>
        <v>1838</v>
      </c>
      <c r="B242" s="2" t="str">
        <f>"Просроченные прочие комиссионные доходы"</f>
        <v>Просроченные прочие комиссионные доходы</v>
      </c>
      <c r="C242" s="2" t="str">
        <f>"1"</f>
        <v>1</v>
      </c>
      <c r="D242" s="2" t="str">
        <f>""</f>
        <v/>
      </c>
      <c r="E242" s="2" t="str">
        <f t="shared" si="44"/>
        <v>1</v>
      </c>
      <c r="F242" s="3">
        <v>316293695.07999998</v>
      </c>
    </row>
    <row r="243" spans="1:6" x14ac:dyDescent="0.25">
      <c r="A243" s="4" t="str">
        <f>"1838"</f>
        <v>1838</v>
      </c>
      <c r="B243" s="2" t="str">
        <f>"Просроченные прочие комиссионные доходы"</f>
        <v>Просроченные прочие комиссионные доходы</v>
      </c>
      <c r="C243" s="2" t="str">
        <f>"1"</f>
        <v>1</v>
      </c>
      <c r="D243" s="2" t="str">
        <f>""</f>
        <v/>
      </c>
      <c r="E243" s="2" t="str">
        <f>"2"</f>
        <v>2</v>
      </c>
      <c r="F243" s="3">
        <v>1826257.96</v>
      </c>
    </row>
    <row r="244" spans="1:6" x14ac:dyDescent="0.25">
      <c r="A244" s="4" t="str">
        <f>"1838"</f>
        <v>1838</v>
      </c>
      <c r="B244" s="2" t="str">
        <f>"Просроченные прочие комиссионные доходы"</f>
        <v>Просроченные прочие комиссионные доходы</v>
      </c>
      <c r="C244" s="2" t="str">
        <f>"2"</f>
        <v>2</v>
      </c>
      <c r="D244" s="2" t="str">
        <f>""</f>
        <v/>
      </c>
      <c r="E244" s="2" t="str">
        <f>"3"</f>
        <v>3</v>
      </c>
      <c r="F244" s="3">
        <v>12633589.91</v>
      </c>
    </row>
    <row r="245" spans="1:6" x14ac:dyDescent="0.25">
      <c r="A245" s="4" t="str">
        <f>"1838"</f>
        <v>1838</v>
      </c>
      <c r="B245" s="2" t="str">
        <f>"Просроченные прочие комиссионные доходы"</f>
        <v>Просроченные прочие комиссионные доходы</v>
      </c>
      <c r="C245" s="2" t="str">
        <f>"2"</f>
        <v>2</v>
      </c>
      <c r="D245" s="2" t="str">
        <f>""</f>
        <v/>
      </c>
      <c r="E245" s="2" t="str">
        <f>"1"</f>
        <v>1</v>
      </c>
      <c r="F245" s="3">
        <v>36439.93</v>
      </c>
    </row>
    <row r="246" spans="1:6" x14ac:dyDescent="0.25">
      <c r="A246" s="4" t="str">
        <f>"1839"</f>
        <v>1839</v>
      </c>
      <c r="B246" s="2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46" s="2" t="str">
        <f>"1"</f>
        <v>1</v>
      </c>
      <c r="D246" s="2" t="str">
        <f>""</f>
        <v/>
      </c>
      <c r="E246" s="2" t="str">
        <f>"1"</f>
        <v>1</v>
      </c>
      <c r="F246" s="3">
        <v>5476391.0300000003</v>
      </c>
    </row>
    <row r="247" spans="1:6" x14ac:dyDescent="0.25">
      <c r="A247" s="4" t="str">
        <f>"1841"</f>
        <v>1841</v>
      </c>
      <c r="B247" s="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47" s="2" t="str">
        <f>"1"</f>
        <v>1</v>
      </c>
      <c r="D247" s="2" t="str">
        <f>""</f>
        <v/>
      </c>
      <c r="E247" s="2" t="str">
        <f>"1"</f>
        <v>1</v>
      </c>
      <c r="F247" s="3">
        <v>825532.36</v>
      </c>
    </row>
    <row r="248" spans="1:6" x14ac:dyDescent="0.25">
      <c r="A248" s="4" t="str">
        <f>"1845"</f>
        <v>1845</v>
      </c>
      <c r="B248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8" s="2" t="str">
        <f>"1"</f>
        <v>1</v>
      </c>
      <c r="D248" s="2" t="str">
        <f>""</f>
        <v/>
      </c>
      <c r="E248" s="2" t="str">
        <f>"1"</f>
        <v>1</v>
      </c>
      <c r="F248" s="3">
        <v>-299055316.24000001</v>
      </c>
    </row>
    <row r="249" spans="1:6" x14ac:dyDescent="0.25">
      <c r="A249" s="4" t="str">
        <f>"1845"</f>
        <v>1845</v>
      </c>
      <c r="B249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9" s="2" t="str">
        <f>"1"</f>
        <v>1</v>
      </c>
      <c r="D249" s="2" t="str">
        <f>""</f>
        <v/>
      </c>
      <c r="E249" s="2" t="str">
        <f>"3"</f>
        <v>3</v>
      </c>
      <c r="F249" s="3">
        <v>-94091.25</v>
      </c>
    </row>
    <row r="250" spans="1:6" x14ac:dyDescent="0.25">
      <c r="A250" s="4" t="str">
        <f>"1845"</f>
        <v>1845</v>
      </c>
      <c r="B250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0" s="2" t="str">
        <f>"2"</f>
        <v>2</v>
      </c>
      <c r="D250" s="2" t="str">
        <f>""</f>
        <v/>
      </c>
      <c r="E250" s="2" t="str">
        <f>"3"</f>
        <v>3</v>
      </c>
      <c r="F250" s="3">
        <v>-12633589.91</v>
      </c>
    </row>
    <row r="251" spans="1:6" x14ac:dyDescent="0.25">
      <c r="A251" s="4" t="str">
        <f>"1845"</f>
        <v>1845</v>
      </c>
      <c r="B251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1" s="2" t="str">
        <f>"1"</f>
        <v>1</v>
      </c>
      <c r="D251" s="2" t="str">
        <f>""</f>
        <v/>
      </c>
      <c r="E251" s="2" t="str">
        <f>"2"</f>
        <v>2</v>
      </c>
      <c r="F251" s="3">
        <v>-2355097.34</v>
      </c>
    </row>
    <row r="252" spans="1:6" x14ac:dyDescent="0.25">
      <c r="A252" s="4" t="str">
        <f>"1845"</f>
        <v>1845</v>
      </c>
      <c r="B252" s="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2" s="2" t="str">
        <f>"2"</f>
        <v>2</v>
      </c>
      <c r="D252" s="2" t="str">
        <f>""</f>
        <v/>
      </c>
      <c r="E252" s="2" t="str">
        <f>"1"</f>
        <v>1</v>
      </c>
      <c r="F252" s="3">
        <v>-112798.73</v>
      </c>
    </row>
    <row r="253" spans="1:6" x14ac:dyDescent="0.25">
      <c r="A253" s="4" t="str">
        <f>"1851"</f>
        <v>1851</v>
      </c>
      <c r="B253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53" s="2" t="str">
        <f>"1"</f>
        <v>1</v>
      </c>
      <c r="D253" s="2" t="str">
        <f>"1"</f>
        <v>1</v>
      </c>
      <c r="E253" s="2" t="str">
        <f>"1"</f>
        <v>1</v>
      </c>
      <c r="F253" s="3">
        <v>2076929555.53</v>
      </c>
    </row>
    <row r="254" spans="1:6" x14ac:dyDescent="0.25">
      <c r="A254" s="4" t="str">
        <f>"1852"</f>
        <v>1852</v>
      </c>
      <c r="B254" s="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4" s="2" t="str">
        <f>"1"</f>
        <v>1</v>
      </c>
      <c r="D254" s="2" t="str">
        <f>"5"</f>
        <v>5</v>
      </c>
      <c r="E254" s="2" t="str">
        <f>"1"</f>
        <v>1</v>
      </c>
      <c r="F254" s="3">
        <v>262251000</v>
      </c>
    </row>
    <row r="255" spans="1:6" x14ac:dyDescent="0.25">
      <c r="A255" s="4" t="str">
        <f>"1852"</f>
        <v>1852</v>
      </c>
      <c r="B255" s="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5" s="2" t="str">
        <f>"1"</f>
        <v>1</v>
      </c>
      <c r="D255" s="2" t="str">
        <f>"5"</f>
        <v>5</v>
      </c>
      <c r="E255" s="2" t="str">
        <f>"2"</f>
        <v>2</v>
      </c>
      <c r="F255" s="3">
        <v>18145651000</v>
      </c>
    </row>
    <row r="256" spans="1:6" x14ac:dyDescent="0.25">
      <c r="A256" s="4" t="str">
        <f>"1854"</f>
        <v>1854</v>
      </c>
      <c r="B256" s="2" t="str">
        <f>"Расчеты с работниками"</f>
        <v>Расчеты с работниками</v>
      </c>
      <c r="C256" s="2" t="str">
        <f>""</f>
        <v/>
      </c>
      <c r="D256" s="2" t="str">
        <f>""</f>
        <v/>
      </c>
      <c r="E256" s="2" t="str">
        <f>""</f>
        <v/>
      </c>
      <c r="F256" s="3">
        <v>16610519.33</v>
      </c>
    </row>
    <row r="257" spans="1:6" x14ac:dyDescent="0.25">
      <c r="A257" s="4" t="str">
        <f>"1856"</f>
        <v>1856</v>
      </c>
      <c r="B257" s="2" t="str">
        <f>"Дебиторы по капитальным вложениям"</f>
        <v>Дебиторы по капитальным вложениям</v>
      </c>
      <c r="C257" s="2" t="str">
        <f>"1"</f>
        <v>1</v>
      </c>
      <c r="D257" s="2" t="str">
        <f>"7"</f>
        <v>7</v>
      </c>
      <c r="E257" s="2" t="str">
        <f>"1"</f>
        <v>1</v>
      </c>
      <c r="F257" s="3">
        <v>952025306.96000004</v>
      </c>
    </row>
    <row r="258" spans="1:6" x14ac:dyDescent="0.25">
      <c r="A258" s="4" t="str">
        <f>"1856"</f>
        <v>1856</v>
      </c>
      <c r="B258" s="2" t="str">
        <f>"Дебиторы по капитальным вложениям"</f>
        <v>Дебиторы по капитальным вложениям</v>
      </c>
      <c r="C258" s="2" t="str">
        <f>"1"</f>
        <v>1</v>
      </c>
      <c r="D258" s="2" t="str">
        <f>"9"</f>
        <v>9</v>
      </c>
      <c r="E258" s="2" t="str">
        <f>"1"</f>
        <v>1</v>
      </c>
      <c r="F258" s="3">
        <v>38085191.539999999</v>
      </c>
    </row>
    <row r="259" spans="1:6" x14ac:dyDescent="0.25">
      <c r="A259" s="4" t="str">
        <f>"1856"</f>
        <v>1856</v>
      </c>
      <c r="B259" s="2" t="str">
        <f>"Дебиторы по капитальным вложениям"</f>
        <v>Дебиторы по капитальным вложениям</v>
      </c>
      <c r="C259" s="2" t="str">
        <f>"2"</f>
        <v>2</v>
      </c>
      <c r="D259" s="2" t="str">
        <f>"7"</f>
        <v>7</v>
      </c>
      <c r="E259" s="2" t="str">
        <f>"1"</f>
        <v>1</v>
      </c>
      <c r="F259" s="3">
        <v>107989634.51000001</v>
      </c>
    </row>
    <row r="260" spans="1:6" x14ac:dyDescent="0.25">
      <c r="A260" s="4" t="str">
        <f>"1857"</f>
        <v>1857</v>
      </c>
      <c r="B260" s="2" t="str">
        <f>"Отложенные налоговые активы"</f>
        <v>Отложенные налоговые активы</v>
      </c>
      <c r="C260" s="2" t="str">
        <f>""</f>
        <v/>
      </c>
      <c r="D260" s="2" t="str">
        <f>""</f>
        <v/>
      </c>
      <c r="E260" s="2" t="str">
        <f>""</f>
        <v/>
      </c>
      <c r="F260" s="3">
        <v>957126000</v>
      </c>
    </row>
    <row r="261" spans="1:6" x14ac:dyDescent="0.25">
      <c r="A261" s="4" t="str">
        <f t="shared" ref="A261:A275" si="45">"1860"</f>
        <v>1860</v>
      </c>
      <c r="B261" s="2" t="str">
        <f t="shared" ref="B261:B275" si="46">"Прочие дебиторы по банковской деятельности"</f>
        <v>Прочие дебиторы по банковской деятельности</v>
      </c>
      <c r="C261" s="2" t="str">
        <f t="shared" ref="C261:C268" si="47">"1"</f>
        <v>1</v>
      </c>
      <c r="D261" s="2" t="str">
        <f>"4"</f>
        <v>4</v>
      </c>
      <c r="E261" s="2" t="str">
        <f>"1"</f>
        <v>1</v>
      </c>
      <c r="F261" s="3">
        <v>543421</v>
      </c>
    </row>
    <row r="262" spans="1:6" x14ac:dyDescent="0.25">
      <c r="A262" s="4" t="str">
        <f t="shared" si="45"/>
        <v>1860</v>
      </c>
      <c r="B262" s="2" t="str">
        <f t="shared" si="46"/>
        <v>Прочие дебиторы по банковской деятельности</v>
      </c>
      <c r="C262" s="2" t="str">
        <f t="shared" si="47"/>
        <v>1</v>
      </c>
      <c r="D262" s="2" t="str">
        <f>"5"</f>
        <v>5</v>
      </c>
      <c r="E262" s="2" t="str">
        <f>"1"</f>
        <v>1</v>
      </c>
      <c r="F262" s="3">
        <v>75534143.450000003</v>
      </c>
    </row>
    <row r="263" spans="1:6" x14ac:dyDescent="0.25">
      <c r="A263" s="4" t="str">
        <f t="shared" si="45"/>
        <v>1860</v>
      </c>
      <c r="B263" s="2" t="str">
        <f t="shared" si="46"/>
        <v>Прочие дебиторы по банковской деятельности</v>
      </c>
      <c r="C263" s="2" t="str">
        <f t="shared" si="47"/>
        <v>1</v>
      </c>
      <c r="D263" s="2" t="str">
        <f>"1"</f>
        <v>1</v>
      </c>
      <c r="E263" s="2" t="str">
        <f>"1"</f>
        <v>1</v>
      </c>
      <c r="F263" s="3">
        <v>35101.279999999999</v>
      </c>
    </row>
    <row r="264" spans="1:6" x14ac:dyDescent="0.25">
      <c r="A264" s="4" t="str">
        <f t="shared" si="45"/>
        <v>1860</v>
      </c>
      <c r="B264" s="2" t="str">
        <f t="shared" si="46"/>
        <v>Прочие дебиторы по банковской деятельности</v>
      </c>
      <c r="C264" s="2" t="str">
        <f t="shared" si="47"/>
        <v>1</v>
      </c>
      <c r="D264" s="2" t="str">
        <f>"7"</f>
        <v>7</v>
      </c>
      <c r="E264" s="2" t="str">
        <f>"2"</f>
        <v>2</v>
      </c>
      <c r="F264" s="3">
        <v>143803917.28</v>
      </c>
    </row>
    <row r="265" spans="1:6" x14ac:dyDescent="0.25">
      <c r="A265" s="4" t="str">
        <f t="shared" si="45"/>
        <v>1860</v>
      </c>
      <c r="B265" s="2" t="str">
        <f t="shared" si="46"/>
        <v>Прочие дебиторы по банковской деятельности</v>
      </c>
      <c r="C265" s="2" t="str">
        <f t="shared" si="47"/>
        <v>1</v>
      </c>
      <c r="D265" s="2" t="str">
        <f>"4"</f>
        <v>4</v>
      </c>
      <c r="E265" s="2" t="str">
        <f>"2"</f>
        <v>2</v>
      </c>
      <c r="F265" s="3">
        <v>1767504.06</v>
      </c>
    </row>
    <row r="266" spans="1:6" x14ac:dyDescent="0.25">
      <c r="A266" s="4" t="str">
        <f t="shared" si="45"/>
        <v>1860</v>
      </c>
      <c r="B266" s="2" t="str">
        <f t="shared" si="46"/>
        <v>Прочие дебиторы по банковской деятельности</v>
      </c>
      <c r="C266" s="2" t="str">
        <f t="shared" si="47"/>
        <v>1</v>
      </c>
      <c r="D266" s="2" t="str">
        <f>"7"</f>
        <v>7</v>
      </c>
      <c r="E266" s="2" t="str">
        <f>"1"</f>
        <v>1</v>
      </c>
      <c r="F266" s="3">
        <v>4242209730.8499999</v>
      </c>
    </row>
    <row r="267" spans="1:6" x14ac:dyDescent="0.25">
      <c r="A267" s="4" t="str">
        <f t="shared" si="45"/>
        <v>1860</v>
      </c>
      <c r="B267" s="2" t="str">
        <f t="shared" si="46"/>
        <v>Прочие дебиторы по банковской деятельности</v>
      </c>
      <c r="C267" s="2" t="str">
        <f t="shared" si="47"/>
        <v>1</v>
      </c>
      <c r="D267" s="2" t="str">
        <f>"9"</f>
        <v>9</v>
      </c>
      <c r="E267" s="2" t="str">
        <f>"2"</f>
        <v>2</v>
      </c>
      <c r="F267" s="3">
        <v>12162967.42</v>
      </c>
    </row>
    <row r="268" spans="1:6" x14ac:dyDescent="0.25">
      <c r="A268" s="4" t="str">
        <f t="shared" si="45"/>
        <v>1860</v>
      </c>
      <c r="B268" s="2" t="str">
        <f t="shared" si="46"/>
        <v>Прочие дебиторы по банковской деятельности</v>
      </c>
      <c r="C268" s="2" t="str">
        <f t="shared" si="47"/>
        <v>1</v>
      </c>
      <c r="D268" s="2" t="str">
        <f>"9"</f>
        <v>9</v>
      </c>
      <c r="E268" s="2" t="str">
        <f>"1"</f>
        <v>1</v>
      </c>
      <c r="F268" s="3">
        <v>1831664296.04</v>
      </c>
    </row>
    <row r="269" spans="1:6" x14ac:dyDescent="0.25">
      <c r="A269" s="4" t="str">
        <f t="shared" si="45"/>
        <v>1860</v>
      </c>
      <c r="B269" s="2" t="str">
        <f t="shared" si="46"/>
        <v>Прочие дебиторы по банковской деятельности</v>
      </c>
      <c r="C269" s="2" t="str">
        <f t="shared" ref="C269:C275" si="48">"2"</f>
        <v>2</v>
      </c>
      <c r="D269" s="2" t="str">
        <f>"4"</f>
        <v>4</v>
      </c>
      <c r="E269" s="2" t="str">
        <f>"3"</f>
        <v>3</v>
      </c>
      <c r="F269" s="3">
        <v>34302599.810000002</v>
      </c>
    </row>
    <row r="270" spans="1:6" x14ac:dyDescent="0.25">
      <c r="A270" s="4" t="str">
        <f t="shared" si="45"/>
        <v>1860</v>
      </c>
      <c r="B270" s="2" t="str">
        <f t="shared" si="46"/>
        <v>Прочие дебиторы по банковской деятельности</v>
      </c>
      <c r="C270" s="2" t="str">
        <f t="shared" si="48"/>
        <v>2</v>
      </c>
      <c r="D270" s="2" t="str">
        <f>"4"</f>
        <v>4</v>
      </c>
      <c r="E270" s="2" t="str">
        <f>"2"</f>
        <v>2</v>
      </c>
      <c r="F270" s="3">
        <v>112658418.88</v>
      </c>
    </row>
    <row r="271" spans="1:6" x14ac:dyDescent="0.25">
      <c r="A271" s="4" t="str">
        <f t="shared" si="45"/>
        <v>1860</v>
      </c>
      <c r="B271" s="2" t="str">
        <f t="shared" si="46"/>
        <v>Прочие дебиторы по банковской деятельности</v>
      </c>
      <c r="C271" s="2" t="str">
        <f t="shared" si="48"/>
        <v>2</v>
      </c>
      <c r="D271" s="2" t="str">
        <f>"5"</f>
        <v>5</v>
      </c>
      <c r="E271" s="2" t="str">
        <f>"2"</f>
        <v>2</v>
      </c>
      <c r="F271" s="3">
        <v>104321320.54000001</v>
      </c>
    </row>
    <row r="272" spans="1:6" x14ac:dyDescent="0.25">
      <c r="A272" s="4" t="str">
        <f t="shared" si="45"/>
        <v>1860</v>
      </c>
      <c r="B272" s="2" t="str">
        <f t="shared" si="46"/>
        <v>Прочие дебиторы по банковской деятельности</v>
      </c>
      <c r="C272" s="2" t="str">
        <f t="shared" si="48"/>
        <v>2</v>
      </c>
      <c r="D272" s="2" t="str">
        <f>"7"</f>
        <v>7</v>
      </c>
      <c r="E272" s="2" t="str">
        <f>"3"</f>
        <v>3</v>
      </c>
      <c r="F272" s="3">
        <v>55304411.030000001</v>
      </c>
    </row>
    <row r="273" spans="1:6" x14ac:dyDescent="0.25">
      <c r="A273" s="4" t="str">
        <f t="shared" si="45"/>
        <v>1860</v>
      </c>
      <c r="B273" s="2" t="str">
        <f t="shared" si="46"/>
        <v>Прочие дебиторы по банковской деятельности</v>
      </c>
      <c r="C273" s="2" t="str">
        <f t="shared" si="48"/>
        <v>2</v>
      </c>
      <c r="D273" s="2" t="str">
        <f>"5"</f>
        <v>5</v>
      </c>
      <c r="E273" s="2" t="str">
        <f>"1"</f>
        <v>1</v>
      </c>
      <c r="F273" s="3">
        <v>946772.72</v>
      </c>
    </row>
    <row r="274" spans="1:6" x14ac:dyDescent="0.25">
      <c r="A274" s="4" t="str">
        <f t="shared" si="45"/>
        <v>1860</v>
      </c>
      <c r="B274" s="2" t="str">
        <f t="shared" si="46"/>
        <v>Прочие дебиторы по банковской деятельности</v>
      </c>
      <c r="C274" s="2" t="str">
        <f t="shared" si="48"/>
        <v>2</v>
      </c>
      <c r="D274" s="2" t="str">
        <f>"9"</f>
        <v>9</v>
      </c>
      <c r="E274" s="2" t="str">
        <f>"1"</f>
        <v>1</v>
      </c>
      <c r="F274" s="3">
        <v>5491086.6799999997</v>
      </c>
    </row>
    <row r="275" spans="1:6" x14ac:dyDescent="0.25">
      <c r="A275" s="4" t="str">
        <f t="shared" si="45"/>
        <v>1860</v>
      </c>
      <c r="B275" s="2" t="str">
        <f t="shared" si="46"/>
        <v>Прочие дебиторы по банковской деятельности</v>
      </c>
      <c r="C275" s="2" t="str">
        <f t="shared" si="48"/>
        <v>2</v>
      </c>
      <c r="D275" s="2" t="str">
        <f>"9"</f>
        <v>9</v>
      </c>
      <c r="E275" s="2" t="str">
        <f>"2"</f>
        <v>2</v>
      </c>
      <c r="F275" s="3">
        <v>133586.76999999999</v>
      </c>
    </row>
    <row r="276" spans="1:6" x14ac:dyDescent="0.25">
      <c r="A276" s="4" t="str">
        <f>"1861"</f>
        <v>1861</v>
      </c>
      <c r="B276" s="2" t="str">
        <f>"Дебиторы по гарантиям"</f>
        <v>Дебиторы по гарантиям</v>
      </c>
      <c r="C276" s="2" t="str">
        <f t="shared" ref="C276:C283" si="49">"1"</f>
        <v>1</v>
      </c>
      <c r="D276" s="2" t="str">
        <f>"7"</f>
        <v>7</v>
      </c>
      <c r="E276" s="2" t="str">
        <f t="shared" ref="E276:E285" si="50">"1"</f>
        <v>1</v>
      </c>
      <c r="F276" s="3">
        <v>1195370404</v>
      </c>
    </row>
    <row r="277" spans="1:6" x14ac:dyDescent="0.25">
      <c r="A277" s="4" t="str">
        <f t="shared" ref="A277:A284" si="51">"1867"</f>
        <v>1867</v>
      </c>
      <c r="B277" s="2" t="str">
        <f t="shared" ref="B277:B284" si="52">"Прочие дебиторы по неосновной деятельности"</f>
        <v>Прочие дебиторы по неосновной деятельности</v>
      </c>
      <c r="C277" s="2" t="str">
        <f t="shared" si="49"/>
        <v>1</v>
      </c>
      <c r="D277" s="2" t="str">
        <f>"1"</f>
        <v>1</v>
      </c>
      <c r="E277" s="2" t="str">
        <f t="shared" si="50"/>
        <v>1</v>
      </c>
      <c r="F277" s="3">
        <v>3607.41</v>
      </c>
    </row>
    <row r="278" spans="1:6" x14ac:dyDescent="0.25">
      <c r="A278" s="4" t="str">
        <f t="shared" si="51"/>
        <v>1867</v>
      </c>
      <c r="B278" s="2" t="str">
        <f t="shared" si="52"/>
        <v>Прочие дебиторы по неосновной деятельности</v>
      </c>
      <c r="C278" s="2" t="str">
        <f t="shared" si="49"/>
        <v>1</v>
      </c>
      <c r="D278" s="2" t="str">
        <f>"7"</f>
        <v>7</v>
      </c>
      <c r="E278" s="2" t="str">
        <f t="shared" si="50"/>
        <v>1</v>
      </c>
      <c r="F278" s="3">
        <v>1317336004.5799999</v>
      </c>
    </row>
    <row r="279" spans="1:6" x14ac:dyDescent="0.25">
      <c r="A279" s="4" t="str">
        <f t="shared" si="51"/>
        <v>1867</v>
      </c>
      <c r="B279" s="2" t="str">
        <f t="shared" si="52"/>
        <v>Прочие дебиторы по неосновной деятельности</v>
      </c>
      <c r="C279" s="2" t="str">
        <f t="shared" si="49"/>
        <v>1</v>
      </c>
      <c r="D279" s="2" t="str">
        <f>"8"</f>
        <v>8</v>
      </c>
      <c r="E279" s="2" t="str">
        <f t="shared" si="50"/>
        <v>1</v>
      </c>
      <c r="F279" s="3">
        <v>165757.5</v>
      </c>
    </row>
    <row r="280" spans="1:6" x14ac:dyDescent="0.25">
      <c r="A280" s="4" t="str">
        <f t="shared" si="51"/>
        <v>1867</v>
      </c>
      <c r="B280" s="2" t="str">
        <f t="shared" si="52"/>
        <v>Прочие дебиторы по неосновной деятельности</v>
      </c>
      <c r="C280" s="2" t="str">
        <f t="shared" si="49"/>
        <v>1</v>
      </c>
      <c r="D280" s="2" t="str">
        <f>"6"</f>
        <v>6</v>
      </c>
      <c r="E280" s="2" t="str">
        <f t="shared" si="50"/>
        <v>1</v>
      </c>
      <c r="F280" s="3">
        <v>12248039.699999999</v>
      </c>
    </row>
    <row r="281" spans="1:6" x14ac:dyDescent="0.25">
      <c r="A281" s="4" t="str">
        <f t="shared" si="51"/>
        <v>1867</v>
      </c>
      <c r="B281" s="2" t="str">
        <f t="shared" si="52"/>
        <v>Прочие дебиторы по неосновной деятельности</v>
      </c>
      <c r="C281" s="2" t="str">
        <f t="shared" si="49"/>
        <v>1</v>
      </c>
      <c r="D281" s="2" t="str">
        <f>"3"</f>
        <v>3</v>
      </c>
      <c r="E281" s="2" t="str">
        <f t="shared" si="50"/>
        <v>1</v>
      </c>
      <c r="F281" s="3">
        <v>1257</v>
      </c>
    </row>
    <row r="282" spans="1:6" x14ac:dyDescent="0.25">
      <c r="A282" s="4" t="str">
        <f t="shared" si="51"/>
        <v>1867</v>
      </c>
      <c r="B282" s="2" t="str">
        <f t="shared" si="52"/>
        <v>Прочие дебиторы по неосновной деятельности</v>
      </c>
      <c r="C282" s="2" t="str">
        <f t="shared" si="49"/>
        <v>1</v>
      </c>
      <c r="D282" s="2" t="str">
        <f>"5"</f>
        <v>5</v>
      </c>
      <c r="E282" s="2" t="str">
        <f t="shared" si="50"/>
        <v>1</v>
      </c>
      <c r="F282" s="3">
        <v>3704476</v>
      </c>
    </row>
    <row r="283" spans="1:6" x14ac:dyDescent="0.25">
      <c r="A283" s="4" t="str">
        <f t="shared" si="51"/>
        <v>1867</v>
      </c>
      <c r="B283" s="2" t="str">
        <f t="shared" si="52"/>
        <v>Прочие дебиторы по неосновной деятельности</v>
      </c>
      <c r="C283" s="2" t="str">
        <f t="shared" si="49"/>
        <v>1</v>
      </c>
      <c r="D283" s="2" t="str">
        <f>"9"</f>
        <v>9</v>
      </c>
      <c r="E283" s="2" t="str">
        <f t="shared" si="50"/>
        <v>1</v>
      </c>
      <c r="F283" s="3">
        <v>99066803.650000006</v>
      </c>
    </row>
    <row r="284" spans="1:6" x14ac:dyDescent="0.25">
      <c r="A284" s="4" t="str">
        <f t="shared" si="51"/>
        <v>1867</v>
      </c>
      <c r="B284" s="2" t="str">
        <f t="shared" si="52"/>
        <v>Прочие дебиторы по неосновной деятельности</v>
      </c>
      <c r="C284" s="2" t="str">
        <f>"2"</f>
        <v>2</v>
      </c>
      <c r="D284" s="2" t="str">
        <f>"7"</f>
        <v>7</v>
      </c>
      <c r="E284" s="2" t="str">
        <f t="shared" si="50"/>
        <v>1</v>
      </c>
      <c r="F284" s="3">
        <v>56946275.57</v>
      </c>
    </row>
    <row r="285" spans="1:6" x14ac:dyDescent="0.25">
      <c r="A285" s="4" t="str">
        <f>"1870"</f>
        <v>1870</v>
      </c>
      <c r="B285" s="2" t="str">
        <f>"Прочие транзитные счета"</f>
        <v>Прочие транзитные счета</v>
      </c>
      <c r="C285" s="2" t="str">
        <f>"1"</f>
        <v>1</v>
      </c>
      <c r="D285" s="2" t="str">
        <f>"9"</f>
        <v>9</v>
      </c>
      <c r="E285" s="2" t="str">
        <f t="shared" si="50"/>
        <v>1</v>
      </c>
      <c r="F285" s="3">
        <v>4344581550.8500004</v>
      </c>
    </row>
    <row r="286" spans="1:6" x14ac:dyDescent="0.25">
      <c r="A286" s="4" t="str">
        <f>"1870"</f>
        <v>1870</v>
      </c>
      <c r="B286" s="2" t="str">
        <f>"Прочие транзитные счета"</f>
        <v>Прочие транзитные счета</v>
      </c>
      <c r="C286" s="2" t="str">
        <f>"1"</f>
        <v>1</v>
      </c>
      <c r="D286" s="2" t="str">
        <f>"9"</f>
        <v>9</v>
      </c>
      <c r="E286" s="2" t="str">
        <f>"2"</f>
        <v>2</v>
      </c>
      <c r="F286" s="3">
        <v>51391207.490000002</v>
      </c>
    </row>
    <row r="287" spans="1:6" x14ac:dyDescent="0.25">
      <c r="A287" s="4" t="str">
        <f>"1870"</f>
        <v>1870</v>
      </c>
      <c r="B287" s="2" t="str">
        <f>"Прочие транзитные счета"</f>
        <v>Прочие транзитные счета</v>
      </c>
      <c r="C287" s="2" t="str">
        <f>"2"</f>
        <v>2</v>
      </c>
      <c r="D287" s="2" t="str">
        <f>"4"</f>
        <v>4</v>
      </c>
      <c r="E287" s="2" t="str">
        <f>"2"</f>
        <v>2</v>
      </c>
      <c r="F287" s="3">
        <v>242896.5</v>
      </c>
    </row>
    <row r="288" spans="1:6" x14ac:dyDescent="0.25">
      <c r="A288" s="4" t="str">
        <f>"1870"</f>
        <v>1870</v>
      </c>
      <c r="B288" s="2" t="str">
        <f>"Прочие транзитные счета"</f>
        <v>Прочие транзитные счета</v>
      </c>
      <c r="C288" s="2" t="str">
        <f>"2"</f>
        <v>2</v>
      </c>
      <c r="D288" s="2" t="str">
        <f>"4"</f>
        <v>4</v>
      </c>
      <c r="E288" s="2" t="str">
        <f>"3"</f>
        <v>3</v>
      </c>
      <c r="F288" s="3">
        <v>3698659.24</v>
      </c>
    </row>
    <row r="289" spans="1:6" x14ac:dyDescent="0.25">
      <c r="A289" s="4" t="str">
        <f>"1870"</f>
        <v>1870</v>
      </c>
      <c r="B289" s="2" t="str">
        <f>"Прочие транзитные счета"</f>
        <v>Прочие транзитные счета</v>
      </c>
      <c r="C289" s="2" t="str">
        <f>"1"</f>
        <v>1</v>
      </c>
      <c r="D289" s="2" t="str">
        <f>"9"</f>
        <v>9</v>
      </c>
      <c r="E289" s="2" t="str">
        <f>"3"</f>
        <v>3</v>
      </c>
      <c r="F289" s="3">
        <v>1505.2</v>
      </c>
    </row>
    <row r="290" spans="1:6" x14ac:dyDescent="0.25">
      <c r="A290" s="4" t="str">
        <f t="shared" ref="A290:A298" si="53">"1877"</f>
        <v>1877</v>
      </c>
      <c r="B290" s="2" t="str">
        <f t="shared" ref="B290:B298" si="5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90" s="2" t="str">
        <f>"1"</f>
        <v>1</v>
      </c>
      <c r="D290" s="2" t="str">
        <f>"7"</f>
        <v>7</v>
      </c>
      <c r="E290" s="2" t="str">
        <f>"1"</f>
        <v>1</v>
      </c>
      <c r="F290" s="3">
        <v>-2771130815.6799998</v>
      </c>
    </row>
    <row r="291" spans="1:6" x14ac:dyDescent="0.25">
      <c r="A291" s="4" t="str">
        <f t="shared" si="53"/>
        <v>1877</v>
      </c>
      <c r="B291" s="2" t="str">
        <f t="shared" si="54"/>
        <v>Резервы (провизии) по дебиторской задолженности, связанной с банковской деятельностью</v>
      </c>
      <c r="C291" s="2" t="str">
        <f>"1"</f>
        <v>1</v>
      </c>
      <c r="D291" s="2" t="str">
        <f>"5"</f>
        <v>5</v>
      </c>
      <c r="E291" s="2" t="str">
        <f>"1"</f>
        <v>1</v>
      </c>
      <c r="F291" s="3">
        <v>-49630.57</v>
      </c>
    </row>
    <row r="292" spans="1:6" x14ac:dyDescent="0.25">
      <c r="A292" s="4" t="str">
        <f t="shared" si="53"/>
        <v>1877</v>
      </c>
      <c r="B292" s="2" t="str">
        <f t="shared" si="54"/>
        <v>Резервы (провизии) по дебиторской задолженности, связанной с банковской деятельностью</v>
      </c>
      <c r="C292" s="2" t="str">
        <f>"1"</f>
        <v>1</v>
      </c>
      <c r="D292" s="2" t="str">
        <f>"9"</f>
        <v>9</v>
      </c>
      <c r="E292" s="2" t="str">
        <f>"1"</f>
        <v>1</v>
      </c>
      <c r="F292" s="3">
        <v>-1833061104.1600001</v>
      </c>
    </row>
    <row r="293" spans="1:6" x14ac:dyDescent="0.25">
      <c r="A293" s="4" t="str">
        <f t="shared" si="53"/>
        <v>1877</v>
      </c>
      <c r="B293" s="2" t="str">
        <f t="shared" si="54"/>
        <v>Резервы (провизии) по дебиторской задолженности, связанной с банковской деятельностью</v>
      </c>
      <c r="C293" s="2" t="str">
        <f>"2"</f>
        <v>2</v>
      </c>
      <c r="D293" s="2" t="str">
        <f>"5"</f>
        <v>5</v>
      </c>
      <c r="E293" s="2" t="str">
        <f>"2"</f>
        <v>2</v>
      </c>
      <c r="F293" s="3">
        <v>-100649536.75</v>
      </c>
    </row>
    <row r="294" spans="1:6" x14ac:dyDescent="0.25">
      <c r="A294" s="4" t="str">
        <f t="shared" si="53"/>
        <v>1877</v>
      </c>
      <c r="B294" s="2" t="str">
        <f t="shared" si="54"/>
        <v>Резервы (провизии) по дебиторской задолженности, связанной с банковской деятельностью</v>
      </c>
      <c r="C294" s="2" t="str">
        <f>"1"</f>
        <v>1</v>
      </c>
      <c r="D294" s="2" t="str">
        <f>"9"</f>
        <v>9</v>
      </c>
      <c r="E294" s="2" t="str">
        <f>"2"</f>
        <v>2</v>
      </c>
      <c r="F294" s="3">
        <v>-1523967.59</v>
      </c>
    </row>
    <row r="295" spans="1:6" x14ac:dyDescent="0.25">
      <c r="A295" s="4" t="str">
        <f t="shared" si="53"/>
        <v>1877</v>
      </c>
      <c r="B295" s="2" t="str">
        <f t="shared" si="54"/>
        <v>Резервы (провизии) по дебиторской задолженности, связанной с банковской деятельностью</v>
      </c>
      <c r="C295" s="2" t="str">
        <f>"2"</f>
        <v>2</v>
      </c>
      <c r="D295" s="2" t="str">
        <f>"9"</f>
        <v>9</v>
      </c>
      <c r="E295" s="2" t="str">
        <f>"1"</f>
        <v>1</v>
      </c>
      <c r="F295" s="3">
        <v>-3299459.91</v>
      </c>
    </row>
    <row r="296" spans="1:6" x14ac:dyDescent="0.25">
      <c r="A296" s="4" t="str">
        <f t="shared" si="53"/>
        <v>1877</v>
      </c>
      <c r="B296" s="2" t="str">
        <f t="shared" si="54"/>
        <v>Резервы (провизии) по дебиторской задолженности, связанной с банковской деятельностью</v>
      </c>
      <c r="C296" s="2" t="str">
        <f>"2"</f>
        <v>2</v>
      </c>
      <c r="D296" s="2" t="str">
        <f>"7"</f>
        <v>7</v>
      </c>
      <c r="E296" s="2" t="str">
        <f>"3"</f>
        <v>3</v>
      </c>
      <c r="F296" s="3">
        <v>-89093010.840000004</v>
      </c>
    </row>
    <row r="297" spans="1:6" x14ac:dyDescent="0.25">
      <c r="A297" s="4" t="str">
        <f t="shared" si="53"/>
        <v>1877</v>
      </c>
      <c r="B297" s="2" t="str">
        <f t="shared" si="54"/>
        <v>Резервы (провизии) по дебиторской задолженности, связанной с банковской деятельностью</v>
      </c>
      <c r="C297" s="2" t="str">
        <f>"2"</f>
        <v>2</v>
      </c>
      <c r="D297" s="2" t="str">
        <f>"7"</f>
        <v>7</v>
      </c>
      <c r="E297" s="2" t="str">
        <f>"1"</f>
        <v>1</v>
      </c>
      <c r="F297" s="3">
        <v>-150957000.02000001</v>
      </c>
    </row>
    <row r="298" spans="1:6" x14ac:dyDescent="0.25">
      <c r="A298" s="4" t="str">
        <f t="shared" si="53"/>
        <v>1877</v>
      </c>
      <c r="B298" s="2" t="str">
        <f t="shared" si="54"/>
        <v>Резервы (провизии) по дебиторской задолженности, связанной с банковской деятельностью</v>
      </c>
      <c r="C298" s="2" t="str">
        <f>"2"</f>
        <v>2</v>
      </c>
      <c r="D298" s="2" t="str">
        <f>"9"</f>
        <v>9</v>
      </c>
      <c r="E298" s="2" t="str">
        <f>"2"</f>
        <v>2</v>
      </c>
      <c r="F298" s="3">
        <v>-77439.320000000007</v>
      </c>
    </row>
    <row r="299" spans="1:6" x14ac:dyDescent="0.25">
      <c r="A299" s="4" t="str">
        <f>"1878"</f>
        <v>1878</v>
      </c>
      <c r="B299" s="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9" s="2" t="str">
        <f>"1"</f>
        <v>1</v>
      </c>
      <c r="D299" s="2" t="str">
        <f>"7"</f>
        <v>7</v>
      </c>
      <c r="E299" s="2" t="str">
        <f t="shared" ref="E299:E310" si="55">"1"</f>
        <v>1</v>
      </c>
      <c r="F299" s="3">
        <v>-80000</v>
      </c>
    </row>
    <row r="300" spans="1:6" x14ac:dyDescent="0.25">
      <c r="A300" s="4" t="str">
        <f>"1878"</f>
        <v>1878</v>
      </c>
      <c r="B300" s="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00" s="2" t="str">
        <f>"1"</f>
        <v>1</v>
      </c>
      <c r="D300" s="2" t="str">
        <f>"9"</f>
        <v>9</v>
      </c>
      <c r="E300" s="2" t="str">
        <f t="shared" si="55"/>
        <v>1</v>
      </c>
      <c r="F300" s="3">
        <v>-24261578.710000001</v>
      </c>
    </row>
    <row r="301" spans="1:6" x14ac:dyDescent="0.25">
      <c r="A301" s="4" t="str">
        <f>"1878"</f>
        <v>1878</v>
      </c>
      <c r="B301" s="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01" s="2" t="str">
        <f>"2"</f>
        <v>2</v>
      </c>
      <c r="D301" s="2" t="str">
        <f>"7"</f>
        <v>7</v>
      </c>
      <c r="E301" s="2" t="str">
        <f t="shared" si="55"/>
        <v>1</v>
      </c>
      <c r="F301" s="3">
        <v>-4662500</v>
      </c>
    </row>
    <row r="302" spans="1:6" x14ac:dyDescent="0.25">
      <c r="A302" s="4" t="str">
        <f>"1879"</f>
        <v>1879</v>
      </c>
      <c r="B302" s="2" t="str">
        <f>"Начисленная неустойка (штраф, пеня)"</f>
        <v>Начисленная неустойка (штраф, пеня)</v>
      </c>
      <c r="C302" s="2" t="str">
        <f>"1"</f>
        <v>1</v>
      </c>
      <c r="D302" s="2" t="str">
        <f>"5"</f>
        <v>5</v>
      </c>
      <c r="E302" s="2" t="str">
        <f t="shared" si="55"/>
        <v>1</v>
      </c>
      <c r="F302" s="3">
        <v>3644969.99</v>
      </c>
    </row>
    <row r="303" spans="1:6" x14ac:dyDescent="0.25">
      <c r="A303" s="4" t="str">
        <f>"1879"</f>
        <v>1879</v>
      </c>
      <c r="B303" s="2" t="str">
        <f>"Начисленная неустойка (штраф, пеня)"</f>
        <v>Начисленная неустойка (штраф, пеня)</v>
      </c>
      <c r="C303" s="2" t="str">
        <f>"1"</f>
        <v>1</v>
      </c>
      <c r="D303" s="2" t="str">
        <f>"7"</f>
        <v>7</v>
      </c>
      <c r="E303" s="2" t="str">
        <f t="shared" si="55"/>
        <v>1</v>
      </c>
      <c r="F303" s="3">
        <v>823008307.09000003</v>
      </c>
    </row>
    <row r="304" spans="1:6" x14ac:dyDescent="0.25">
      <c r="A304" s="4" t="str">
        <f>"1879"</f>
        <v>1879</v>
      </c>
      <c r="B304" s="2" t="str">
        <f>"Начисленная неустойка (штраф, пеня)"</f>
        <v>Начисленная неустойка (штраф, пеня)</v>
      </c>
      <c r="C304" s="2" t="str">
        <f>"1"</f>
        <v>1</v>
      </c>
      <c r="D304" s="2" t="str">
        <f>"9"</f>
        <v>9</v>
      </c>
      <c r="E304" s="2" t="str">
        <f t="shared" si="55"/>
        <v>1</v>
      </c>
      <c r="F304" s="3">
        <v>857692198.27999997</v>
      </c>
    </row>
    <row r="305" spans="1:6" x14ac:dyDescent="0.25">
      <c r="A305" s="4" t="str">
        <f>"1879"</f>
        <v>1879</v>
      </c>
      <c r="B305" s="2" t="str">
        <f>"Начисленная неустойка (штраф, пеня)"</f>
        <v>Начисленная неустойка (штраф, пеня)</v>
      </c>
      <c r="C305" s="2" t="str">
        <f>"2"</f>
        <v>2</v>
      </c>
      <c r="D305" s="2" t="str">
        <f>"7"</f>
        <v>7</v>
      </c>
      <c r="E305" s="2" t="str">
        <f t="shared" si="55"/>
        <v>1</v>
      </c>
      <c r="F305" s="3">
        <v>150957000.02000001</v>
      </c>
    </row>
    <row r="306" spans="1:6" x14ac:dyDescent="0.25">
      <c r="A306" s="4" t="str">
        <f>"1879"</f>
        <v>1879</v>
      </c>
      <c r="B306" s="2" t="str">
        <f>"Начисленная неустойка (штраф, пеня)"</f>
        <v>Начисленная неустойка (штраф, пеня)</v>
      </c>
      <c r="C306" s="2" t="str">
        <f>"2"</f>
        <v>2</v>
      </c>
      <c r="D306" s="2" t="str">
        <f>"9"</f>
        <v>9</v>
      </c>
      <c r="E306" s="2" t="str">
        <f t="shared" si="55"/>
        <v>1</v>
      </c>
      <c r="F306" s="3">
        <v>1119489.1000000001</v>
      </c>
    </row>
    <row r="307" spans="1:6" x14ac:dyDescent="0.25">
      <c r="A307" s="4" t="str">
        <f>"1892"</f>
        <v>1892</v>
      </c>
      <c r="B307" s="2" t="str">
        <f>"Требования по операциям форвард"</f>
        <v>Требования по операциям форвард</v>
      </c>
      <c r="C307" s="2" t="str">
        <f>"2"</f>
        <v>2</v>
      </c>
      <c r="D307" s="2" t="str">
        <f>"4"</f>
        <v>4</v>
      </c>
      <c r="E307" s="2" t="str">
        <f t="shared" si="55"/>
        <v>1</v>
      </c>
      <c r="F307" s="3">
        <v>581798.52</v>
      </c>
    </row>
    <row r="308" spans="1:6" x14ac:dyDescent="0.25">
      <c r="A308" s="4" t="str">
        <f>"1892"</f>
        <v>1892</v>
      </c>
      <c r="B308" s="2" t="str">
        <f>"Требования по операциям форвард"</f>
        <v>Требования по операциям форвард</v>
      </c>
      <c r="C308" s="2" t="str">
        <f>"1"</f>
        <v>1</v>
      </c>
      <c r="D308" s="2" t="str">
        <f>"4"</f>
        <v>4</v>
      </c>
      <c r="E308" s="2" t="str">
        <f t="shared" si="55"/>
        <v>1</v>
      </c>
      <c r="F308" s="3">
        <v>81868389.829999998</v>
      </c>
    </row>
    <row r="309" spans="1:6" x14ac:dyDescent="0.25">
      <c r="A309" s="4" t="str">
        <f>"1892"</f>
        <v>1892</v>
      </c>
      <c r="B309" s="2" t="str">
        <f>"Требования по операциям форвард"</f>
        <v>Требования по операциям форвард</v>
      </c>
      <c r="C309" s="2" t="str">
        <f>"1"</f>
        <v>1</v>
      </c>
      <c r="D309" s="2" t="str">
        <f>"7"</f>
        <v>7</v>
      </c>
      <c r="E309" s="2" t="str">
        <f t="shared" si="55"/>
        <v>1</v>
      </c>
      <c r="F309" s="3">
        <v>1842425529.21</v>
      </c>
    </row>
    <row r="310" spans="1:6" x14ac:dyDescent="0.25">
      <c r="A310" s="4" t="str">
        <f t="shared" ref="A310:A319" si="56">"1894"</f>
        <v>1894</v>
      </c>
      <c r="B310" s="2" t="str">
        <f t="shared" ref="B310:B319" si="57">"Требования по операциям спот"</f>
        <v>Требования по операциям спот</v>
      </c>
      <c r="C310" s="2" t="str">
        <f>"1"</f>
        <v>1</v>
      </c>
      <c r="D310" s="2" t="str">
        <f>"4"</f>
        <v>4</v>
      </c>
      <c r="E310" s="2" t="str">
        <f t="shared" si="55"/>
        <v>1</v>
      </c>
      <c r="F310" s="3">
        <v>13575087500</v>
      </c>
    </row>
    <row r="311" spans="1:6" x14ac:dyDescent="0.25">
      <c r="A311" s="4" t="str">
        <f t="shared" si="56"/>
        <v>1894</v>
      </c>
      <c r="B311" s="2" t="str">
        <f t="shared" si="57"/>
        <v>Требования по операциям спот</v>
      </c>
      <c r="C311" s="2" t="str">
        <f>"1"</f>
        <v>1</v>
      </c>
      <c r="D311" s="2" t="str">
        <f>"4"</f>
        <v>4</v>
      </c>
      <c r="E311" s="2" t="str">
        <f>"2"</f>
        <v>2</v>
      </c>
      <c r="F311" s="3">
        <v>7316540000</v>
      </c>
    </row>
    <row r="312" spans="1:6" x14ac:dyDescent="0.25">
      <c r="A312" s="4" t="str">
        <f t="shared" si="56"/>
        <v>1894</v>
      </c>
      <c r="B312" s="2" t="str">
        <f t="shared" si="57"/>
        <v>Требования по операциям спот</v>
      </c>
      <c r="C312" s="2" t="str">
        <f>"1"</f>
        <v>1</v>
      </c>
      <c r="D312" s="2" t="str">
        <f>"5"</f>
        <v>5</v>
      </c>
      <c r="E312" s="2" t="str">
        <f>"1"</f>
        <v>1</v>
      </c>
      <c r="F312" s="3">
        <v>22628911800</v>
      </c>
    </row>
    <row r="313" spans="1:6" x14ac:dyDescent="0.25">
      <c r="A313" s="4" t="str">
        <f t="shared" si="56"/>
        <v>1894</v>
      </c>
      <c r="B313" s="2" t="str">
        <f t="shared" si="57"/>
        <v>Требования по операциям спот</v>
      </c>
      <c r="C313" s="2" t="str">
        <f>"2"</f>
        <v>2</v>
      </c>
      <c r="D313" s="2" t="str">
        <f>"4"</f>
        <v>4</v>
      </c>
      <c r="E313" s="2" t="str">
        <f>"1"</f>
        <v>1</v>
      </c>
      <c r="F313" s="3">
        <v>2260500000</v>
      </c>
    </row>
    <row r="314" spans="1:6" x14ac:dyDescent="0.25">
      <c r="A314" s="4" t="str">
        <f t="shared" si="56"/>
        <v>1894</v>
      </c>
      <c r="B314" s="2" t="str">
        <f t="shared" si="57"/>
        <v>Требования по операциям спот</v>
      </c>
      <c r="C314" s="2" t="str">
        <f>"1"</f>
        <v>1</v>
      </c>
      <c r="D314" s="2" t="str">
        <f>"5"</f>
        <v>5</v>
      </c>
      <c r="E314" s="2" t="str">
        <f>"3"</f>
        <v>3</v>
      </c>
      <c r="F314" s="3">
        <v>488300000</v>
      </c>
    </row>
    <row r="315" spans="1:6" x14ac:dyDescent="0.25">
      <c r="A315" s="4" t="str">
        <f t="shared" si="56"/>
        <v>1894</v>
      </c>
      <c r="B315" s="2" t="str">
        <f t="shared" si="57"/>
        <v>Требования по операциям спот</v>
      </c>
      <c r="C315" s="2" t="str">
        <f>"2"</f>
        <v>2</v>
      </c>
      <c r="D315" s="2" t="str">
        <f>"4"</f>
        <v>4</v>
      </c>
      <c r="E315" s="2" t="str">
        <f>"2"</f>
        <v>2</v>
      </c>
      <c r="F315" s="3">
        <v>5699419000</v>
      </c>
    </row>
    <row r="316" spans="1:6" x14ac:dyDescent="0.25">
      <c r="A316" s="4" t="str">
        <f t="shared" si="56"/>
        <v>1894</v>
      </c>
      <c r="B316" s="2" t="str">
        <f t="shared" si="57"/>
        <v>Требования по операциям спот</v>
      </c>
      <c r="C316" s="2" t="str">
        <f>"2"</f>
        <v>2</v>
      </c>
      <c r="D316" s="2" t="str">
        <f>"5"</f>
        <v>5</v>
      </c>
      <c r="E316" s="2" t="str">
        <f>"3"</f>
        <v>3</v>
      </c>
      <c r="F316" s="3">
        <v>227059500</v>
      </c>
    </row>
    <row r="317" spans="1:6" x14ac:dyDescent="0.25">
      <c r="A317" s="4" t="str">
        <f t="shared" si="56"/>
        <v>1894</v>
      </c>
      <c r="B317" s="2" t="str">
        <f t="shared" si="57"/>
        <v>Требования по операциям спот</v>
      </c>
      <c r="C317" s="2" t="str">
        <f>"2"</f>
        <v>2</v>
      </c>
      <c r="D317" s="2" t="str">
        <f>"4"</f>
        <v>4</v>
      </c>
      <c r="E317" s="2" t="str">
        <f>"3"</f>
        <v>3</v>
      </c>
      <c r="F317" s="3">
        <v>1498740989</v>
      </c>
    </row>
    <row r="318" spans="1:6" x14ac:dyDescent="0.25">
      <c r="A318" s="4" t="str">
        <f t="shared" si="56"/>
        <v>1894</v>
      </c>
      <c r="B318" s="2" t="str">
        <f t="shared" si="57"/>
        <v>Требования по операциям спот</v>
      </c>
      <c r="C318" s="2" t="str">
        <f>"2"</f>
        <v>2</v>
      </c>
      <c r="D318" s="2" t="str">
        <f>"5"</f>
        <v>5</v>
      </c>
      <c r="E318" s="2" t="str">
        <f>"1"</f>
        <v>1</v>
      </c>
      <c r="F318" s="3">
        <v>285218550</v>
      </c>
    </row>
    <row r="319" spans="1:6" x14ac:dyDescent="0.25">
      <c r="A319" s="4" t="str">
        <f t="shared" si="56"/>
        <v>1894</v>
      </c>
      <c r="B319" s="2" t="str">
        <f t="shared" si="57"/>
        <v>Требования по операциям спот</v>
      </c>
      <c r="C319" s="2" t="str">
        <f>"2"</f>
        <v>2</v>
      </c>
      <c r="D319" s="2" t="str">
        <f>"5"</f>
        <v>5</v>
      </c>
      <c r="E319" s="2" t="str">
        <f>"2"</f>
        <v>2</v>
      </c>
      <c r="F319" s="3">
        <v>2765037880</v>
      </c>
    </row>
    <row r="320" spans="1:6" x14ac:dyDescent="0.25">
      <c r="A320" s="4" t="str">
        <f>"1895"</f>
        <v>1895</v>
      </c>
      <c r="B320" s="2" t="str">
        <f>"Требования по операциям своп"</f>
        <v>Требования по операциям своп</v>
      </c>
      <c r="C320" s="2" t="str">
        <f>"1"</f>
        <v>1</v>
      </c>
      <c r="D320" s="2" t="str">
        <f>"5"</f>
        <v>5</v>
      </c>
      <c r="E320" s="2" t="str">
        <f>"1"</f>
        <v>1</v>
      </c>
      <c r="F320" s="3">
        <v>1477803843.74</v>
      </c>
    </row>
    <row r="321" spans="1:6" x14ac:dyDescent="0.25">
      <c r="A321" s="4" t="str">
        <f>"2013"</f>
        <v>2013</v>
      </c>
      <c r="B321" s="2" t="str">
        <f>"Корреспондентские счета других банков"</f>
        <v>Корреспондентские счета других банков</v>
      </c>
      <c r="C321" s="2" t="str">
        <f>"1"</f>
        <v>1</v>
      </c>
      <c r="D321" s="2" t="str">
        <f>"4"</f>
        <v>4</v>
      </c>
      <c r="E321" s="2" t="str">
        <f>"2"</f>
        <v>2</v>
      </c>
      <c r="F321" s="3">
        <v>8303173976.2200003</v>
      </c>
    </row>
    <row r="322" spans="1:6" x14ac:dyDescent="0.25">
      <c r="A322" s="4" t="str">
        <f>"2013"</f>
        <v>2013</v>
      </c>
      <c r="B322" s="2" t="str">
        <f>"Корреспондентские счета других банков"</f>
        <v>Корреспондентские счета других банков</v>
      </c>
      <c r="C322" s="2" t="str">
        <f>"1"</f>
        <v>1</v>
      </c>
      <c r="D322" s="2" t="str">
        <f>"4"</f>
        <v>4</v>
      </c>
      <c r="E322" s="2" t="str">
        <f>"3"</f>
        <v>3</v>
      </c>
      <c r="F322" s="3">
        <v>3160776030.21</v>
      </c>
    </row>
    <row r="323" spans="1:6" x14ac:dyDescent="0.25">
      <c r="A323" s="4" t="str">
        <f>"2013"</f>
        <v>2013</v>
      </c>
      <c r="B323" s="2" t="str">
        <f>"Корреспондентские счета других банков"</f>
        <v>Корреспондентские счета других банков</v>
      </c>
      <c r="C323" s="2" t="str">
        <f>"2"</f>
        <v>2</v>
      </c>
      <c r="D323" s="2" t="str">
        <f>"4"</f>
        <v>4</v>
      </c>
      <c r="E323" s="2" t="str">
        <f>"1"</f>
        <v>1</v>
      </c>
      <c r="F323" s="3">
        <v>2154965167.5</v>
      </c>
    </row>
    <row r="324" spans="1:6" x14ac:dyDescent="0.25">
      <c r="A324" s="4" t="str">
        <f>"2013"</f>
        <v>2013</v>
      </c>
      <c r="B324" s="2" t="str">
        <f>"Корреспондентские счета других банков"</f>
        <v>Корреспондентские счета других банков</v>
      </c>
      <c r="C324" s="2" t="str">
        <f>"2"</f>
        <v>2</v>
      </c>
      <c r="D324" s="2" t="str">
        <f>"4"</f>
        <v>4</v>
      </c>
      <c r="E324" s="2" t="str">
        <f>"2"</f>
        <v>2</v>
      </c>
      <c r="F324" s="3">
        <v>5051488674.0799999</v>
      </c>
    </row>
    <row r="325" spans="1:6" x14ac:dyDescent="0.25">
      <c r="A325" s="4" t="str">
        <f>"2013"</f>
        <v>2013</v>
      </c>
      <c r="B325" s="2" t="str">
        <f>"Корреспондентские счета других банков"</f>
        <v>Корреспондентские счета других банков</v>
      </c>
      <c r="C325" s="2" t="str">
        <f>"2"</f>
        <v>2</v>
      </c>
      <c r="D325" s="2" t="str">
        <f>"4"</f>
        <v>4</v>
      </c>
      <c r="E325" s="2" t="str">
        <f>"3"</f>
        <v>3</v>
      </c>
      <c r="F325" s="3">
        <v>161920217.69999999</v>
      </c>
    </row>
    <row r="326" spans="1:6" x14ac:dyDescent="0.25">
      <c r="A326" s="4" t="str">
        <f>"2014"</f>
        <v>2014</v>
      </c>
      <c r="B326" s="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26" s="2" t="str">
        <f>"2"</f>
        <v>2</v>
      </c>
      <c r="D326" s="2" t="str">
        <f>"5"</f>
        <v>5</v>
      </c>
      <c r="E326" s="2" t="str">
        <f>"2"</f>
        <v>2</v>
      </c>
      <c r="F326" s="3">
        <v>8351.7099999999991</v>
      </c>
    </row>
    <row r="327" spans="1:6" x14ac:dyDescent="0.25">
      <c r="A327" s="4" t="str">
        <f>"2036"</f>
        <v>2036</v>
      </c>
      <c r="B327" s="2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C327" s="2" t="str">
        <f>"1"</f>
        <v>1</v>
      </c>
      <c r="D327" s="2" t="str">
        <f>"1"</f>
        <v>1</v>
      </c>
      <c r="E327" s="2" t="str">
        <f>"2"</f>
        <v>2</v>
      </c>
      <c r="F327" s="3">
        <v>49081949.670000002</v>
      </c>
    </row>
    <row r="328" spans="1:6" x14ac:dyDescent="0.25">
      <c r="A328" s="4" t="str">
        <f>"2036"</f>
        <v>2036</v>
      </c>
      <c r="B328" s="2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C328" s="2" t="str">
        <f>"1"</f>
        <v>1</v>
      </c>
      <c r="D328" s="2" t="str">
        <f>"1"</f>
        <v>1</v>
      </c>
      <c r="E328" s="2" t="str">
        <f>"1"</f>
        <v>1</v>
      </c>
      <c r="F328" s="3">
        <v>50098749</v>
      </c>
    </row>
    <row r="329" spans="1:6" x14ac:dyDescent="0.25">
      <c r="A329" s="4" t="str">
        <f>"2056"</f>
        <v>2056</v>
      </c>
      <c r="B329" s="2" t="str">
        <f>"Долгосрочные займы, полученные от других банков"</f>
        <v>Долгосрочные займы, полученные от других банков</v>
      </c>
      <c r="C329" s="2" t="str">
        <f>"1"</f>
        <v>1</v>
      </c>
      <c r="D329" s="2" t="str">
        <f>"4"</f>
        <v>4</v>
      </c>
      <c r="E329" s="2" t="str">
        <f>"1"</f>
        <v>1</v>
      </c>
      <c r="F329" s="3">
        <v>23893122019.099998</v>
      </c>
    </row>
    <row r="330" spans="1:6" x14ac:dyDescent="0.25">
      <c r="A330" s="4" t="str">
        <f>"2066"</f>
        <v>2066</v>
      </c>
      <c r="B330" s="2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330" s="2" t="str">
        <f>"1"</f>
        <v>1</v>
      </c>
      <c r="D330" s="2" t="str">
        <f>"5"</f>
        <v>5</v>
      </c>
      <c r="E330" s="2" t="str">
        <f>"1"</f>
        <v>1</v>
      </c>
      <c r="F330" s="3">
        <v>44113077255.339996</v>
      </c>
    </row>
    <row r="331" spans="1:6" x14ac:dyDescent="0.25">
      <c r="A331" s="4" t="str">
        <f>"2123"</f>
        <v>2123</v>
      </c>
      <c r="B331" s="2" t="str">
        <f>"Краткосрочные вклады других банков (до одного месяца)"</f>
        <v>Краткосрочные вклады других банков (до одного месяца)</v>
      </c>
      <c r="C331" s="2" t="str">
        <f>"2"</f>
        <v>2</v>
      </c>
      <c r="D331" s="2" t="str">
        <f>"4"</f>
        <v>4</v>
      </c>
      <c r="E331" s="2" t="str">
        <f>"3"</f>
        <v>3</v>
      </c>
      <c r="F331" s="3">
        <v>719600000</v>
      </c>
    </row>
    <row r="332" spans="1:6" x14ac:dyDescent="0.25">
      <c r="A332" s="4" t="str">
        <f>"2123"</f>
        <v>2123</v>
      </c>
      <c r="B332" s="2" t="str">
        <f>"Краткосрочные вклады других банков (до одного месяца)"</f>
        <v>Краткосрочные вклады других банков (до одного месяца)</v>
      </c>
      <c r="C332" s="2" t="str">
        <f>"2"</f>
        <v>2</v>
      </c>
      <c r="D332" s="2" t="str">
        <f>"4"</f>
        <v>4</v>
      </c>
      <c r="E332" s="2" t="str">
        <f>"1"</f>
        <v>1</v>
      </c>
      <c r="F332" s="3">
        <v>430000000</v>
      </c>
    </row>
    <row r="333" spans="1:6" x14ac:dyDescent="0.25">
      <c r="A333" s="4" t="str">
        <f>"2130"</f>
        <v>2130</v>
      </c>
      <c r="B333" s="2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333" s="2" t="str">
        <f t="shared" ref="C333:C347" si="58">"1"</f>
        <v>1</v>
      </c>
      <c r="D333" s="2" t="str">
        <f>"4"</f>
        <v>4</v>
      </c>
      <c r="E333" s="2" t="str">
        <f>"2"</f>
        <v>2</v>
      </c>
      <c r="F333" s="3">
        <v>678765000</v>
      </c>
    </row>
    <row r="334" spans="1:6" x14ac:dyDescent="0.25">
      <c r="A334" s="4" t="str">
        <f>"2202"</f>
        <v>2202</v>
      </c>
      <c r="B334" s="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34" s="2" t="str">
        <f t="shared" si="58"/>
        <v>1</v>
      </c>
      <c r="D334" s="2" t="str">
        <f>"5"</f>
        <v>5</v>
      </c>
      <c r="E334" s="2" t="str">
        <f>"1"</f>
        <v>1</v>
      </c>
      <c r="F334" s="3">
        <v>62433449.079999998</v>
      </c>
    </row>
    <row r="335" spans="1:6" x14ac:dyDescent="0.25">
      <c r="A335" s="4" t="str">
        <f>"2202"</f>
        <v>2202</v>
      </c>
      <c r="B335" s="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35" s="2" t="str">
        <f t="shared" si="58"/>
        <v>1</v>
      </c>
      <c r="D335" s="2" t="str">
        <f>"5"</f>
        <v>5</v>
      </c>
      <c r="E335" s="2" t="str">
        <f>"2"</f>
        <v>2</v>
      </c>
      <c r="F335" s="3">
        <v>205003905.15000001</v>
      </c>
    </row>
    <row r="336" spans="1:6" x14ac:dyDescent="0.25">
      <c r="A336" s="4" t="str">
        <f t="shared" ref="A336:A358" si="59">"2203"</f>
        <v>2203</v>
      </c>
      <c r="B336" s="2" t="str">
        <f t="shared" ref="B336:B358" si="60">"Текущие счета юридических лиц"</f>
        <v>Текущие счета юридических лиц</v>
      </c>
      <c r="C336" s="2" t="str">
        <f t="shared" si="58"/>
        <v>1</v>
      </c>
      <c r="D336" s="2" t="str">
        <f>"2"</f>
        <v>2</v>
      </c>
      <c r="E336" s="2" t="str">
        <f>"1"</f>
        <v>1</v>
      </c>
      <c r="F336" s="3">
        <v>15709308.67</v>
      </c>
    </row>
    <row r="337" spans="1:6" x14ac:dyDescent="0.25">
      <c r="A337" s="4" t="str">
        <f t="shared" si="59"/>
        <v>2203</v>
      </c>
      <c r="B337" s="2" t="str">
        <f t="shared" si="60"/>
        <v>Текущие счета юридических лиц</v>
      </c>
      <c r="C337" s="2" t="str">
        <f t="shared" si="58"/>
        <v>1</v>
      </c>
      <c r="D337" s="2" t="str">
        <f>"5"</f>
        <v>5</v>
      </c>
      <c r="E337" s="2" t="str">
        <f>"1"</f>
        <v>1</v>
      </c>
      <c r="F337" s="3">
        <v>1541082689.99</v>
      </c>
    </row>
    <row r="338" spans="1:6" x14ac:dyDescent="0.25">
      <c r="A338" s="4" t="str">
        <f t="shared" si="59"/>
        <v>2203</v>
      </c>
      <c r="B338" s="2" t="str">
        <f t="shared" si="60"/>
        <v>Текущие счета юридических лиц</v>
      </c>
      <c r="C338" s="2" t="str">
        <f t="shared" si="58"/>
        <v>1</v>
      </c>
      <c r="D338" s="2" t="str">
        <f>"5"</f>
        <v>5</v>
      </c>
      <c r="E338" s="2" t="str">
        <f>"2"</f>
        <v>2</v>
      </c>
      <c r="F338" s="3">
        <v>6088405811.6599998</v>
      </c>
    </row>
    <row r="339" spans="1:6" x14ac:dyDescent="0.25">
      <c r="A339" s="4" t="str">
        <f t="shared" si="59"/>
        <v>2203</v>
      </c>
      <c r="B339" s="2" t="str">
        <f t="shared" si="60"/>
        <v>Текущие счета юридических лиц</v>
      </c>
      <c r="C339" s="2" t="str">
        <f t="shared" si="58"/>
        <v>1</v>
      </c>
      <c r="D339" s="2" t="str">
        <f>"5"</f>
        <v>5</v>
      </c>
      <c r="E339" s="2" t="str">
        <f>"3"</f>
        <v>3</v>
      </c>
      <c r="F339" s="3">
        <v>340112692.07999998</v>
      </c>
    </row>
    <row r="340" spans="1:6" x14ac:dyDescent="0.25">
      <c r="A340" s="4" t="str">
        <f t="shared" si="59"/>
        <v>2203</v>
      </c>
      <c r="B340" s="2" t="str">
        <f t="shared" si="60"/>
        <v>Текущие счета юридических лиц</v>
      </c>
      <c r="C340" s="2" t="str">
        <f t="shared" si="58"/>
        <v>1</v>
      </c>
      <c r="D340" s="2" t="str">
        <f>"6"</f>
        <v>6</v>
      </c>
      <c r="E340" s="2" t="str">
        <f>"2"</f>
        <v>2</v>
      </c>
      <c r="F340" s="3">
        <v>1341076248.47</v>
      </c>
    </row>
    <row r="341" spans="1:6" x14ac:dyDescent="0.25">
      <c r="A341" s="4" t="str">
        <f t="shared" si="59"/>
        <v>2203</v>
      </c>
      <c r="B341" s="2" t="str">
        <f t="shared" si="60"/>
        <v>Текущие счета юридических лиц</v>
      </c>
      <c r="C341" s="2" t="str">
        <f t="shared" si="58"/>
        <v>1</v>
      </c>
      <c r="D341" s="2" t="str">
        <f>"6"</f>
        <v>6</v>
      </c>
      <c r="E341" s="2" t="str">
        <f>"1"</f>
        <v>1</v>
      </c>
      <c r="F341" s="3">
        <v>44490147693.239998</v>
      </c>
    </row>
    <row r="342" spans="1:6" x14ac:dyDescent="0.25">
      <c r="A342" s="4" t="str">
        <f t="shared" si="59"/>
        <v>2203</v>
      </c>
      <c r="B342" s="2" t="str">
        <f t="shared" si="60"/>
        <v>Текущие счета юридических лиц</v>
      </c>
      <c r="C342" s="2" t="str">
        <f t="shared" si="58"/>
        <v>1</v>
      </c>
      <c r="D342" s="2" t="str">
        <f>"7"</f>
        <v>7</v>
      </c>
      <c r="E342" s="2" t="str">
        <f>"2"</f>
        <v>2</v>
      </c>
      <c r="F342" s="3">
        <v>58340445047.769997</v>
      </c>
    </row>
    <row r="343" spans="1:6" x14ac:dyDescent="0.25">
      <c r="A343" s="4" t="str">
        <f t="shared" si="59"/>
        <v>2203</v>
      </c>
      <c r="B343" s="2" t="str">
        <f t="shared" si="60"/>
        <v>Текущие счета юридических лиц</v>
      </c>
      <c r="C343" s="2" t="str">
        <f t="shared" si="58"/>
        <v>1</v>
      </c>
      <c r="D343" s="2" t="str">
        <f>"7"</f>
        <v>7</v>
      </c>
      <c r="E343" s="2" t="str">
        <f>"1"</f>
        <v>1</v>
      </c>
      <c r="F343" s="3">
        <v>58661084440.800003</v>
      </c>
    </row>
    <row r="344" spans="1:6" x14ac:dyDescent="0.25">
      <c r="A344" s="4" t="str">
        <f t="shared" si="59"/>
        <v>2203</v>
      </c>
      <c r="B344" s="2" t="str">
        <f t="shared" si="60"/>
        <v>Текущие счета юридических лиц</v>
      </c>
      <c r="C344" s="2" t="str">
        <f t="shared" si="58"/>
        <v>1</v>
      </c>
      <c r="D344" s="2" t="str">
        <f>"6"</f>
        <v>6</v>
      </c>
      <c r="E344" s="2" t="str">
        <f>"3"</f>
        <v>3</v>
      </c>
      <c r="F344" s="3">
        <v>2446696.79</v>
      </c>
    </row>
    <row r="345" spans="1:6" x14ac:dyDescent="0.25">
      <c r="A345" s="4" t="str">
        <f t="shared" si="59"/>
        <v>2203</v>
      </c>
      <c r="B345" s="2" t="str">
        <f t="shared" si="60"/>
        <v>Текущие счета юридических лиц</v>
      </c>
      <c r="C345" s="2" t="str">
        <f t="shared" si="58"/>
        <v>1</v>
      </c>
      <c r="D345" s="2" t="str">
        <f>"7"</f>
        <v>7</v>
      </c>
      <c r="E345" s="2" t="str">
        <f>"3"</f>
        <v>3</v>
      </c>
      <c r="F345" s="3">
        <v>6029529342.6899996</v>
      </c>
    </row>
    <row r="346" spans="1:6" x14ac:dyDescent="0.25">
      <c r="A346" s="4" t="str">
        <f t="shared" si="59"/>
        <v>2203</v>
      </c>
      <c r="B346" s="2" t="str">
        <f t="shared" si="60"/>
        <v>Текущие счета юридических лиц</v>
      </c>
      <c r="C346" s="2" t="str">
        <f t="shared" si="58"/>
        <v>1</v>
      </c>
      <c r="D346" s="2" t="str">
        <f>"8"</f>
        <v>8</v>
      </c>
      <c r="E346" s="2" t="str">
        <f>"1"</f>
        <v>1</v>
      </c>
      <c r="F346" s="3">
        <v>2880368472.8200002</v>
      </c>
    </row>
    <row r="347" spans="1:6" x14ac:dyDescent="0.25">
      <c r="A347" s="4" t="str">
        <f t="shared" si="59"/>
        <v>2203</v>
      </c>
      <c r="B347" s="2" t="str">
        <f t="shared" si="60"/>
        <v>Текущие счета юридических лиц</v>
      </c>
      <c r="C347" s="2" t="str">
        <f t="shared" si="58"/>
        <v>1</v>
      </c>
      <c r="D347" s="2" t="str">
        <f>"8"</f>
        <v>8</v>
      </c>
      <c r="E347" s="2" t="str">
        <f>"3"</f>
        <v>3</v>
      </c>
      <c r="F347" s="3">
        <v>800329.05</v>
      </c>
    </row>
    <row r="348" spans="1:6" x14ac:dyDescent="0.25">
      <c r="A348" s="4" t="str">
        <f t="shared" si="59"/>
        <v>2203</v>
      </c>
      <c r="B348" s="2" t="str">
        <f t="shared" si="60"/>
        <v>Текущие счета юридических лиц</v>
      </c>
      <c r="C348" s="2" t="str">
        <f>"2"</f>
        <v>2</v>
      </c>
      <c r="D348" s="2" t="str">
        <f>"1"</f>
        <v>1</v>
      </c>
      <c r="E348" s="2" t="str">
        <f>"1"</f>
        <v>1</v>
      </c>
      <c r="F348" s="3">
        <v>66204952.5</v>
      </c>
    </row>
    <row r="349" spans="1:6" x14ac:dyDescent="0.25">
      <c r="A349" s="4" t="str">
        <f t="shared" si="59"/>
        <v>2203</v>
      </c>
      <c r="B349" s="2" t="str">
        <f t="shared" si="60"/>
        <v>Текущие счета юридических лиц</v>
      </c>
      <c r="C349" s="2" t="str">
        <f>"1"</f>
        <v>1</v>
      </c>
      <c r="D349" s="2" t="str">
        <f>"8"</f>
        <v>8</v>
      </c>
      <c r="E349" s="2" t="str">
        <f>"2"</f>
        <v>2</v>
      </c>
      <c r="F349" s="3">
        <v>22864082290.220001</v>
      </c>
    </row>
    <row r="350" spans="1:6" x14ac:dyDescent="0.25">
      <c r="A350" s="4" t="str">
        <f t="shared" si="59"/>
        <v>2203</v>
      </c>
      <c r="B350" s="2" t="str">
        <f t="shared" si="60"/>
        <v>Текущие счета юридических лиц</v>
      </c>
      <c r="C350" s="2" t="str">
        <f t="shared" ref="C350:C358" si="61">"2"</f>
        <v>2</v>
      </c>
      <c r="D350" s="2" t="str">
        <f>"1"</f>
        <v>1</v>
      </c>
      <c r="E350" s="2" t="str">
        <f>"2"</f>
        <v>2</v>
      </c>
      <c r="F350" s="3">
        <v>43780009.310000002</v>
      </c>
    </row>
    <row r="351" spans="1:6" x14ac:dyDescent="0.25">
      <c r="A351" s="4" t="str">
        <f t="shared" si="59"/>
        <v>2203</v>
      </c>
      <c r="B351" s="2" t="str">
        <f t="shared" si="60"/>
        <v>Текущие счета юридических лиц</v>
      </c>
      <c r="C351" s="2" t="str">
        <f t="shared" si="61"/>
        <v>2</v>
      </c>
      <c r="D351" s="2" t="str">
        <f>"5"</f>
        <v>5</v>
      </c>
      <c r="E351" s="2" t="str">
        <f>"1"</f>
        <v>1</v>
      </c>
      <c r="F351" s="3">
        <v>88003414.920000002</v>
      </c>
    </row>
    <row r="352" spans="1:6" x14ac:dyDescent="0.25">
      <c r="A352" s="4" t="str">
        <f t="shared" si="59"/>
        <v>2203</v>
      </c>
      <c r="B352" s="2" t="str">
        <f t="shared" si="60"/>
        <v>Текущие счета юридических лиц</v>
      </c>
      <c r="C352" s="2" t="str">
        <f t="shared" si="61"/>
        <v>2</v>
      </c>
      <c r="D352" s="2" t="str">
        <f>"5"</f>
        <v>5</v>
      </c>
      <c r="E352" s="2" t="str">
        <f>"2"</f>
        <v>2</v>
      </c>
      <c r="F352" s="3">
        <v>9678177127.2199993</v>
      </c>
    </row>
    <row r="353" spans="1:6" x14ac:dyDescent="0.25">
      <c r="A353" s="4" t="str">
        <f t="shared" si="59"/>
        <v>2203</v>
      </c>
      <c r="B353" s="2" t="str">
        <f t="shared" si="60"/>
        <v>Текущие счета юридических лиц</v>
      </c>
      <c r="C353" s="2" t="str">
        <f t="shared" si="61"/>
        <v>2</v>
      </c>
      <c r="D353" s="2" t="str">
        <f>"5"</f>
        <v>5</v>
      </c>
      <c r="E353" s="2" t="str">
        <f>"3"</f>
        <v>3</v>
      </c>
      <c r="F353" s="3">
        <v>3231664.69</v>
      </c>
    </row>
    <row r="354" spans="1:6" x14ac:dyDescent="0.25">
      <c r="A354" s="4" t="str">
        <f t="shared" si="59"/>
        <v>2203</v>
      </c>
      <c r="B354" s="2" t="str">
        <f t="shared" si="60"/>
        <v>Текущие счета юридических лиц</v>
      </c>
      <c r="C354" s="2" t="str">
        <f t="shared" si="61"/>
        <v>2</v>
      </c>
      <c r="D354" s="2" t="str">
        <f>"7"</f>
        <v>7</v>
      </c>
      <c r="E354" s="2" t="str">
        <f>"2"</f>
        <v>2</v>
      </c>
      <c r="F354" s="3">
        <v>111036947187.87</v>
      </c>
    </row>
    <row r="355" spans="1:6" x14ac:dyDescent="0.25">
      <c r="A355" s="4" t="str">
        <f t="shared" si="59"/>
        <v>2203</v>
      </c>
      <c r="B355" s="2" t="str">
        <f t="shared" si="60"/>
        <v>Текущие счета юридических лиц</v>
      </c>
      <c r="C355" s="2" t="str">
        <f t="shared" si="61"/>
        <v>2</v>
      </c>
      <c r="D355" s="2" t="str">
        <f>"7"</f>
        <v>7</v>
      </c>
      <c r="E355" s="2" t="str">
        <f>"1"</f>
        <v>1</v>
      </c>
      <c r="F355" s="3">
        <v>922948518.87</v>
      </c>
    </row>
    <row r="356" spans="1:6" x14ac:dyDescent="0.25">
      <c r="A356" s="4" t="str">
        <f t="shared" si="59"/>
        <v>2203</v>
      </c>
      <c r="B356" s="2" t="str">
        <f t="shared" si="60"/>
        <v>Текущие счета юридических лиц</v>
      </c>
      <c r="C356" s="2" t="str">
        <f t="shared" si="61"/>
        <v>2</v>
      </c>
      <c r="D356" s="2" t="str">
        <f>"7"</f>
        <v>7</v>
      </c>
      <c r="E356" s="2" t="str">
        <f>"3"</f>
        <v>3</v>
      </c>
      <c r="F356" s="3">
        <v>81665919820.880005</v>
      </c>
    </row>
    <row r="357" spans="1:6" x14ac:dyDescent="0.25">
      <c r="A357" s="4" t="str">
        <f t="shared" si="59"/>
        <v>2203</v>
      </c>
      <c r="B357" s="2" t="str">
        <f t="shared" si="60"/>
        <v>Текущие счета юридических лиц</v>
      </c>
      <c r="C357" s="2" t="str">
        <f t="shared" si="61"/>
        <v>2</v>
      </c>
      <c r="D357" s="2" t="str">
        <f>"8"</f>
        <v>8</v>
      </c>
      <c r="E357" s="2" t="str">
        <f>"1"</f>
        <v>1</v>
      </c>
      <c r="F357" s="3">
        <v>19331415.449999999</v>
      </c>
    </row>
    <row r="358" spans="1:6" x14ac:dyDescent="0.25">
      <c r="A358" s="4" t="str">
        <f t="shared" si="59"/>
        <v>2203</v>
      </c>
      <c r="B358" s="2" t="str">
        <f t="shared" si="60"/>
        <v>Текущие счета юридических лиц</v>
      </c>
      <c r="C358" s="2" t="str">
        <f t="shared" si="61"/>
        <v>2</v>
      </c>
      <c r="D358" s="2" t="str">
        <f>"8"</f>
        <v>8</v>
      </c>
      <c r="E358" s="2" t="str">
        <f>"2"</f>
        <v>2</v>
      </c>
      <c r="F358" s="3">
        <v>57862001.189999998</v>
      </c>
    </row>
    <row r="359" spans="1:6" x14ac:dyDescent="0.25">
      <c r="A359" s="4" t="str">
        <f t="shared" ref="A359:A364" si="62">"2204"</f>
        <v>2204</v>
      </c>
      <c r="B359" s="2" t="str">
        <f t="shared" ref="B359:B364" si="63">"Текущие счета физических лиц"</f>
        <v>Текущие счета физических лиц</v>
      </c>
      <c r="C359" s="2" t="str">
        <f>"1"</f>
        <v>1</v>
      </c>
      <c r="D359" s="2" t="str">
        <f t="shared" ref="D359:D384" si="64">"9"</f>
        <v>9</v>
      </c>
      <c r="E359" s="2" t="str">
        <f>"1"</f>
        <v>1</v>
      </c>
      <c r="F359" s="3">
        <v>51257504502.440002</v>
      </c>
    </row>
    <row r="360" spans="1:6" x14ac:dyDescent="0.25">
      <c r="A360" s="4" t="str">
        <f t="shared" si="62"/>
        <v>2204</v>
      </c>
      <c r="B360" s="2" t="str">
        <f t="shared" si="63"/>
        <v>Текущие счета физических лиц</v>
      </c>
      <c r="C360" s="2" t="str">
        <f>"1"</f>
        <v>1</v>
      </c>
      <c r="D360" s="2" t="str">
        <f t="shared" si="64"/>
        <v>9</v>
      </c>
      <c r="E360" s="2" t="str">
        <f>"2"</f>
        <v>2</v>
      </c>
      <c r="F360" s="3">
        <v>19216067431.48</v>
      </c>
    </row>
    <row r="361" spans="1:6" x14ac:dyDescent="0.25">
      <c r="A361" s="4" t="str">
        <f t="shared" si="62"/>
        <v>2204</v>
      </c>
      <c r="B361" s="2" t="str">
        <f t="shared" si="63"/>
        <v>Текущие счета физических лиц</v>
      </c>
      <c r="C361" s="2" t="str">
        <f>"2"</f>
        <v>2</v>
      </c>
      <c r="D361" s="2" t="str">
        <f t="shared" si="64"/>
        <v>9</v>
      </c>
      <c r="E361" s="2" t="str">
        <f>"1"</f>
        <v>1</v>
      </c>
      <c r="F361" s="3">
        <v>3684434934.3099999</v>
      </c>
    </row>
    <row r="362" spans="1:6" x14ac:dyDescent="0.25">
      <c r="A362" s="4" t="str">
        <f t="shared" si="62"/>
        <v>2204</v>
      </c>
      <c r="B362" s="2" t="str">
        <f t="shared" si="63"/>
        <v>Текущие счета физических лиц</v>
      </c>
      <c r="C362" s="2" t="str">
        <f>"2"</f>
        <v>2</v>
      </c>
      <c r="D362" s="2" t="str">
        <f t="shared" si="64"/>
        <v>9</v>
      </c>
      <c r="E362" s="2" t="str">
        <f>"2"</f>
        <v>2</v>
      </c>
      <c r="F362" s="3">
        <v>218522904744.89999</v>
      </c>
    </row>
    <row r="363" spans="1:6" x14ac:dyDescent="0.25">
      <c r="A363" s="4" t="str">
        <f t="shared" si="62"/>
        <v>2204</v>
      </c>
      <c r="B363" s="2" t="str">
        <f t="shared" si="63"/>
        <v>Текущие счета физических лиц</v>
      </c>
      <c r="C363" s="2" t="str">
        <f>"1"</f>
        <v>1</v>
      </c>
      <c r="D363" s="2" t="str">
        <f t="shared" si="64"/>
        <v>9</v>
      </c>
      <c r="E363" s="2" t="str">
        <f>"3"</f>
        <v>3</v>
      </c>
      <c r="F363" s="3">
        <v>786765393.96000004</v>
      </c>
    </row>
    <row r="364" spans="1:6" x14ac:dyDescent="0.25">
      <c r="A364" s="4" t="str">
        <f t="shared" si="62"/>
        <v>2204</v>
      </c>
      <c r="B364" s="2" t="str">
        <f t="shared" si="63"/>
        <v>Текущие счета физических лиц</v>
      </c>
      <c r="C364" s="2" t="str">
        <f>"2"</f>
        <v>2</v>
      </c>
      <c r="D364" s="2" t="str">
        <f t="shared" si="64"/>
        <v>9</v>
      </c>
      <c r="E364" s="2" t="str">
        <f>"3"</f>
        <v>3</v>
      </c>
      <c r="F364" s="3">
        <v>36228561485.080002</v>
      </c>
    </row>
    <row r="365" spans="1:6" x14ac:dyDescent="0.25">
      <c r="A365" s="4" t="str">
        <f t="shared" ref="A365:A370" si="65">"2205"</f>
        <v>2205</v>
      </c>
      <c r="B365" s="2" t="str">
        <f t="shared" ref="B365:B370" si="66">"Вклады до востребования физических лиц"</f>
        <v>Вклады до востребования физических лиц</v>
      </c>
      <c r="C365" s="2" t="str">
        <f>"1"</f>
        <v>1</v>
      </c>
      <c r="D365" s="2" t="str">
        <f t="shared" si="64"/>
        <v>9</v>
      </c>
      <c r="E365" s="2" t="str">
        <f>"1"</f>
        <v>1</v>
      </c>
      <c r="F365" s="3">
        <v>17519841.84</v>
      </c>
    </row>
    <row r="366" spans="1:6" x14ac:dyDescent="0.25">
      <c r="A366" s="4" t="str">
        <f t="shared" si="65"/>
        <v>2205</v>
      </c>
      <c r="B366" s="2" t="str">
        <f t="shared" si="66"/>
        <v>Вклады до востребования физических лиц</v>
      </c>
      <c r="C366" s="2" t="str">
        <f>"1"</f>
        <v>1</v>
      </c>
      <c r="D366" s="2" t="str">
        <f t="shared" si="64"/>
        <v>9</v>
      </c>
      <c r="E366" s="2" t="str">
        <f>"2"</f>
        <v>2</v>
      </c>
      <c r="F366" s="3">
        <v>6016078691.5500002</v>
      </c>
    </row>
    <row r="367" spans="1:6" x14ac:dyDescent="0.25">
      <c r="A367" s="4" t="str">
        <f t="shared" si="65"/>
        <v>2205</v>
      </c>
      <c r="B367" s="2" t="str">
        <f t="shared" si="66"/>
        <v>Вклады до востребования физических лиц</v>
      </c>
      <c r="C367" s="2" t="str">
        <f>"1"</f>
        <v>1</v>
      </c>
      <c r="D367" s="2" t="str">
        <f t="shared" si="64"/>
        <v>9</v>
      </c>
      <c r="E367" s="2" t="str">
        <f>"3"</f>
        <v>3</v>
      </c>
      <c r="F367" s="3">
        <v>4331.78</v>
      </c>
    </row>
    <row r="368" spans="1:6" x14ac:dyDescent="0.25">
      <c r="A368" s="4" t="str">
        <f t="shared" si="65"/>
        <v>2205</v>
      </c>
      <c r="B368" s="2" t="str">
        <f t="shared" si="66"/>
        <v>Вклады до востребования физических лиц</v>
      </c>
      <c r="C368" s="2" t="str">
        <f>"2"</f>
        <v>2</v>
      </c>
      <c r="D368" s="2" t="str">
        <f t="shared" si="64"/>
        <v>9</v>
      </c>
      <c r="E368" s="2" t="str">
        <f>"2"</f>
        <v>2</v>
      </c>
      <c r="F368" s="3">
        <v>26895821569.720001</v>
      </c>
    </row>
    <row r="369" spans="1:6" x14ac:dyDescent="0.25">
      <c r="A369" s="4" t="str">
        <f t="shared" si="65"/>
        <v>2205</v>
      </c>
      <c r="B369" s="2" t="str">
        <f t="shared" si="66"/>
        <v>Вклады до востребования физических лиц</v>
      </c>
      <c r="C369" s="2" t="str">
        <f>"2"</f>
        <v>2</v>
      </c>
      <c r="D369" s="2" t="str">
        <f t="shared" si="64"/>
        <v>9</v>
      </c>
      <c r="E369" s="2" t="str">
        <f>"3"</f>
        <v>3</v>
      </c>
      <c r="F369" s="3">
        <v>3503707.17</v>
      </c>
    </row>
    <row r="370" spans="1:6" x14ac:dyDescent="0.25">
      <c r="A370" s="4" t="str">
        <f t="shared" si="65"/>
        <v>2205</v>
      </c>
      <c r="B370" s="2" t="str">
        <f t="shared" si="66"/>
        <v>Вклады до востребования физических лиц</v>
      </c>
      <c r="C370" s="2" t="str">
        <f>"2"</f>
        <v>2</v>
      </c>
      <c r="D370" s="2" t="str">
        <f t="shared" si="64"/>
        <v>9</v>
      </c>
      <c r="E370" s="2" t="str">
        <f>"1"</f>
        <v>1</v>
      </c>
      <c r="F370" s="3">
        <v>5110372.6399999997</v>
      </c>
    </row>
    <row r="371" spans="1:6" x14ac:dyDescent="0.25">
      <c r="A371" s="4" t="str">
        <f t="shared" ref="A371:A376" si="67">"2206"</f>
        <v>2206</v>
      </c>
      <c r="B371" s="2" t="str">
        <f t="shared" ref="B371:B376" si="68">"Краткосрочные вклады физических лиц"</f>
        <v>Краткосрочные вклады физических лиц</v>
      </c>
      <c r="C371" s="2" t="str">
        <f>"1"</f>
        <v>1</v>
      </c>
      <c r="D371" s="2" t="str">
        <f t="shared" si="64"/>
        <v>9</v>
      </c>
      <c r="E371" s="2" t="str">
        <f>"2"</f>
        <v>2</v>
      </c>
      <c r="F371" s="3">
        <v>43609731314.220001</v>
      </c>
    </row>
    <row r="372" spans="1:6" x14ac:dyDescent="0.25">
      <c r="A372" s="4" t="str">
        <f t="shared" si="67"/>
        <v>2206</v>
      </c>
      <c r="B372" s="2" t="str">
        <f t="shared" si="68"/>
        <v>Краткосрочные вклады физических лиц</v>
      </c>
      <c r="C372" s="2" t="str">
        <f>"1"</f>
        <v>1</v>
      </c>
      <c r="D372" s="2" t="str">
        <f t="shared" si="64"/>
        <v>9</v>
      </c>
      <c r="E372" s="2" t="str">
        <f>"1"</f>
        <v>1</v>
      </c>
      <c r="F372" s="3">
        <v>48910288604.919998</v>
      </c>
    </row>
    <row r="373" spans="1:6" x14ac:dyDescent="0.25">
      <c r="A373" s="4" t="str">
        <f t="shared" si="67"/>
        <v>2206</v>
      </c>
      <c r="B373" s="2" t="str">
        <f t="shared" si="68"/>
        <v>Краткосрочные вклады физических лиц</v>
      </c>
      <c r="C373" s="2" t="str">
        <f>"2"</f>
        <v>2</v>
      </c>
      <c r="D373" s="2" t="str">
        <f t="shared" si="64"/>
        <v>9</v>
      </c>
      <c r="E373" s="2" t="str">
        <f>"2"</f>
        <v>2</v>
      </c>
      <c r="F373" s="3">
        <v>3107932979.6100001</v>
      </c>
    </row>
    <row r="374" spans="1:6" x14ac:dyDescent="0.25">
      <c r="A374" s="4" t="str">
        <f t="shared" si="67"/>
        <v>2206</v>
      </c>
      <c r="B374" s="2" t="str">
        <f t="shared" si="68"/>
        <v>Краткосрочные вклады физических лиц</v>
      </c>
      <c r="C374" s="2" t="str">
        <f>"1"</f>
        <v>1</v>
      </c>
      <c r="D374" s="2" t="str">
        <f t="shared" si="64"/>
        <v>9</v>
      </c>
      <c r="E374" s="2" t="str">
        <f>"3"</f>
        <v>3</v>
      </c>
      <c r="F374" s="3">
        <v>633292666.45000005</v>
      </c>
    </row>
    <row r="375" spans="1:6" x14ac:dyDescent="0.25">
      <c r="A375" s="4" t="str">
        <f t="shared" si="67"/>
        <v>2206</v>
      </c>
      <c r="B375" s="2" t="str">
        <f t="shared" si="68"/>
        <v>Краткосрочные вклады физических лиц</v>
      </c>
      <c r="C375" s="2" t="str">
        <f>"2"</f>
        <v>2</v>
      </c>
      <c r="D375" s="2" t="str">
        <f t="shared" si="64"/>
        <v>9</v>
      </c>
      <c r="E375" s="2" t="str">
        <f>"1"</f>
        <v>1</v>
      </c>
      <c r="F375" s="3">
        <v>4264940698.0900002</v>
      </c>
    </row>
    <row r="376" spans="1:6" x14ac:dyDescent="0.25">
      <c r="A376" s="4" t="str">
        <f t="shared" si="67"/>
        <v>2206</v>
      </c>
      <c r="B376" s="2" t="str">
        <f t="shared" si="68"/>
        <v>Краткосрочные вклады физических лиц</v>
      </c>
      <c r="C376" s="2" t="str">
        <f>"2"</f>
        <v>2</v>
      </c>
      <c r="D376" s="2" t="str">
        <f t="shared" si="64"/>
        <v>9</v>
      </c>
      <c r="E376" s="2" t="str">
        <f>"3"</f>
        <v>3</v>
      </c>
      <c r="F376" s="3">
        <v>792497460.63</v>
      </c>
    </row>
    <row r="377" spans="1:6" x14ac:dyDescent="0.25">
      <c r="A377" s="4" t="str">
        <f t="shared" ref="A377:A382" si="69">"2207"</f>
        <v>2207</v>
      </c>
      <c r="B377" s="2" t="str">
        <f t="shared" ref="B377:B382" si="70">"Долгосрочные вклады физических лиц"</f>
        <v>Долгосрочные вклады физических лиц</v>
      </c>
      <c r="C377" s="2" t="str">
        <f>"1"</f>
        <v>1</v>
      </c>
      <c r="D377" s="2" t="str">
        <f t="shared" si="64"/>
        <v>9</v>
      </c>
      <c r="E377" s="2" t="str">
        <f>"2"</f>
        <v>2</v>
      </c>
      <c r="F377" s="3">
        <v>72890154048.979996</v>
      </c>
    </row>
    <row r="378" spans="1:6" x14ac:dyDescent="0.25">
      <c r="A378" s="4" t="str">
        <f t="shared" si="69"/>
        <v>2207</v>
      </c>
      <c r="B378" s="2" t="str">
        <f t="shared" si="70"/>
        <v>Долгосрочные вклады физических лиц</v>
      </c>
      <c r="C378" s="2" t="str">
        <f>"1"</f>
        <v>1</v>
      </c>
      <c r="D378" s="2" t="str">
        <f t="shared" si="64"/>
        <v>9</v>
      </c>
      <c r="E378" s="2" t="str">
        <f>"1"</f>
        <v>1</v>
      </c>
      <c r="F378" s="3">
        <v>198650800049.47</v>
      </c>
    </row>
    <row r="379" spans="1:6" x14ac:dyDescent="0.25">
      <c r="A379" s="4" t="str">
        <f t="shared" si="69"/>
        <v>2207</v>
      </c>
      <c r="B379" s="2" t="str">
        <f t="shared" si="70"/>
        <v>Долгосрочные вклады физических лиц</v>
      </c>
      <c r="C379" s="2" t="str">
        <f>"2"</f>
        <v>2</v>
      </c>
      <c r="D379" s="2" t="str">
        <f t="shared" si="64"/>
        <v>9</v>
      </c>
      <c r="E379" s="2" t="str">
        <f>"1"</f>
        <v>1</v>
      </c>
      <c r="F379" s="3">
        <v>53203010758.360001</v>
      </c>
    </row>
    <row r="380" spans="1:6" x14ac:dyDescent="0.25">
      <c r="A380" s="4" t="str">
        <f t="shared" si="69"/>
        <v>2207</v>
      </c>
      <c r="B380" s="2" t="str">
        <f t="shared" si="70"/>
        <v>Долгосрочные вклады физических лиц</v>
      </c>
      <c r="C380" s="2" t="str">
        <f>"1"</f>
        <v>1</v>
      </c>
      <c r="D380" s="2" t="str">
        <f t="shared" si="64"/>
        <v>9</v>
      </c>
      <c r="E380" s="2" t="str">
        <f>"3"</f>
        <v>3</v>
      </c>
      <c r="F380" s="3">
        <v>306903003.86000001</v>
      </c>
    </row>
    <row r="381" spans="1:6" x14ac:dyDescent="0.25">
      <c r="A381" s="4" t="str">
        <f t="shared" si="69"/>
        <v>2207</v>
      </c>
      <c r="B381" s="2" t="str">
        <f t="shared" si="70"/>
        <v>Долгосрочные вклады физических лиц</v>
      </c>
      <c r="C381" s="2" t="str">
        <f>"2"</f>
        <v>2</v>
      </c>
      <c r="D381" s="2" t="str">
        <f t="shared" si="64"/>
        <v>9</v>
      </c>
      <c r="E381" s="2" t="str">
        <f>"3"</f>
        <v>3</v>
      </c>
      <c r="F381" s="3">
        <v>183430.1</v>
      </c>
    </row>
    <row r="382" spans="1:6" x14ac:dyDescent="0.25">
      <c r="A382" s="4" t="str">
        <f t="shared" si="69"/>
        <v>2207</v>
      </c>
      <c r="B382" s="2" t="str">
        <f t="shared" si="70"/>
        <v>Долгосрочные вклады физических лиц</v>
      </c>
      <c r="C382" s="2" t="str">
        <f>"2"</f>
        <v>2</v>
      </c>
      <c r="D382" s="2" t="str">
        <f t="shared" si="64"/>
        <v>9</v>
      </c>
      <c r="E382" s="2" t="str">
        <f>"2"</f>
        <v>2</v>
      </c>
      <c r="F382" s="3">
        <v>55002490487.040001</v>
      </c>
    </row>
    <row r="383" spans="1:6" x14ac:dyDescent="0.25">
      <c r="A383" s="4" t="str">
        <f>"2208"</f>
        <v>2208</v>
      </c>
      <c r="B383" s="2" t="str">
        <f>"Условные вклады физических лиц"</f>
        <v>Условные вклады физических лиц</v>
      </c>
      <c r="C383" s="2" t="str">
        <f>"1"</f>
        <v>1</v>
      </c>
      <c r="D383" s="2" t="str">
        <f t="shared" si="64"/>
        <v>9</v>
      </c>
      <c r="E383" s="2" t="str">
        <f>"2"</f>
        <v>2</v>
      </c>
      <c r="F383" s="3">
        <v>3801314.78</v>
      </c>
    </row>
    <row r="384" spans="1:6" x14ac:dyDescent="0.25">
      <c r="A384" s="4" t="str">
        <f>"2208"</f>
        <v>2208</v>
      </c>
      <c r="B384" s="2" t="str">
        <f>"Условные вклады физических лиц"</f>
        <v>Условные вклады физических лиц</v>
      </c>
      <c r="C384" s="2" t="str">
        <f>"1"</f>
        <v>1</v>
      </c>
      <c r="D384" s="2" t="str">
        <f t="shared" si="64"/>
        <v>9</v>
      </c>
      <c r="E384" s="2" t="str">
        <f>"1"</f>
        <v>1</v>
      </c>
      <c r="F384" s="3">
        <v>2704884.99</v>
      </c>
    </row>
    <row r="385" spans="1:6" x14ac:dyDescent="0.25">
      <c r="A385" s="4" t="str">
        <f>"2211"</f>
        <v>2211</v>
      </c>
      <c r="B385" s="2" t="str">
        <f>"Вклады до востребования юридических лиц"</f>
        <v>Вклады до востребования юридических лиц</v>
      </c>
      <c r="C385" s="2" t="str">
        <f>"1"</f>
        <v>1</v>
      </c>
      <c r="D385" s="2" t="str">
        <f>"5"</f>
        <v>5</v>
      </c>
      <c r="E385" s="2" t="str">
        <f>"1"</f>
        <v>1</v>
      </c>
      <c r="F385" s="3">
        <v>530.92999999999995</v>
      </c>
    </row>
    <row r="386" spans="1:6" x14ac:dyDescent="0.25">
      <c r="A386" s="4" t="str">
        <f>"2211"</f>
        <v>2211</v>
      </c>
      <c r="B386" s="2" t="str">
        <f>"Вклады до востребования юридических лиц"</f>
        <v>Вклады до востребования юридических лиц</v>
      </c>
      <c r="C386" s="2" t="str">
        <f>"2"</f>
        <v>2</v>
      </c>
      <c r="D386" s="2" t="str">
        <f>"7"</f>
        <v>7</v>
      </c>
      <c r="E386" s="2" t="str">
        <f>"2"</f>
        <v>2</v>
      </c>
      <c r="F386" s="3">
        <v>487063.67</v>
      </c>
    </row>
    <row r="387" spans="1:6" x14ac:dyDescent="0.25">
      <c r="A387" s="4" t="str">
        <f>"2211"</f>
        <v>2211</v>
      </c>
      <c r="B387" s="2" t="str">
        <f>"Вклады до востребования юридических лиц"</f>
        <v>Вклады до востребования юридических лиц</v>
      </c>
      <c r="C387" s="2" t="str">
        <f>"1"</f>
        <v>1</v>
      </c>
      <c r="D387" s="2" t="str">
        <f>"5"</f>
        <v>5</v>
      </c>
      <c r="E387" s="2" t="str">
        <f>"2"</f>
        <v>2</v>
      </c>
      <c r="F387" s="3">
        <v>4.53</v>
      </c>
    </row>
    <row r="388" spans="1:6" x14ac:dyDescent="0.25">
      <c r="A388" s="4" t="str">
        <f>"2211"</f>
        <v>2211</v>
      </c>
      <c r="B388" s="2" t="str">
        <f>"Вклады до востребования юридических лиц"</f>
        <v>Вклады до востребования юридических лиц</v>
      </c>
      <c r="C388" s="2" t="str">
        <f>"1"</f>
        <v>1</v>
      </c>
      <c r="D388" s="2" t="str">
        <f>"7"</f>
        <v>7</v>
      </c>
      <c r="E388" s="2" t="str">
        <f>"1"</f>
        <v>1</v>
      </c>
      <c r="F388" s="3">
        <v>138211359.37</v>
      </c>
    </row>
    <row r="389" spans="1:6" x14ac:dyDescent="0.25">
      <c r="A389" s="4" t="str">
        <f>"2211"</f>
        <v>2211</v>
      </c>
      <c r="B389" s="2" t="str">
        <f>"Вклады до востребования юридических лиц"</f>
        <v>Вклады до востребования юридических лиц</v>
      </c>
      <c r="C389" s="2" t="str">
        <f>"1"</f>
        <v>1</v>
      </c>
      <c r="D389" s="2" t="str">
        <f>"7"</f>
        <v>7</v>
      </c>
      <c r="E389" s="2" t="str">
        <f>"2"</f>
        <v>2</v>
      </c>
      <c r="F389" s="3">
        <v>90502</v>
      </c>
    </row>
    <row r="390" spans="1:6" x14ac:dyDescent="0.25">
      <c r="A390" s="4" t="str">
        <f>"2213"</f>
        <v>2213</v>
      </c>
      <c r="B390" s="2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C390" s="2" t="str">
        <f>"1"</f>
        <v>1</v>
      </c>
      <c r="D390" s="2" t="str">
        <f>"9"</f>
        <v>9</v>
      </c>
      <c r="E390" s="2" t="str">
        <f>"1"</f>
        <v>1</v>
      </c>
      <c r="F390" s="3">
        <v>790360445.75999999</v>
      </c>
    </row>
    <row r="391" spans="1:6" x14ac:dyDescent="0.25">
      <c r="A391" s="4" t="str">
        <f>"2213"</f>
        <v>2213</v>
      </c>
      <c r="B391" s="2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C391" s="2" t="str">
        <f>"2"</f>
        <v>2</v>
      </c>
      <c r="D391" s="2" t="str">
        <f>"9"</f>
        <v>9</v>
      </c>
      <c r="E391" s="2" t="str">
        <f>"1"</f>
        <v>1</v>
      </c>
      <c r="F391" s="3">
        <v>20000</v>
      </c>
    </row>
    <row r="392" spans="1:6" x14ac:dyDescent="0.25">
      <c r="A392" s="4" t="str">
        <f>"2214"</f>
        <v>2214</v>
      </c>
      <c r="B392" s="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92" s="2" t="str">
        <f>"1"</f>
        <v>1</v>
      </c>
      <c r="D392" s="2" t="str">
        <f>"9"</f>
        <v>9</v>
      </c>
      <c r="E392" s="2" t="str">
        <f>"1"</f>
        <v>1</v>
      </c>
      <c r="F392" s="3">
        <v>129408226011.52</v>
      </c>
    </row>
    <row r="393" spans="1:6" x14ac:dyDescent="0.25">
      <c r="A393" s="4" t="str">
        <f>"2214"</f>
        <v>2214</v>
      </c>
      <c r="B393" s="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93" s="2" t="str">
        <f>"2"</f>
        <v>2</v>
      </c>
      <c r="D393" s="2" t="str">
        <f>"9"</f>
        <v>9</v>
      </c>
      <c r="E393" s="2" t="str">
        <f>"1"</f>
        <v>1</v>
      </c>
      <c r="F393" s="3">
        <v>7607337291.0100002</v>
      </c>
    </row>
    <row r="394" spans="1:6" x14ac:dyDescent="0.25">
      <c r="A394" s="4" t="str">
        <f t="shared" ref="A394:A406" si="71">"2215"</f>
        <v>2215</v>
      </c>
      <c r="B394" s="2" t="str">
        <f t="shared" ref="B394:B406" si="72">"Краткосрочные вклады юридических лиц"</f>
        <v>Краткосрочные вклады юридических лиц</v>
      </c>
      <c r="C394" s="2" t="str">
        <f t="shared" ref="C394:C402" si="73">"1"</f>
        <v>1</v>
      </c>
      <c r="D394" s="2" t="str">
        <f>"5"</f>
        <v>5</v>
      </c>
      <c r="E394" s="2" t="str">
        <f>"3"</f>
        <v>3</v>
      </c>
      <c r="F394" s="3">
        <v>3072658942.0900002</v>
      </c>
    </row>
    <row r="395" spans="1:6" x14ac:dyDescent="0.25">
      <c r="A395" s="4" t="str">
        <f t="shared" si="71"/>
        <v>2215</v>
      </c>
      <c r="B395" s="2" t="str">
        <f t="shared" si="72"/>
        <v>Краткосрочные вклады юридических лиц</v>
      </c>
      <c r="C395" s="2" t="str">
        <f t="shared" si="73"/>
        <v>1</v>
      </c>
      <c r="D395" s="2" t="str">
        <f>"5"</f>
        <v>5</v>
      </c>
      <c r="E395" s="2" t="str">
        <f>"1"</f>
        <v>1</v>
      </c>
      <c r="F395" s="3">
        <v>32731157290.099998</v>
      </c>
    </row>
    <row r="396" spans="1:6" x14ac:dyDescent="0.25">
      <c r="A396" s="4" t="str">
        <f t="shared" si="71"/>
        <v>2215</v>
      </c>
      <c r="B396" s="2" t="str">
        <f t="shared" si="72"/>
        <v>Краткосрочные вклады юридических лиц</v>
      </c>
      <c r="C396" s="2" t="str">
        <f t="shared" si="73"/>
        <v>1</v>
      </c>
      <c r="D396" s="2" t="str">
        <f>"6"</f>
        <v>6</v>
      </c>
      <c r="E396" s="2" t="str">
        <f>"2"</f>
        <v>2</v>
      </c>
      <c r="F396" s="3">
        <v>1543888098.3199999</v>
      </c>
    </row>
    <row r="397" spans="1:6" x14ac:dyDescent="0.25">
      <c r="A397" s="4" t="str">
        <f t="shared" si="71"/>
        <v>2215</v>
      </c>
      <c r="B397" s="2" t="str">
        <f t="shared" si="72"/>
        <v>Краткосрочные вклады юридических лиц</v>
      </c>
      <c r="C397" s="2" t="str">
        <f t="shared" si="73"/>
        <v>1</v>
      </c>
      <c r="D397" s="2" t="str">
        <f>"5"</f>
        <v>5</v>
      </c>
      <c r="E397" s="2" t="str">
        <f>"2"</f>
        <v>2</v>
      </c>
      <c r="F397" s="3">
        <v>2122774444.03</v>
      </c>
    </row>
    <row r="398" spans="1:6" x14ac:dyDescent="0.25">
      <c r="A398" s="4" t="str">
        <f t="shared" si="71"/>
        <v>2215</v>
      </c>
      <c r="B398" s="2" t="str">
        <f t="shared" si="72"/>
        <v>Краткосрочные вклады юридических лиц</v>
      </c>
      <c r="C398" s="2" t="str">
        <f t="shared" si="73"/>
        <v>1</v>
      </c>
      <c r="D398" s="2" t="str">
        <f>"6"</f>
        <v>6</v>
      </c>
      <c r="E398" s="2" t="str">
        <f>"1"</f>
        <v>1</v>
      </c>
      <c r="F398" s="3">
        <v>25859552201.16</v>
      </c>
    </row>
    <row r="399" spans="1:6" x14ac:dyDescent="0.25">
      <c r="A399" s="4" t="str">
        <f t="shared" si="71"/>
        <v>2215</v>
      </c>
      <c r="B399" s="2" t="str">
        <f t="shared" si="72"/>
        <v>Краткосрочные вклады юридических лиц</v>
      </c>
      <c r="C399" s="2" t="str">
        <f t="shared" si="73"/>
        <v>1</v>
      </c>
      <c r="D399" s="2" t="str">
        <f>"7"</f>
        <v>7</v>
      </c>
      <c r="E399" s="2" t="str">
        <f>"1"</f>
        <v>1</v>
      </c>
      <c r="F399" s="3">
        <v>134548573848.57001</v>
      </c>
    </row>
    <row r="400" spans="1:6" x14ac:dyDescent="0.25">
      <c r="A400" s="4" t="str">
        <f t="shared" si="71"/>
        <v>2215</v>
      </c>
      <c r="B400" s="2" t="str">
        <f t="shared" si="72"/>
        <v>Краткосрочные вклады юридических лиц</v>
      </c>
      <c r="C400" s="2" t="str">
        <f t="shared" si="73"/>
        <v>1</v>
      </c>
      <c r="D400" s="2" t="str">
        <f>"7"</f>
        <v>7</v>
      </c>
      <c r="E400" s="2" t="str">
        <f>"3"</f>
        <v>3</v>
      </c>
      <c r="F400" s="3">
        <v>40705707.619999997</v>
      </c>
    </row>
    <row r="401" spans="1:6" x14ac:dyDescent="0.25">
      <c r="A401" s="4" t="str">
        <f t="shared" si="71"/>
        <v>2215</v>
      </c>
      <c r="B401" s="2" t="str">
        <f t="shared" si="72"/>
        <v>Краткосрочные вклады юридических лиц</v>
      </c>
      <c r="C401" s="2" t="str">
        <f t="shared" si="73"/>
        <v>1</v>
      </c>
      <c r="D401" s="2" t="str">
        <f>"7"</f>
        <v>7</v>
      </c>
      <c r="E401" s="2" t="str">
        <f>"2"</f>
        <v>2</v>
      </c>
      <c r="F401" s="3">
        <v>51577126829.120003</v>
      </c>
    </row>
    <row r="402" spans="1:6" x14ac:dyDescent="0.25">
      <c r="A402" s="4" t="str">
        <f t="shared" si="71"/>
        <v>2215</v>
      </c>
      <c r="B402" s="2" t="str">
        <f t="shared" si="72"/>
        <v>Краткосрочные вклады юридических лиц</v>
      </c>
      <c r="C402" s="2" t="str">
        <f t="shared" si="73"/>
        <v>1</v>
      </c>
      <c r="D402" s="2" t="str">
        <f>"8"</f>
        <v>8</v>
      </c>
      <c r="E402" s="2" t="str">
        <f>"2"</f>
        <v>2</v>
      </c>
      <c r="F402" s="3">
        <v>4907000</v>
      </c>
    </row>
    <row r="403" spans="1:6" x14ac:dyDescent="0.25">
      <c r="A403" s="4" t="str">
        <f t="shared" si="71"/>
        <v>2215</v>
      </c>
      <c r="B403" s="2" t="str">
        <f t="shared" si="72"/>
        <v>Краткосрочные вклады юридических лиц</v>
      </c>
      <c r="C403" s="2" t="str">
        <f>"2"</f>
        <v>2</v>
      </c>
      <c r="D403" s="2" t="str">
        <f>"7"</f>
        <v>7</v>
      </c>
      <c r="E403" s="2" t="str">
        <f>"2"</f>
        <v>2</v>
      </c>
      <c r="F403" s="3">
        <v>2324854311.4899998</v>
      </c>
    </row>
    <row r="404" spans="1:6" x14ac:dyDescent="0.25">
      <c r="A404" s="4" t="str">
        <f t="shared" si="71"/>
        <v>2215</v>
      </c>
      <c r="B404" s="2" t="str">
        <f t="shared" si="72"/>
        <v>Краткосрочные вклады юридических лиц</v>
      </c>
      <c r="C404" s="2" t="str">
        <f>"2"</f>
        <v>2</v>
      </c>
      <c r="D404" s="2" t="str">
        <f>"7"</f>
        <v>7</v>
      </c>
      <c r="E404" s="2" t="str">
        <f>"3"</f>
        <v>3</v>
      </c>
      <c r="F404" s="3">
        <v>3762480000</v>
      </c>
    </row>
    <row r="405" spans="1:6" x14ac:dyDescent="0.25">
      <c r="A405" s="4" t="str">
        <f t="shared" si="71"/>
        <v>2215</v>
      </c>
      <c r="B405" s="2" t="str">
        <f t="shared" si="72"/>
        <v>Краткосрочные вклады юридических лиц</v>
      </c>
      <c r="C405" s="2" t="str">
        <f>"1"</f>
        <v>1</v>
      </c>
      <c r="D405" s="2" t="str">
        <f>"8"</f>
        <v>8</v>
      </c>
      <c r="E405" s="2" t="str">
        <f>"1"</f>
        <v>1</v>
      </c>
      <c r="F405" s="3">
        <v>25534134421</v>
      </c>
    </row>
    <row r="406" spans="1:6" x14ac:dyDescent="0.25">
      <c r="A406" s="4" t="str">
        <f t="shared" si="71"/>
        <v>2215</v>
      </c>
      <c r="B406" s="2" t="str">
        <f t="shared" si="72"/>
        <v>Краткосрочные вклады юридических лиц</v>
      </c>
      <c r="C406" s="2" t="str">
        <f>"2"</f>
        <v>2</v>
      </c>
      <c r="D406" s="2" t="str">
        <f>"7"</f>
        <v>7</v>
      </c>
      <c r="E406" s="2" t="str">
        <f>"1"</f>
        <v>1</v>
      </c>
      <c r="F406" s="3">
        <v>139927500</v>
      </c>
    </row>
    <row r="407" spans="1:6" x14ac:dyDescent="0.25">
      <c r="A407" s="4" t="str">
        <f t="shared" ref="A407:A416" si="74">"2217"</f>
        <v>2217</v>
      </c>
      <c r="B407" s="2" t="str">
        <f t="shared" ref="B407:B416" si="75">"Долгосрочные вклады юридических лиц"</f>
        <v>Долгосрочные вклады юридических лиц</v>
      </c>
      <c r="C407" s="2" t="str">
        <f t="shared" ref="C407:C413" si="76">"1"</f>
        <v>1</v>
      </c>
      <c r="D407" s="2" t="str">
        <f>"5"</f>
        <v>5</v>
      </c>
      <c r="E407" s="2" t="str">
        <f>"2"</f>
        <v>2</v>
      </c>
      <c r="F407" s="3">
        <v>9802797061.0300007</v>
      </c>
    </row>
    <row r="408" spans="1:6" x14ac:dyDescent="0.25">
      <c r="A408" s="4" t="str">
        <f t="shared" si="74"/>
        <v>2217</v>
      </c>
      <c r="B408" s="2" t="str">
        <f t="shared" si="75"/>
        <v>Долгосрочные вклады юридических лиц</v>
      </c>
      <c r="C408" s="2" t="str">
        <f t="shared" si="76"/>
        <v>1</v>
      </c>
      <c r="D408" s="2" t="str">
        <f>"5"</f>
        <v>5</v>
      </c>
      <c r="E408" s="2" t="str">
        <f>"1"</f>
        <v>1</v>
      </c>
      <c r="F408" s="3">
        <v>54587344610.779999</v>
      </c>
    </row>
    <row r="409" spans="1:6" x14ac:dyDescent="0.25">
      <c r="A409" s="4" t="str">
        <f t="shared" si="74"/>
        <v>2217</v>
      </c>
      <c r="B409" s="2" t="str">
        <f t="shared" si="75"/>
        <v>Долгосрочные вклады юридических лиц</v>
      </c>
      <c r="C409" s="2" t="str">
        <f t="shared" si="76"/>
        <v>1</v>
      </c>
      <c r="D409" s="2" t="str">
        <f>"7"</f>
        <v>7</v>
      </c>
      <c r="E409" s="2" t="str">
        <f>"1"</f>
        <v>1</v>
      </c>
      <c r="F409" s="3">
        <v>50138007844.610001</v>
      </c>
    </row>
    <row r="410" spans="1:6" x14ac:dyDescent="0.25">
      <c r="A410" s="4" t="str">
        <f t="shared" si="74"/>
        <v>2217</v>
      </c>
      <c r="B410" s="2" t="str">
        <f t="shared" si="75"/>
        <v>Долгосрочные вклады юридических лиц</v>
      </c>
      <c r="C410" s="2" t="str">
        <f t="shared" si="76"/>
        <v>1</v>
      </c>
      <c r="D410" s="2" t="str">
        <f>"6"</f>
        <v>6</v>
      </c>
      <c r="E410" s="2" t="str">
        <f>"1"</f>
        <v>1</v>
      </c>
      <c r="F410" s="3">
        <v>8766214171.5599995</v>
      </c>
    </row>
    <row r="411" spans="1:6" x14ac:dyDescent="0.25">
      <c r="A411" s="4" t="str">
        <f t="shared" si="74"/>
        <v>2217</v>
      </c>
      <c r="B411" s="2" t="str">
        <f t="shared" si="75"/>
        <v>Долгосрочные вклады юридических лиц</v>
      </c>
      <c r="C411" s="2" t="str">
        <f t="shared" si="76"/>
        <v>1</v>
      </c>
      <c r="D411" s="2" t="str">
        <f>"8"</f>
        <v>8</v>
      </c>
      <c r="E411" s="2" t="str">
        <f>"2"</f>
        <v>2</v>
      </c>
      <c r="F411" s="3">
        <v>59031142.229999997</v>
      </c>
    </row>
    <row r="412" spans="1:6" x14ac:dyDescent="0.25">
      <c r="A412" s="4" t="str">
        <f t="shared" si="74"/>
        <v>2217</v>
      </c>
      <c r="B412" s="2" t="str">
        <f t="shared" si="75"/>
        <v>Долгосрочные вклады юридических лиц</v>
      </c>
      <c r="C412" s="2" t="str">
        <f t="shared" si="76"/>
        <v>1</v>
      </c>
      <c r="D412" s="2" t="str">
        <f>"7"</f>
        <v>7</v>
      </c>
      <c r="E412" s="2" t="str">
        <f>"2"</f>
        <v>2</v>
      </c>
      <c r="F412" s="3">
        <v>29453121589.799999</v>
      </c>
    </row>
    <row r="413" spans="1:6" x14ac:dyDescent="0.25">
      <c r="A413" s="4" t="str">
        <f t="shared" si="74"/>
        <v>2217</v>
      </c>
      <c r="B413" s="2" t="str">
        <f t="shared" si="75"/>
        <v>Долгосрочные вклады юридических лиц</v>
      </c>
      <c r="C413" s="2" t="str">
        <f t="shared" si="76"/>
        <v>1</v>
      </c>
      <c r="D413" s="2" t="str">
        <f>"7"</f>
        <v>7</v>
      </c>
      <c r="E413" s="2" t="str">
        <f>"3"</f>
        <v>3</v>
      </c>
      <c r="F413" s="3">
        <v>2460656609.1999998</v>
      </c>
    </row>
    <row r="414" spans="1:6" x14ac:dyDescent="0.25">
      <c r="A414" s="4" t="str">
        <f t="shared" si="74"/>
        <v>2217</v>
      </c>
      <c r="B414" s="2" t="str">
        <f t="shared" si="75"/>
        <v>Долгосрочные вклады юридических лиц</v>
      </c>
      <c r="C414" s="2" t="str">
        <f>"2"</f>
        <v>2</v>
      </c>
      <c r="D414" s="2" t="str">
        <f>"7"</f>
        <v>7</v>
      </c>
      <c r="E414" s="2" t="str">
        <f>"2"</f>
        <v>2</v>
      </c>
      <c r="F414" s="3">
        <v>77672510356.789993</v>
      </c>
    </row>
    <row r="415" spans="1:6" x14ac:dyDescent="0.25">
      <c r="A415" s="4" t="str">
        <f t="shared" si="74"/>
        <v>2217</v>
      </c>
      <c r="B415" s="2" t="str">
        <f t="shared" si="75"/>
        <v>Долгосрочные вклады юридических лиц</v>
      </c>
      <c r="C415" s="2" t="str">
        <f>"2"</f>
        <v>2</v>
      </c>
      <c r="D415" s="2" t="str">
        <f>"5"</f>
        <v>5</v>
      </c>
      <c r="E415" s="2" t="str">
        <f>"2"</f>
        <v>2</v>
      </c>
      <c r="F415" s="3">
        <v>13575300</v>
      </c>
    </row>
    <row r="416" spans="1:6" x14ac:dyDescent="0.25">
      <c r="A416" s="4" t="str">
        <f t="shared" si="74"/>
        <v>2217</v>
      </c>
      <c r="B416" s="2" t="str">
        <f t="shared" si="75"/>
        <v>Долгосрочные вклады юридических лиц</v>
      </c>
      <c r="C416" s="2" t="str">
        <f t="shared" ref="C416:C421" si="77">"1"</f>
        <v>1</v>
      </c>
      <c r="D416" s="2" t="str">
        <f>"8"</f>
        <v>8</v>
      </c>
      <c r="E416" s="2" t="str">
        <f>"1"</f>
        <v>1</v>
      </c>
      <c r="F416" s="3">
        <v>530812123.93000001</v>
      </c>
    </row>
    <row r="417" spans="1:6" x14ac:dyDescent="0.25">
      <c r="A417" s="4" t="str">
        <f>"2218"</f>
        <v>2218</v>
      </c>
      <c r="B417" s="2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7" s="2" t="str">
        <f t="shared" si="77"/>
        <v>1</v>
      </c>
      <c r="D417" s="2" t="str">
        <f>"5"</f>
        <v>5</v>
      </c>
      <c r="E417" s="2" t="str">
        <f>"1"</f>
        <v>1</v>
      </c>
      <c r="F417" s="3">
        <v>1067035</v>
      </c>
    </row>
    <row r="418" spans="1:6" x14ac:dyDescent="0.25">
      <c r="A418" s="4" t="str">
        <f>"2218"</f>
        <v>2218</v>
      </c>
      <c r="B418" s="2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8" s="2" t="str">
        <f t="shared" si="77"/>
        <v>1</v>
      </c>
      <c r="D418" s="2" t="str">
        <f>"7"</f>
        <v>7</v>
      </c>
      <c r="E418" s="2" t="str">
        <f>"2"</f>
        <v>2</v>
      </c>
      <c r="F418" s="3">
        <v>20486085184.009998</v>
      </c>
    </row>
    <row r="419" spans="1:6" x14ac:dyDescent="0.25">
      <c r="A419" s="4" t="str">
        <f>"2219"</f>
        <v>2219</v>
      </c>
      <c r="B419" s="2" t="str">
        <f>"Условные вклады юридических лиц"</f>
        <v>Условные вклады юридических лиц</v>
      </c>
      <c r="C419" s="2" t="str">
        <f t="shared" si="77"/>
        <v>1</v>
      </c>
      <c r="D419" s="2" t="str">
        <f>"7"</f>
        <v>7</v>
      </c>
      <c r="E419" s="2" t="str">
        <f>"1"</f>
        <v>1</v>
      </c>
      <c r="F419" s="3">
        <v>21171101.879999999</v>
      </c>
    </row>
    <row r="420" spans="1:6" x14ac:dyDescent="0.25">
      <c r="A420" s="4" t="str">
        <f>"2219"</f>
        <v>2219</v>
      </c>
      <c r="B420" s="2" t="str">
        <f>"Условные вклады юридических лиц"</f>
        <v>Условные вклады юридических лиц</v>
      </c>
      <c r="C420" s="2" t="str">
        <f t="shared" si="77"/>
        <v>1</v>
      </c>
      <c r="D420" s="2" t="str">
        <f>"7"</f>
        <v>7</v>
      </c>
      <c r="E420" s="2" t="str">
        <f>"2"</f>
        <v>2</v>
      </c>
      <c r="F420" s="3">
        <v>179528.82</v>
      </c>
    </row>
    <row r="421" spans="1:6" x14ac:dyDescent="0.25">
      <c r="A421" s="4" t="str">
        <f>"2219"</f>
        <v>2219</v>
      </c>
      <c r="B421" s="2" t="str">
        <f>"Условные вклады юридических лиц"</f>
        <v>Условные вклады юридических лиц</v>
      </c>
      <c r="C421" s="2" t="str">
        <f t="shared" si="77"/>
        <v>1</v>
      </c>
      <c r="D421" s="2" t="str">
        <f>"8"</f>
        <v>8</v>
      </c>
      <c r="E421" s="2" t="str">
        <f>"1"</f>
        <v>1</v>
      </c>
      <c r="F421" s="3">
        <v>193000</v>
      </c>
    </row>
    <row r="422" spans="1:6" x14ac:dyDescent="0.25">
      <c r="A422" s="4" t="str">
        <f>"2219"</f>
        <v>2219</v>
      </c>
      <c r="B422" s="2" t="str">
        <f>"Условные вклады юридических лиц"</f>
        <v>Условные вклады юридических лиц</v>
      </c>
      <c r="C422" s="2" t="str">
        <f>"2"</f>
        <v>2</v>
      </c>
      <c r="D422" s="2" t="str">
        <f>"7"</f>
        <v>7</v>
      </c>
      <c r="E422" s="2" t="str">
        <f>"1"</f>
        <v>1</v>
      </c>
      <c r="F422" s="3">
        <v>958371.97</v>
      </c>
    </row>
    <row r="423" spans="1:6" x14ac:dyDescent="0.25">
      <c r="A423" s="4" t="str">
        <f>"2220"</f>
        <v>2220</v>
      </c>
      <c r="B423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3" s="2" t="str">
        <f t="shared" ref="C423:C430" si="78">"1"</f>
        <v>1</v>
      </c>
      <c r="D423" s="2" t="str">
        <f>"6"</f>
        <v>6</v>
      </c>
      <c r="E423" s="2" t="str">
        <f>"1"</f>
        <v>1</v>
      </c>
      <c r="F423" s="3">
        <v>80000000</v>
      </c>
    </row>
    <row r="424" spans="1:6" x14ac:dyDescent="0.25">
      <c r="A424" s="4" t="str">
        <f>"2220"</f>
        <v>2220</v>
      </c>
      <c r="B424" s="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4" s="2" t="str">
        <f t="shared" si="78"/>
        <v>1</v>
      </c>
      <c r="D424" s="2" t="str">
        <f>"7"</f>
        <v>7</v>
      </c>
      <c r="E424" s="2" t="str">
        <f>"1"</f>
        <v>1</v>
      </c>
      <c r="F424" s="3">
        <v>5000000</v>
      </c>
    </row>
    <row r="425" spans="1:6" x14ac:dyDescent="0.25">
      <c r="A425" s="4" t="str">
        <f>"2223"</f>
        <v>2223</v>
      </c>
      <c r="B425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5" s="2" t="str">
        <f t="shared" si="78"/>
        <v>1</v>
      </c>
      <c r="D425" s="2" t="str">
        <f>"7"</f>
        <v>7</v>
      </c>
      <c r="E425" s="2" t="str">
        <f>"1"</f>
        <v>1</v>
      </c>
      <c r="F425" s="3">
        <v>6577216830.9200001</v>
      </c>
    </row>
    <row r="426" spans="1:6" x14ac:dyDescent="0.25">
      <c r="A426" s="4" t="str">
        <f>"2223"</f>
        <v>2223</v>
      </c>
      <c r="B426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6" s="2" t="str">
        <f t="shared" si="78"/>
        <v>1</v>
      </c>
      <c r="D426" s="2" t="str">
        <f>"5"</f>
        <v>5</v>
      </c>
      <c r="E426" s="2" t="str">
        <f>"2"</f>
        <v>2</v>
      </c>
      <c r="F426" s="3">
        <v>1472100000</v>
      </c>
    </row>
    <row r="427" spans="1:6" x14ac:dyDescent="0.25">
      <c r="A427" s="4" t="str">
        <f>"2223"</f>
        <v>2223</v>
      </c>
      <c r="B427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7" s="2" t="str">
        <f t="shared" si="78"/>
        <v>1</v>
      </c>
      <c r="D427" s="2" t="str">
        <f>"5"</f>
        <v>5</v>
      </c>
      <c r="E427" s="2" t="str">
        <f>"1"</f>
        <v>1</v>
      </c>
      <c r="F427" s="3">
        <v>3144471726</v>
      </c>
    </row>
    <row r="428" spans="1:6" x14ac:dyDescent="0.25">
      <c r="A428" s="4" t="str">
        <f>"2223"</f>
        <v>2223</v>
      </c>
      <c r="B428" s="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8" s="2" t="str">
        <f t="shared" si="78"/>
        <v>1</v>
      </c>
      <c r="D428" s="2" t="str">
        <f>"7"</f>
        <v>7</v>
      </c>
      <c r="E428" s="2" t="str">
        <f>"2"</f>
        <v>2</v>
      </c>
      <c r="F428" s="3">
        <v>1971502056.99</v>
      </c>
    </row>
    <row r="429" spans="1:6" x14ac:dyDescent="0.25">
      <c r="A429" s="4" t="str">
        <f>"2227"</f>
        <v>2227</v>
      </c>
      <c r="B429" s="2" t="str">
        <f>"Обязательства по аренде"</f>
        <v>Обязательства по аренде</v>
      </c>
      <c r="C429" s="2" t="str">
        <f t="shared" si="78"/>
        <v>1</v>
      </c>
      <c r="D429" s="2" t="str">
        <f>"7"</f>
        <v>7</v>
      </c>
      <c r="E429" s="2" t="str">
        <f>"1"</f>
        <v>1</v>
      </c>
      <c r="F429" s="3">
        <v>2727114288.0500002</v>
      </c>
    </row>
    <row r="430" spans="1:6" x14ac:dyDescent="0.25">
      <c r="A430" s="4" t="str">
        <f>"2229"</f>
        <v>2229</v>
      </c>
      <c r="B430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C430" s="2" t="str">
        <f t="shared" si="78"/>
        <v>1</v>
      </c>
      <c r="D430" s="2" t="str">
        <f>"9"</f>
        <v>9</v>
      </c>
      <c r="E430" s="2" t="str">
        <f>"1"</f>
        <v>1</v>
      </c>
      <c r="F430" s="3">
        <v>3712695708.0999999</v>
      </c>
    </row>
    <row r="431" spans="1:6" x14ac:dyDescent="0.25">
      <c r="A431" s="4" t="str">
        <f>"2229"</f>
        <v>2229</v>
      </c>
      <c r="B431" s="2" t="str">
        <f>"Сберегательные вклады физических лиц (более одного года)"</f>
        <v>Сберегательные вклады физических лиц (более одного года)</v>
      </c>
      <c r="C431" s="2" t="str">
        <f>"2"</f>
        <v>2</v>
      </c>
      <c r="D431" s="2" t="str">
        <f>"9"</f>
        <v>9</v>
      </c>
      <c r="E431" s="2" t="str">
        <f>"1"</f>
        <v>1</v>
      </c>
      <c r="F431" s="3">
        <v>73260690.709999993</v>
      </c>
    </row>
    <row r="432" spans="1:6" x14ac:dyDescent="0.25">
      <c r="A432" s="4" t="str">
        <f t="shared" ref="A432:A454" si="79">"2237"</f>
        <v>2237</v>
      </c>
      <c r="B432" s="2" t="str">
        <f t="shared" ref="B432:B454" si="8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432" s="2" t="str">
        <f t="shared" ref="C432:C444" si="81">"1"</f>
        <v>1</v>
      </c>
      <c r="D432" s="2" t="str">
        <f>"5"</f>
        <v>5</v>
      </c>
      <c r="E432" s="2" t="str">
        <f>"1"</f>
        <v>1</v>
      </c>
      <c r="F432" s="3">
        <v>203110</v>
      </c>
    </row>
    <row r="433" spans="1:6" x14ac:dyDescent="0.25">
      <c r="A433" s="4" t="str">
        <f t="shared" si="79"/>
        <v>2237</v>
      </c>
      <c r="B433" s="2" t="str">
        <f t="shared" si="80"/>
        <v>Счет хранения указаний отправителя в соответствии с валютным законодательством Республики Казахстан</v>
      </c>
      <c r="C433" s="2" t="str">
        <f t="shared" si="81"/>
        <v>1</v>
      </c>
      <c r="D433" s="2" t="str">
        <f>"5"</f>
        <v>5</v>
      </c>
      <c r="E433" s="2" t="str">
        <f>"2"</f>
        <v>2</v>
      </c>
      <c r="F433" s="3">
        <v>57137029.490000002</v>
      </c>
    </row>
    <row r="434" spans="1:6" x14ac:dyDescent="0.25">
      <c r="A434" s="4" t="str">
        <f t="shared" si="79"/>
        <v>2237</v>
      </c>
      <c r="B434" s="2" t="str">
        <f t="shared" si="80"/>
        <v>Счет хранения указаний отправителя в соответствии с валютным законодательством Республики Казахстан</v>
      </c>
      <c r="C434" s="2" t="str">
        <f t="shared" si="81"/>
        <v>1</v>
      </c>
      <c r="D434" s="2" t="str">
        <f>"5"</f>
        <v>5</v>
      </c>
      <c r="E434" s="2" t="str">
        <f>"3"</f>
        <v>3</v>
      </c>
      <c r="F434" s="3">
        <v>10280000</v>
      </c>
    </row>
    <row r="435" spans="1:6" x14ac:dyDescent="0.25">
      <c r="A435" s="4" t="str">
        <f t="shared" si="79"/>
        <v>2237</v>
      </c>
      <c r="B435" s="2" t="str">
        <f t="shared" si="80"/>
        <v>Счет хранения указаний отправителя в соответствии с валютным законодательством Республики Казахстан</v>
      </c>
      <c r="C435" s="2" t="str">
        <f t="shared" si="81"/>
        <v>1</v>
      </c>
      <c r="D435" s="2" t="str">
        <f>"6"</f>
        <v>6</v>
      </c>
      <c r="E435" s="2" t="str">
        <f>"2"</f>
        <v>2</v>
      </c>
      <c r="F435" s="3">
        <v>211575123.09</v>
      </c>
    </row>
    <row r="436" spans="1:6" x14ac:dyDescent="0.25">
      <c r="A436" s="4" t="str">
        <f t="shared" si="79"/>
        <v>2237</v>
      </c>
      <c r="B436" s="2" t="str">
        <f t="shared" si="80"/>
        <v>Счет хранения указаний отправителя в соответствии с валютным законодательством Республики Казахстан</v>
      </c>
      <c r="C436" s="2" t="str">
        <f t="shared" si="81"/>
        <v>1</v>
      </c>
      <c r="D436" s="2" t="str">
        <f>"7"</f>
        <v>7</v>
      </c>
      <c r="E436" s="2" t="str">
        <f>"2"</f>
        <v>2</v>
      </c>
      <c r="F436" s="3">
        <v>2285059092.77</v>
      </c>
    </row>
    <row r="437" spans="1:6" x14ac:dyDescent="0.25">
      <c r="A437" s="4" t="str">
        <f t="shared" si="79"/>
        <v>2237</v>
      </c>
      <c r="B437" s="2" t="str">
        <f t="shared" si="80"/>
        <v>Счет хранения указаний отправителя в соответствии с валютным законодательством Республики Казахстан</v>
      </c>
      <c r="C437" s="2" t="str">
        <f t="shared" si="81"/>
        <v>1</v>
      </c>
      <c r="D437" s="2" t="str">
        <f>"6"</f>
        <v>6</v>
      </c>
      <c r="E437" s="2" t="str">
        <f>"3"</f>
        <v>3</v>
      </c>
      <c r="F437" s="3">
        <v>385808.4</v>
      </c>
    </row>
    <row r="438" spans="1:6" x14ac:dyDescent="0.25">
      <c r="A438" s="4" t="str">
        <f t="shared" si="79"/>
        <v>2237</v>
      </c>
      <c r="B438" s="2" t="str">
        <f t="shared" si="80"/>
        <v>Счет хранения указаний отправителя в соответствии с валютным законодательством Республики Казахстан</v>
      </c>
      <c r="C438" s="2" t="str">
        <f t="shared" si="81"/>
        <v>1</v>
      </c>
      <c r="D438" s="2" t="str">
        <f>"7"</f>
        <v>7</v>
      </c>
      <c r="E438" s="2" t="str">
        <f>"1"</f>
        <v>1</v>
      </c>
      <c r="F438" s="3">
        <v>575887951.42999995</v>
      </c>
    </row>
    <row r="439" spans="1:6" x14ac:dyDescent="0.25">
      <c r="A439" s="4" t="str">
        <f t="shared" si="79"/>
        <v>2237</v>
      </c>
      <c r="B439" s="2" t="str">
        <f t="shared" si="80"/>
        <v>Счет хранения указаний отправителя в соответствии с валютным законодательством Республики Казахстан</v>
      </c>
      <c r="C439" s="2" t="str">
        <f t="shared" si="81"/>
        <v>1</v>
      </c>
      <c r="D439" s="2" t="str">
        <f>"7"</f>
        <v>7</v>
      </c>
      <c r="E439" s="2" t="str">
        <f>"3"</f>
        <v>3</v>
      </c>
      <c r="F439" s="3">
        <v>436038328.32999998</v>
      </c>
    </row>
    <row r="440" spans="1:6" x14ac:dyDescent="0.25">
      <c r="A440" s="4" t="str">
        <f t="shared" si="79"/>
        <v>2237</v>
      </c>
      <c r="B440" s="2" t="str">
        <f t="shared" si="80"/>
        <v>Счет хранения указаний отправителя в соответствии с валютным законодательством Республики Казахстан</v>
      </c>
      <c r="C440" s="2" t="str">
        <f t="shared" si="81"/>
        <v>1</v>
      </c>
      <c r="D440" s="2" t="str">
        <f>"8"</f>
        <v>8</v>
      </c>
      <c r="E440" s="2" t="str">
        <f>"2"</f>
        <v>2</v>
      </c>
      <c r="F440" s="3">
        <v>163815.29</v>
      </c>
    </row>
    <row r="441" spans="1:6" x14ac:dyDescent="0.25">
      <c r="A441" s="4" t="str">
        <f t="shared" si="79"/>
        <v>2237</v>
      </c>
      <c r="B441" s="2" t="str">
        <f t="shared" si="80"/>
        <v>Счет хранения указаний отправителя в соответствии с валютным законодательством Республики Казахстан</v>
      </c>
      <c r="C441" s="2" t="str">
        <f t="shared" si="81"/>
        <v>1</v>
      </c>
      <c r="D441" s="2" t="str">
        <f>"8"</f>
        <v>8</v>
      </c>
      <c r="E441" s="2" t="str">
        <f>"1"</f>
        <v>1</v>
      </c>
      <c r="F441" s="3">
        <v>1205000</v>
      </c>
    </row>
    <row r="442" spans="1:6" x14ac:dyDescent="0.25">
      <c r="A442" s="4" t="str">
        <f t="shared" si="79"/>
        <v>2237</v>
      </c>
      <c r="B442" s="2" t="str">
        <f t="shared" si="80"/>
        <v>Счет хранения указаний отправителя в соответствии с валютным законодательством Республики Казахстан</v>
      </c>
      <c r="C442" s="2" t="str">
        <f t="shared" si="81"/>
        <v>1</v>
      </c>
      <c r="D442" s="2" t="str">
        <f>"9"</f>
        <v>9</v>
      </c>
      <c r="E442" s="2" t="str">
        <f>"2"</f>
        <v>2</v>
      </c>
      <c r="F442" s="3">
        <v>504622529.56999999</v>
      </c>
    </row>
    <row r="443" spans="1:6" x14ac:dyDescent="0.25">
      <c r="A443" s="4" t="str">
        <f t="shared" si="79"/>
        <v>2237</v>
      </c>
      <c r="B443" s="2" t="str">
        <f t="shared" si="80"/>
        <v>Счет хранения указаний отправителя в соответствии с валютным законодательством Республики Казахстан</v>
      </c>
      <c r="C443" s="2" t="str">
        <f t="shared" si="81"/>
        <v>1</v>
      </c>
      <c r="D443" s="2" t="str">
        <f>"9"</f>
        <v>9</v>
      </c>
      <c r="E443" s="2" t="str">
        <f>"1"</f>
        <v>1</v>
      </c>
      <c r="F443" s="3">
        <v>105768057.81</v>
      </c>
    </row>
    <row r="444" spans="1:6" x14ac:dyDescent="0.25">
      <c r="A444" s="4" t="str">
        <f t="shared" si="79"/>
        <v>2237</v>
      </c>
      <c r="B444" s="2" t="str">
        <f t="shared" si="80"/>
        <v>Счет хранения указаний отправителя в соответствии с валютным законодательством Республики Казахстан</v>
      </c>
      <c r="C444" s="2" t="str">
        <f t="shared" si="81"/>
        <v>1</v>
      </c>
      <c r="D444" s="2" t="str">
        <f>"9"</f>
        <v>9</v>
      </c>
      <c r="E444" s="2" t="str">
        <f>"3"</f>
        <v>3</v>
      </c>
      <c r="F444" s="3">
        <v>19943629.710000001</v>
      </c>
    </row>
    <row r="445" spans="1:6" x14ac:dyDescent="0.25">
      <c r="A445" s="4" t="str">
        <f t="shared" si="79"/>
        <v>2237</v>
      </c>
      <c r="B445" s="2" t="str">
        <f t="shared" si="80"/>
        <v>Счет хранения указаний отправителя в соответствии с валютным законодательством Республики Казахстан</v>
      </c>
      <c r="C445" s="2" t="str">
        <f t="shared" ref="C445:C454" si="82">"2"</f>
        <v>2</v>
      </c>
      <c r="D445" s="2" t="str">
        <f>"1"</f>
        <v>1</v>
      </c>
      <c r="E445" s="2" t="str">
        <f>"1"</f>
        <v>1</v>
      </c>
      <c r="F445" s="3">
        <v>5695.05</v>
      </c>
    </row>
    <row r="446" spans="1:6" x14ac:dyDescent="0.25">
      <c r="A446" s="4" t="str">
        <f t="shared" si="79"/>
        <v>2237</v>
      </c>
      <c r="B446" s="2" t="str">
        <f t="shared" si="80"/>
        <v>Счет хранения указаний отправителя в соответствии с валютным законодательством Республики Казахстан</v>
      </c>
      <c r="C446" s="2" t="str">
        <f t="shared" si="82"/>
        <v>2</v>
      </c>
      <c r="D446" s="2" t="str">
        <f>"4"</f>
        <v>4</v>
      </c>
      <c r="E446" s="2" t="str">
        <f>"1"</f>
        <v>1</v>
      </c>
      <c r="F446" s="3">
        <v>22888804.850000001</v>
      </c>
    </row>
    <row r="447" spans="1:6" x14ac:dyDescent="0.25">
      <c r="A447" s="4" t="str">
        <f t="shared" si="79"/>
        <v>2237</v>
      </c>
      <c r="B447" s="2" t="str">
        <f t="shared" si="80"/>
        <v>Счет хранения указаний отправителя в соответствии с валютным законодательством Республики Казахстан</v>
      </c>
      <c r="C447" s="2" t="str">
        <f t="shared" si="82"/>
        <v>2</v>
      </c>
      <c r="D447" s="2" t="str">
        <f>"5"</f>
        <v>5</v>
      </c>
      <c r="E447" s="2" t="str">
        <f>"2"</f>
        <v>2</v>
      </c>
      <c r="F447" s="3">
        <v>3427276271.6799998</v>
      </c>
    </row>
    <row r="448" spans="1:6" x14ac:dyDescent="0.25">
      <c r="A448" s="4" t="str">
        <f t="shared" si="79"/>
        <v>2237</v>
      </c>
      <c r="B448" s="2" t="str">
        <f t="shared" si="80"/>
        <v>Счет хранения указаний отправителя в соответствии с валютным законодательством Республики Казахстан</v>
      </c>
      <c r="C448" s="2" t="str">
        <f t="shared" si="82"/>
        <v>2</v>
      </c>
      <c r="D448" s="2" t="str">
        <f>"7"</f>
        <v>7</v>
      </c>
      <c r="E448" s="2" t="str">
        <f>"2"</f>
        <v>2</v>
      </c>
      <c r="F448" s="3">
        <v>13144942985.26</v>
      </c>
    </row>
    <row r="449" spans="1:6" x14ac:dyDescent="0.25">
      <c r="A449" s="4" t="str">
        <f t="shared" si="79"/>
        <v>2237</v>
      </c>
      <c r="B449" s="2" t="str">
        <f t="shared" si="80"/>
        <v>Счет хранения указаний отправителя в соответствии с валютным законодательством Республики Казахстан</v>
      </c>
      <c r="C449" s="2" t="str">
        <f t="shared" si="82"/>
        <v>2</v>
      </c>
      <c r="D449" s="2" t="str">
        <f>"7"</f>
        <v>7</v>
      </c>
      <c r="E449" s="2" t="str">
        <f>"1"</f>
        <v>1</v>
      </c>
      <c r="F449" s="3">
        <v>199354726.59999999</v>
      </c>
    </row>
    <row r="450" spans="1:6" x14ac:dyDescent="0.25">
      <c r="A450" s="4" t="str">
        <f t="shared" si="79"/>
        <v>2237</v>
      </c>
      <c r="B450" s="2" t="str">
        <f t="shared" si="80"/>
        <v>Счет хранения указаний отправителя в соответствии с валютным законодательством Республики Казахстан</v>
      </c>
      <c r="C450" s="2" t="str">
        <f t="shared" si="82"/>
        <v>2</v>
      </c>
      <c r="D450" s="2" t="str">
        <f>"7"</f>
        <v>7</v>
      </c>
      <c r="E450" s="2" t="str">
        <f>"3"</f>
        <v>3</v>
      </c>
      <c r="F450" s="3">
        <v>95164687.680000007</v>
      </c>
    </row>
    <row r="451" spans="1:6" x14ac:dyDescent="0.25">
      <c r="A451" s="4" t="str">
        <f t="shared" si="79"/>
        <v>2237</v>
      </c>
      <c r="B451" s="2" t="str">
        <f t="shared" si="80"/>
        <v>Счет хранения указаний отправителя в соответствии с валютным законодательством Республики Казахстан</v>
      </c>
      <c r="C451" s="2" t="str">
        <f t="shared" si="82"/>
        <v>2</v>
      </c>
      <c r="D451" s="2" t="str">
        <f>"5"</f>
        <v>5</v>
      </c>
      <c r="E451" s="2" t="str">
        <f>"3"</f>
        <v>3</v>
      </c>
      <c r="F451" s="3">
        <v>257000000</v>
      </c>
    </row>
    <row r="452" spans="1:6" x14ac:dyDescent="0.25">
      <c r="A452" s="4" t="str">
        <f t="shared" si="79"/>
        <v>2237</v>
      </c>
      <c r="B452" s="2" t="str">
        <f t="shared" si="80"/>
        <v>Счет хранения указаний отправителя в соответствии с валютным законодательством Республики Казахстан</v>
      </c>
      <c r="C452" s="2" t="str">
        <f t="shared" si="82"/>
        <v>2</v>
      </c>
      <c r="D452" s="2" t="str">
        <f>"9"</f>
        <v>9</v>
      </c>
      <c r="E452" s="2" t="str">
        <f>"1"</f>
        <v>1</v>
      </c>
      <c r="F452" s="3">
        <v>4745826.5599999996</v>
      </c>
    </row>
    <row r="453" spans="1:6" x14ac:dyDescent="0.25">
      <c r="A453" s="4" t="str">
        <f t="shared" si="79"/>
        <v>2237</v>
      </c>
      <c r="B453" s="2" t="str">
        <f t="shared" si="80"/>
        <v>Счет хранения указаний отправителя в соответствии с валютным законодательством Республики Казахстан</v>
      </c>
      <c r="C453" s="2" t="str">
        <f t="shared" si="82"/>
        <v>2</v>
      </c>
      <c r="D453" s="2" t="str">
        <f>"9"</f>
        <v>9</v>
      </c>
      <c r="E453" s="2" t="str">
        <f>"2"</f>
        <v>2</v>
      </c>
      <c r="F453" s="3">
        <v>682341659.90999997</v>
      </c>
    </row>
    <row r="454" spans="1:6" x14ac:dyDescent="0.25">
      <c r="A454" s="4" t="str">
        <f t="shared" si="79"/>
        <v>2237</v>
      </c>
      <c r="B454" s="2" t="str">
        <f t="shared" si="80"/>
        <v>Счет хранения указаний отправителя в соответствии с валютным законодательством Республики Казахстан</v>
      </c>
      <c r="C454" s="2" t="str">
        <f t="shared" si="82"/>
        <v>2</v>
      </c>
      <c r="D454" s="2" t="str">
        <f>"9"</f>
        <v>9</v>
      </c>
      <c r="E454" s="2" t="str">
        <f>"3"</f>
        <v>3</v>
      </c>
      <c r="F454" s="3">
        <v>55724297.420000002</v>
      </c>
    </row>
    <row r="455" spans="1:6" x14ac:dyDescent="0.25">
      <c r="A455" s="4" t="str">
        <f t="shared" ref="A455:A460" si="83">"2240"</f>
        <v>2240</v>
      </c>
      <c r="B455" s="2" t="str">
        <f t="shared" ref="B455:B460" si="8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55" s="2" t="str">
        <f>"1"</f>
        <v>1</v>
      </c>
      <c r="D455" s="2" t="str">
        <f>"6"</f>
        <v>6</v>
      </c>
      <c r="E455" s="2" t="str">
        <f>"1"</f>
        <v>1</v>
      </c>
      <c r="F455" s="3">
        <v>233090237.02000001</v>
      </c>
    </row>
    <row r="456" spans="1:6" x14ac:dyDescent="0.25">
      <c r="A456" s="4" t="str">
        <f t="shared" si="83"/>
        <v>2240</v>
      </c>
      <c r="B456" s="2" t="str">
        <f t="shared" si="84"/>
        <v>Счет хранения денег, принятых в качестве обеспечения (заклад, задаток) обязательств клиентов</v>
      </c>
      <c r="C456" s="2" t="str">
        <f>"1"</f>
        <v>1</v>
      </c>
      <c r="D456" s="2" t="str">
        <f>"5"</f>
        <v>5</v>
      </c>
      <c r="E456" s="2" t="str">
        <f>"1"</f>
        <v>1</v>
      </c>
      <c r="F456" s="3">
        <v>2731395118.1799998</v>
      </c>
    </row>
    <row r="457" spans="1:6" x14ac:dyDescent="0.25">
      <c r="A457" s="4" t="str">
        <f t="shared" si="83"/>
        <v>2240</v>
      </c>
      <c r="B457" s="2" t="str">
        <f t="shared" si="84"/>
        <v>Счет хранения денег, принятых в качестве обеспечения (заклад, задаток) обязательств клиентов</v>
      </c>
      <c r="C457" s="2" t="str">
        <f>"1"</f>
        <v>1</v>
      </c>
      <c r="D457" s="2" t="str">
        <f>"9"</f>
        <v>9</v>
      </c>
      <c r="E457" s="2" t="str">
        <f>"2"</f>
        <v>2</v>
      </c>
      <c r="F457" s="3">
        <v>4506547.09</v>
      </c>
    </row>
    <row r="458" spans="1:6" x14ac:dyDescent="0.25">
      <c r="A458" s="4" t="str">
        <f t="shared" si="83"/>
        <v>2240</v>
      </c>
      <c r="B458" s="2" t="str">
        <f t="shared" si="84"/>
        <v>Счет хранения денег, принятых в качестве обеспечения (заклад, задаток) обязательств клиентов</v>
      </c>
      <c r="C458" s="2" t="str">
        <f>"1"</f>
        <v>1</v>
      </c>
      <c r="D458" s="2" t="str">
        <f>"9"</f>
        <v>9</v>
      </c>
      <c r="E458" s="2" t="str">
        <f>"1"</f>
        <v>1</v>
      </c>
      <c r="F458" s="3">
        <v>392692278.25999999</v>
      </c>
    </row>
    <row r="459" spans="1:6" x14ac:dyDescent="0.25">
      <c r="A459" s="4" t="str">
        <f t="shared" si="83"/>
        <v>2240</v>
      </c>
      <c r="B459" s="2" t="str">
        <f t="shared" si="84"/>
        <v>Счет хранения денег, принятых в качестве обеспечения (заклад, задаток) обязательств клиентов</v>
      </c>
      <c r="C459" s="2" t="str">
        <f>"2"</f>
        <v>2</v>
      </c>
      <c r="D459" s="2" t="str">
        <f>"9"</f>
        <v>9</v>
      </c>
      <c r="E459" s="2" t="str">
        <f>"1"</f>
        <v>1</v>
      </c>
      <c r="F459" s="3">
        <v>2722725</v>
      </c>
    </row>
    <row r="460" spans="1:6" x14ac:dyDescent="0.25">
      <c r="A460" s="4" t="str">
        <f t="shared" si="83"/>
        <v>2240</v>
      </c>
      <c r="B460" s="2" t="str">
        <f t="shared" si="84"/>
        <v>Счет хранения денег, принятых в качестве обеспечения (заклад, задаток) обязательств клиентов</v>
      </c>
      <c r="C460" s="2" t="str">
        <f t="shared" ref="C460:C478" si="85">"1"</f>
        <v>1</v>
      </c>
      <c r="D460" s="2" t="str">
        <f>"7"</f>
        <v>7</v>
      </c>
      <c r="E460" s="2" t="str">
        <f>"1"</f>
        <v>1</v>
      </c>
      <c r="F460" s="3">
        <v>13344070834.52</v>
      </c>
    </row>
    <row r="461" spans="1:6" x14ac:dyDescent="0.25">
      <c r="A461" s="4" t="str">
        <f>"2241"</f>
        <v>2241</v>
      </c>
      <c r="B461" s="2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C461" s="2" t="str">
        <f t="shared" si="85"/>
        <v>1</v>
      </c>
      <c r="D461" s="2" t="str">
        <f>"9"</f>
        <v>9</v>
      </c>
      <c r="E461" s="2" t="str">
        <f>"1"</f>
        <v>1</v>
      </c>
      <c r="F461" s="3">
        <v>17948126407.189999</v>
      </c>
    </row>
    <row r="462" spans="1:6" x14ac:dyDescent="0.25">
      <c r="A462" s="4" t="str">
        <f>"2241"</f>
        <v>2241</v>
      </c>
      <c r="B462" s="2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C462" s="2" t="str">
        <f t="shared" si="85"/>
        <v>1</v>
      </c>
      <c r="D462" s="2" t="str">
        <f>"9"</f>
        <v>9</v>
      </c>
      <c r="E462" s="2" t="str">
        <f>"2"</f>
        <v>2</v>
      </c>
      <c r="F462" s="3">
        <v>6349443732.4799995</v>
      </c>
    </row>
    <row r="463" spans="1:6" x14ac:dyDescent="0.25">
      <c r="A463" s="4" t="str">
        <f>"2255"</f>
        <v>2255</v>
      </c>
      <c r="B463" s="2" t="str">
        <f>"Операции «РЕПО» с ценными бумагами"</f>
        <v>Операции «РЕПО» с ценными бумагами</v>
      </c>
      <c r="C463" s="2" t="str">
        <f t="shared" si="85"/>
        <v>1</v>
      </c>
      <c r="D463" s="2" t="str">
        <f t="shared" ref="D463:D470" si="86">"5"</f>
        <v>5</v>
      </c>
      <c r="E463" s="2" t="str">
        <f t="shared" ref="E463:E472" si="87">"1"</f>
        <v>1</v>
      </c>
      <c r="F463" s="3">
        <v>191390316525.47</v>
      </c>
    </row>
    <row r="464" spans="1:6" x14ac:dyDescent="0.25">
      <c r="A464" s="4" t="str">
        <f>"2301"</f>
        <v>2301</v>
      </c>
      <c r="B464" s="2" t="str">
        <f>"Выпущенные в обращение облигации"</f>
        <v>Выпущенные в обращение облигации</v>
      </c>
      <c r="C464" s="2" t="str">
        <f t="shared" si="85"/>
        <v>1</v>
      </c>
      <c r="D464" s="2" t="str">
        <f t="shared" si="86"/>
        <v>5</v>
      </c>
      <c r="E464" s="2" t="str">
        <f t="shared" si="87"/>
        <v>1</v>
      </c>
      <c r="F464" s="3">
        <v>16219642700</v>
      </c>
    </row>
    <row r="465" spans="1:6" x14ac:dyDescent="0.25">
      <c r="A465" s="4" t="str">
        <f>"2304"</f>
        <v>2304</v>
      </c>
      <c r="B465" s="2" t="str">
        <f>"Премия по выпущенным в обращение ценным бумагам"</f>
        <v>Премия по выпущенным в обращение ценным бумагам</v>
      </c>
      <c r="C465" s="2" t="str">
        <f t="shared" si="85"/>
        <v>1</v>
      </c>
      <c r="D465" s="2" t="str">
        <f t="shared" si="86"/>
        <v>5</v>
      </c>
      <c r="E465" s="2" t="str">
        <f t="shared" si="87"/>
        <v>1</v>
      </c>
      <c r="F465" s="3">
        <v>81765404.870000005</v>
      </c>
    </row>
    <row r="466" spans="1:6" x14ac:dyDescent="0.25">
      <c r="A466" s="4" t="str">
        <f>"2305"</f>
        <v>2305</v>
      </c>
      <c r="B466" s="2" t="str">
        <f>"Дисконт по выпущенным в обращение ценным бумагам"</f>
        <v>Дисконт по выпущенным в обращение ценным бумагам</v>
      </c>
      <c r="C466" s="2" t="str">
        <f t="shared" si="85"/>
        <v>1</v>
      </c>
      <c r="D466" s="2" t="str">
        <f t="shared" si="86"/>
        <v>5</v>
      </c>
      <c r="E466" s="2" t="str">
        <f t="shared" si="87"/>
        <v>1</v>
      </c>
      <c r="F466" s="3">
        <v>-100901461.17</v>
      </c>
    </row>
    <row r="467" spans="1:6" x14ac:dyDescent="0.25">
      <c r="A467" s="4" t="str">
        <f>"2306"</f>
        <v>2306</v>
      </c>
      <c r="B467" s="2" t="str">
        <f>"Выкупленные облигации"</f>
        <v>Выкупленные облигации</v>
      </c>
      <c r="C467" s="2" t="str">
        <f t="shared" si="85"/>
        <v>1</v>
      </c>
      <c r="D467" s="2" t="str">
        <f t="shared" si="86"/>
        <v>5</v>
      </c>
      <c r="E467" s="2" t="str">
        <f t="shared" si="87"/>
        <v>1</v>
      </c>
      <c r="F467" s="3">
        <v>-160930000</v>
      </c>
    </row>
    <row r="468" spans="1:6" x14ac:dyDescent="0.25">
      <c r="A468" s="4" t="str">
        <f>"2404"</f>
        <v>2404</v>
      </c>
      <c r="B468" s="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68" s="2" t="str">
        <f t="shared" si="85"/>
        <v>1</v>
      </c>
      <c r="D468" s="2" t="str">
        <f t="shared" si="86"/>
        <v>5</v>
      </c>
      <c r="E468" s="2" t="str">
        <f t="shared" si="87"/>
        <v>1</v>
      </c>
      <c r="F468" s="3">
        <v>-92145676826.559998</v>
      </c>
    </row>
    <row r="469" spans="1:6" x14ac:dyDescent="0.25">
      <c r="A469" s="4" t="str">
        <f>"2405"</f>
        <v>2405</v>
      </c>
      <c r="B469" s="2" t="str">
        <f>"Выкупленные субординированные облигации"</f>
        <v>Выкупленные субординированные облигации</v>
      </c>
      <c r="C469" s="2" t="str">
        <f t="shared" si="85"/>
        <v>1</v>
      </c>
      <c r="D469" s="2" t="str">
        <f t="shared" si="86"/>
        <v>5</v>
      </c>
      <c r="E469" s="2" t="str">
        <f t="shared" si="87"/>
        <v>1</v>
      </c>
      <c r="F469" s="3">
        <v>-40450000</v>
      </c>
    </row>
    <row r="470" spans="1:6" x14ac:dyDescent="0.25">
      <c r="A470" s="4" t="str">
        <f>"2406"</f>
        <v>2406</v>
      </c>
      <c r="B470" s="2" t="str">
        <f>"Субординированные облигации"</f>
        <v>Субординированные облигации</v>
      </c>
      <c r="C470" s="2" t="str">
        <f t="shared" si="85"/>
        <v>1</v>
      </c>
      <c r="D470" s="2" t="str">
        <f t="shared" si="86"/>
        <v>5</v>
      </c>
      <c r="E470" s="2" t="str">
        <f t="shared" si="87"/>
        <v>1</v>
      </c>
      <c r="F470" s="3">
        <v>167510000000</v>
      </c>
    </row>
    <row r="471" spans="1:6" x14ac:dyDescent="0.25">
      <c r="A471" s="4" t="str">
        <f>"2551"</f>
        <v>2551</v>
      </c>
      <c r="B471" s="2" t="str">
        <f>"Расчеты с другими банками"</f>
        <v>Расчеты с другими банками</v>
      </c>
      <c r="C471" s="2" t="str">
        <f t="shared" si="85"/>
        <v>1</v>
      </c>
      <c r="D471" s="2" t="str">
        <f>"4"</f>
        <v>4</v>
      </c>
      <c r="E471" s="2" t="str">
        <f t="shared" si="87"/>
        <v>1</v>
      </c>
      <c r="F471" s="3">
        <v>28414899.109999999</v>
      </c>
    </row>
    <row r="472" spans="1:6" x14ac:dyDescent="0.25">
      <c r="A472" s="4" t="str">
        <f>"2552"</f>
        <v>2552</v>
      </c>
      <c r="B472" s="2" t="str">
        <f>"Расчеты с клиентами"</f>
        <v>Расчеты с клиентами</v>
      </c>
      <c r="C472" s="2" t="str">
        <f t="shared" si="85"/>
        <v>1</v>
      </c>
      <c r="D472" s="2" t="str">
        <f>"6"</f>
        <v>6</v>
      </c>
      <c r="E472" s="2" t="str">
        <f t="shared" si="87"/>
        <v>1</v>
      </c>
      <c r="F472" s="3">
        <v>153439.25</v>
      </c>
    </row>
    <row r="473" spans="1:6" x14ac:dyDescent="0.25">
      <c r="A473" s="4" t="str">
        <f>"2703"</f>
        <v>2703</v>
      </c>
      <c r="B473" s="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73" s="2" t="str">
        <f t="shared" si="85"/>
        <v>1</v>
      </c>
      <c r="D473" s="2" t="str">
        <f>"1"</f>
        <v>1</v>
      </c>
      <c r="E473" s="2" t="str">
        <f>"2"</f>
        <v>2</v>
      </c>
      <c r="F473" s="3">
        <v>120358.61</v>
      </c>
    </row>
    <row r="474" spans="1:6" x14ac:dyDescent="0.25">
      <c r="A474" s="4" t="str">
        <f>"2703"</f>
        <v>2703</v>
      </c>
      <c r="B474" s="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74" s="2" t="str">
        <f t="shared" si="85"/>
        <v>1</v>
      </c>
      <c r="D474" s="2" t="str">
        <f>"1"</f>
        <v>1</v>
      </c>
      <c r="E474" s="2" t="str">
        <f>"1"</f>
        <v>1</v>
      </c>
      <c r="F474" s="3">
        <v>1048933.25</v>
      </c>
    </row>
    <row r="475" spans="1:6" x14ac:dyDescent="0.25">
      <c r="A475" s="4" t="str">
        <f>"2705"</f>
        <v>2705</v>
      </c>
      <c r="B475" s="2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75" s="2" t="str">
        <f t="shared" si="85"/>
        <v>1</v>
      </c>
      <c r="D475" s="2" t="str">
        <f>"4"</f>
        <v>4</v>
      </c>
      <c r="E475" s="2" t="str">
        <f>"1"</f>
        <v>1</v>
      </c>
      <c r="F475" s="3">
        <v>56402321.109999999</v>
      </c>
    </row>
    <row r="476" spans="1:6" x14ac:dyDescent="0.25">
      <c r="A476" s="4" t="str">
        <f>"2706"</f>
        <v>2706</v>
      </c>
      <c r="B476" s="2" t="str">
        <f>"Начисленные расходы по займам и финансовому лизингу"</f>
        <v>Начисленные расходы по займам и финансовому лизингу</v>
      </c>
      <c r="C476" s="2" t="str">
        <f t="shared" si="85"/>
        <v>1</v>
      </c>
      <c r="D476" s="2" t="str">
        <f>"5"</f>
        <v>5</v>
      </c>
      <c r="E476" s="2" t="str">
        <f>"1"</f>
        <v>1</v>
      </c>
      <c r="F476" s="3">
        <v>143026975.50999999</v>
      </c>
    </row>
    <row r="477" spans="1:6" x14ac:dyDescent="0.25">
      <c r="A477" s="4" t="str">
        <f>"2718"</f>
        <v>2718</v>
      </c>
      <c r="B477" s="2" t="str">
        <f>"Начисленные расходы по текущим счетам клиентов"</f>
        <v>Начисленные расходы по текущим счетам клиентов</v>
      </c>
      <c r="C477" s="2" t="str">
        <f t="shared" si="85"/>
        <v>1</v>
      </c>
      <c r="D477" s="2" t="str">
        <f>"9"</f>
        <v>9</v>
      </c>
      <c r="E477" s="2" t="str">
        <f>"3"</f>
        <v>3</v>
      </c>
      <c r="F477" s="3">
        <v>0</v>
      </c>
    </row>
    <row r="478" spans="1:6" x14ac:dyDescent="0.25">
      <c r="A478" s="4" t="str">
        <f>"2718"</f>
        <v>2718</v>
      </c>
      <c r="B478" s="2" t="str">
        <f>"Начисленные расходы по текущим счетам клиентов"</f>
        <v>Начисленные расходы по текущим счетам клиентов</v>
      </c>
      <c r="C478" s="2" t="str">
        <f t="shared" si="85"/>
        <v>1</v>
      </c>
      <c r="D478" s="2" t="str">
        <f>"9"</f>
        <v>9</v>
      </c>
      <c r="E478" s="2" t="str">
        <f>"2"</f>
        <v>2</v>
      </c>
      <c r="F478" s="3">
        <v>0</v>
      </c>
    </row>
    <row r="479" spans="1:6" x14ac:dyDescent="0.25">
      <c r="A479" s="4" t="str">
        <f>"2718"</f>
        <v>2718</v>
      </c>
      <c r="B479" s="2" t="str">
        <f>"Начисленные расходы по текущим счетам клиентов"</f>
        <v>Начисленные расходы по текущим счетам клиентов</v>
      </c>
      <c r="C479" s="2" t="str">
        <f>"2"</f>
        <v>2</v>
      </c>
      <c r="D479" s="2" t="str">
        <f>"9"</f>
        <v>9</v>
      </c>
      <c r="E479" s="2" t="str">
        <f>"1"</f>
        <v>1</v>
      </c>
      <c r="F479" s="3">
        <v>0</v>
      </c>
    </row>
    <row r="480" spans="1:6" x14ac:dyDescent="0.25">
      <c r="A480" s="4" t="str">
        <f>"2718"</f>
        <v>2718</v>
      </c>
      <c r="B480" s="2" t="str">
        <f>"Начисленные расходы по текущим счетам клиентов"</f>
        <v>Начисленные расходы по текущим счетам клиентов</v>
      </c>
      <c r="C480" s="2" t="str">
        <f>"1"</f>
        <v>1</v>
      </c>
      <c r="D480" s="2" t="str">
        <f>"9"</f>
        <v>9</v>
      </c>
      <c r="E480" s="2" t="str">
        <f>"1"</f>
        <v>1</v>
      </c>
      <c r="F480" s="3">
        <v>0</v>
      </c>
    </row>
    <row r="481" spans="1:6" x14ac:dyDescent="0.25">
      <c r="A481" s="4" t="str">
        <f t="shared" ref="A481:A486" si="88">"2719"</f>
        <v>2719</v>
      </c>
      <c r="B481" s="2" t="str">
        <f t="shared" ref="B481:B486" si="89">"Начисленные расходы по условным вкладам клиентов"</f>
        <v>Начисленные расходы по условным вкладам клиентов</v>
      </c>
      <c r="C481" s="2" t="str">
        <f>"1"</f>
        <v>1</v>
      </c>
      <c r="D481" s="2" t="str">
        <f>"7"</f>
        <v>7</v>
      </c>
      <c r="E481" s="2" t="str">
        <f>"2"</f>
        <v>2</v>
      </c>
      <c r="F481" s="3">
        <v>3149.48</v>
      </c>
    </row>
    <row r="482" spans="1:6" x14ac:dyDescent="0.25">
      <c r="A482" s="4" t="str">
        <f t="shared" si="88"/>
        <v>2719</v>
      </c>
      <c r="B482" s="2" t="str">
        <f t="shared" si="89"/>
        <v>Начисленные расходы по условным вкладам клиентов</v>
      </c>
      <c r="C482" s="2" t="str">
        <f>"1"</f>
        <v>1</v>
      </c>
      <c r="D482" s="2" t="str">
        <f>"7"</f>
        <v>7</v>
      </c>
      <c r="E482" s="2" t="str">
        <f>"1"</f>
        <v>1</v>
      </c>
      <c r="F482" s="3">
        <v>70688.570000000007</v>
      </c>
    </row>
    <row r="483" spans="1:6" x14ac:dyDescent="0.25">
      <c r="A483" s="4" t="str">
        <f t="shared" si="88"/>
        <v>2719</v>
      </c>
      <c r="B483" s="2" t="str">
        <f t="shared" si="89"/>
        <v>Начисленные расходы по условным вкладам клиентов</v>
      </c>
      <c r="C483" s="2" t="str">
        <f>"1"</f>
        <v>1</v>
      </c>
      <c r="D483" s="2" t="str">
        <f>"8"</f>
        <v>8</v>
      </c>
      <c r="E483" s="2" t="str">
        <f>"1"</f>
        <v>1</v>
      </c>
      <c r="F483" s="3">
        <v>138.47</v>
      </c>
    </row>
    <row r="484" spans="1:6" x14ac:dyDescent="0.25">
      <c r="A484" s="4" t="str">
        <f t="shared" si="88"/>
        <v>2719</v>
      </c>
      <c r="B484" s="2" t="str">
        <f t="shared" si="89"/>
        <v>Начисленные расходы по условным вкладам клиентов</v>
      </c>
      <c r="C484" s="2" t="str">
        <f>"2"</f>
        <v>2</v>
      </c>
      <c r="D484" s="2" t="str">
        <f>"7"</f>
        <v>7</v>
      </c>
      <c r="E484" s="2" t="str">
        <f>"1"</f>
        <v>1</v>
      </c>
      <c r="F484" s="3">
        <v>881.85</v>
      </c>
    </row>
    <row r="485" spans="1:6" x14ac:dyDescent="0.25">
      <c r="A485" s="4" t="str">
        <f t="shared" si="88"/>
        <v>2719</v>
      </c>
      <c r="B485" s="2" t="str">
        <f t="shared" si="89"/>
        <v>Начисленные расходы по условным вкладам клиентов</v>
      </c>
      <c r="C485" s="2" t="str">
        <f t="shared" ref="C485:C492" si="90">"1"</f>
        <v>1</v>
      </c>
      <c r="D485" s="2" t="str">
        <f>"9"</f>
        <v>9</v>
      </c>
      <c r="E485" s="2" t="str">
        <f>"1"</f>
        <v>1</v>
      </c>
      <c r="F485" s="3">
        <v>866013.95</v>
      </c>
    </row>
    <row r="486" spans="1:6" x14ac:dyDescent="0.25">
      <c r="A486" s="4" t="str">
        <f t="shared" si="88"/>
        <v>2719</v>
      </c>
      <c r="B486" s="2" t="str">
        <f t="shared" si="89"/>
        <v>Начисленные расходы по условным вкладам клиентов</v>
      </c>
      <c r="C486" s="2" t="str">
        <f t="shared" si="90"/>
        <v>1</v>
      </c>
      <c r="D486" s="2" t="str">
        <f>"9"</f>
        <v>9</v>
      </c>
      <c r="E486" s="2" t="str">
        <f>"2"</f>
        <v>2</v>
      </c>
      <c r="F486" s="3">
        <v>1679875.5</v>
      </c>
    </row>
    <row r="487" spans="1:6" x14ac:dyDescent="0.25">
      <c r="A487" s="4" t="str">
        <f t="shared" ref="A487:A496" si="91">"2720"</f>
        <v>2720</v>
      </c>
      <c r="B487" s="2" t="str">
        <f t="shared" ref="B487:B496" si="92">"Начисленные расходы по вкладам до востребования клиентов"</f>
        <v>Начисленные расходы по вкладам до востребования клиентов</v>
      </c>
      <c r="C487" s="2" t="str">
        <f t="shared" si="90"/>
        <v>1</v>
      </c>
      <c r="D487" s="2" t="str">
        <f>"5"</f>
        <v>5</v>
      </c>
      <c r="E487" s="2" t="str">
        <f>"1"</f>
        <v>1</v>
      </c>
      <c r="F487" s="3">
        <v>1.86</v>
      </c>
    </row>
    <row r="488" spans="1:6" x14ac:dyDescent="0.25">
      <c r="A488" s="4" t="str">
        <f t="shared" si="91"/>
        <v>2720</v>
      </c>
      <c r="B488" s="2" t="str">
        <f t="shared" si="92"/>
        <v>Начисленные расходы по вкладам до востребования клиентов</v>
      </c>
      <c r="C488" s="2" t="str">
        <f t="shared" si="90"/>
        <v>1</v>
      </c>
      <c r="D488" s="2" t="str">
        <f>"7"</f>
        <v>7</v>
      </c>
      <c r="E488" s="2" t="str">
        <f>"1"</f>
        <v>1</v>
      </c>
      <c r="F488" s="3">
        <v>80712.86</v>
      </c>
    </row>
    <row r="489" spans="1:6" x14ac:dyDescent="0.25">
      <c r="A489" s="4" t="str">
        <f t="shared" si="91"/>
        <v>2720</v>
      </c>
      <c r="B489" s="2" t="str">
        <f t="shared" si="92"/>
        <v>Начисленные расходы по вкладам до востребования клиентов</v>
      </c>
      <c r="C489" s="2" t="str">
        <f t="shared" si="90"/>
        <v>1</v>
      </c>
      <c r="D489" s="2" t="str">
        <f>"7"</f>
        <v>7</v>
      </c>
      <c r="E489" s="2" t="str">
        <f>"2"</f>
        <v>2</v>
      </c>
      <c r="F489" s="3">
        <v>76.930000000000007</v>
      </c>
    </row>
    <row r="490" spans="1:6" x14ac:dyDescent="0.25">
      <c r="A490" s="4" t="str">
        <f t="shared" si="91"/>
        <v>2720</v>
      </c>
      <c r="B490" s="2" t="str">
        <f t="shared" si="92"/>
        <v>Начисленные расходы по вкладам до востребования клиентов</v>
      </c>
      <c r="C490" s="2" t="str">
        <f t="shared" si="90"/>
        <v>1</v>
      </c>
      <c r="D490" s="2" t="str">
        <f>"9"</f>
        <v>9</v>
      </c>
      <c r="E490" s="2" t="str">
        <f>"1"</f>
        <v>1</v>
      </c>
      <c r="F490" s="3">
        <v>8513.52</v>
      </c>
    </row>
    <row r="491" spans="1:6" x14ac:dyDescent="0.25">
      <c r="A491" s="4" t="str">
        <f t="shared" si="91"/>
        <v>2720</v>
      </c>
      <c r="B491" s="2" t="str">
        <f t="shared" si="92"/>
        <v>Начисленные расходы по вкладам до востребования клиентов</v>
      </c>
      <c r="C491" s="2" t="str">
        <f t="shared" si="90"/>
        <v>1</v>
      </c>
      <c r="D491" s="2" t="str">
        <f>"9"</f>
        <v>9</v>
      </c>
      <c r="E491" s="2" t="str">
        <f>"3"</f>
        <v>3</v>
      </c>
      <c r="F491" s="3">
        <v>6.74</v>
      </c>
    </row>
    <row r="492" spans="1:6" x14ac:dyDescent="0.25">
      <c r="A492" s="4" t="str">
        <f t="shared" si="91"/>
        <v>2720</v>
      </c>
      <c r="B492" s="2" t="str">
        <f t="shared" si="92"/>
        <v>Начисленные расходы по вкладам до востребования клиентов</v>
      </c>
      <c r="C492" s="2" t="str">
        <f t="shared" si="90"/>
        <v>1</v>
      </c>
      <c r="D492" s="2" t="str">
        <f>"9"</f>
        <v>9</v>
      </c>
      <c r="E492" s="2" t="str">
        <f>"2"</f>
        <v>2</v>
      </c>
      <c r="F492" s="3">
        <v>9312.66</v>
      </c>
    </row>
    <row r="493" spans="1:6" x14ac:dyDescent="0.25">
      <c r="A493" s="4" t="str">
        <f t="shared" si="91"/>
        <v>2720</v>
      </c>
      <c r="B493" s="2" t="str">
        <f t="shared" si="92"/>
        <v>Начисленные расходы по вкладам до востребования клиентов</v>
      </c>
      <c r="C493" s="2" t="str">
        <f>"2"</f>
        <v>2</v>
      </c>
      <c r="D493" s="2" t="str">
        <f>"7"</f>
        <v>7</v>
      </c>
      <c r="E493" s="2" t="str">
        <f>"2"</f>
        <v>2</v>
      </c>
      <c r="F493" s="3">
        <v>22.63</v>
      </c>
    </row>
    <row r="494" spans="1:6" x14ac:dyDescent="0.25">
      <c r="A494" s="4" t="str">
        <f t="shared" si="91"/>
        <v>2720</v>
      </c>
      <c r="B494" s="2" t="str">
        <f t="shared" si="92"/>
        <v>Начисленные расходы по вкладам до востребования клиентов</v>
      </c>
      <c r="C494" s="2" t="str">
        <f>"2"</f>
        <v>2</v>
      </c>
      <c r="D494" s="2" t="str">
        <f>"9"</f>
        <v>9</v>
      </c>
      <c r="E494" s="2" t="str">
        <f>"3"</f>
        <v>3</v>
      </c>
      <c r="F494" s="3">
        <v>1751.66</v>
      </c>
    </row>
    <row r="495" spans="1:6" x14ac:dyDescent="0.25">
      <c r="A495" s="4" t="str">
        <f t="shared" si="91"/>
        <v>2720</v>
      </c>
      <c r="B495" s="2" t="str">
        <f t="shared" si="92"/>
        <v>Начисленные расходы по вкладам до востребования клиентов</v>
      </c>
      <c r="C495" s="2" t="str">
        <f>"2"</f>
        <v>2</v>
      </c>
      <c r="D495" s="2" t="str">
        <f>"9"</f>
        <v>9</v>
      </c>
      <c r="E495" s="2" t="str">
        <f>"1"</f>
        <v>1</v>
      </c>
      <c r="F495" s="3">
        <v>2610.92</v>
      </c>
    </row>
    <row r="496" spans="1:6" x14ac:dyDescent="0.25">
      <c r="A496" s="4" t="str">
        <f t="shared" si="91"/>
        <v>2720</v>
      </c>
      <c r="B496" s="2" t="str">
        <f t="shared" si="92"/>
        <v>Начисленные расходы по вкладам до востребования клиентов</v>
      </c>
      <c r="C496" s="2" t="str">
        <f>"2"</f>
        <v>2</v>
      </c>
      <c r="D496" s="2" t="str">
        <f>"9"</f>
        <v>9</v>
      </c>
      <c r="E496" s="2" t="str">
        <f>"2"</f>
        <v>2</v>
      </c>
      <c r="F496" s="3">
        <v>9258.3700000000008</v>
      </c>
    </row>
    <row r="497" spans="1:6" x14ac:dyDescent="0.25">
      <c r="A497" s="4" t="str">
        <f t="shared" ref="A497:A514" si="93">"2721"</f>
        <v>2721</v>
      </c>
      <c r="B497" s="2" t="str">
        <f t="shared" ref="B497:B514" si="94">"Начисленные расходы по срочным вкладам клиентов"</f>
        <v>Начисленные расходы по срочным вкладам клиентов</v>
      </c>
      <c r="C497" s="2" t="str">
        <f t="shared" ref="C497:C508" si="95">"1"</f>
        <v>1</v>
      </c>
      <c r="D497" s="2" t="str">
        <f>"5"</f>
        <v>5</v>
      </c>
      <c r="E497" s="2" t="str">
        <f>"2"</f>
        <v>2</v>
      </c>
      <c r="F497" s="3">
        <v>11946596.779999999</v>
      </c>
    </row>
    <row r="498" spans="1:6" x14ac:dyDescent="0.25">
      <c r="A498" s="4" t="str">
        <f t="shared" si="93"/>
        <v>2721</v>
      </c>
      <c r="B498" s="2" t="str">
        <f t="shared" si="94"/>
        <v>Начисленные расходы по срочным вкладам клиентов</v>
      </c>
      <c r="C498" s="2" t="str">
        <f t="shared" si="95"/>
        <v>1</v>
      </c>
      <c r="D498" s="2" t="str">
        <f>"5"</f>
        <v>5</v>
      </c>
      <c r="E498" s="2" t="str">
        <f>"1"</f>
        <v>1</v>
      </c>
      <c r="F498" s="3">
        <v>1752214770.24</v>
      </c>
    </row>
    <row r="499" spans="1:6" x14ac:dyDescent="0.25">
      <c r="A499" s="4" t="str">
        <f t="shared" si="93"/>
        <v>2721</v>
      </c>
      <c r="B499" s="2" t="str">
        <f t="shared" si="94"/>
        <v>Начисленные расходы по срочным вкладам клиентов</v>
      </c>
      <c r="C499" s="2" t="str">
        <f t="shared" si="95"/>
        <v>1</v>
      </c>
      <c r="D499" s="2" t="str">
        <f>"6"</f>
        <v>6</v>
      </c>
      <c r="E499" s="2" t="str">
        <f>"1"</f>
        <v>1</v>
      </c>
      <c r="F499" s="3">
        <v>201509566.12</v>
      </c>
    </row>
    <row r="500" spans="1:6" x14ac:dyDescent="0.25">
      <c r="A500" s="4" t="str">
        <f t="shared" si="93"/>
        <v>2721</v>
      </c>
      <c r="B500" s="2" t="str">
        <f t="shared" si="94"/>
        <v>Начисленные расходы по срочным вкладам клиентов</v>
      </c>
      <c r="C500" s="2" t="str">
        <f t="shared" si="95"/>
        <v>1</v>
      </c>
      <c r="D500" s="2" t="str">
        <f>"5"</f>
        <v>5</v>
      </c>
      <c r="E500" s="2" t="str">
        <f>"3"</f>
        <v>3</v>
      </c>
      <c r="F500" s="3">
        <v>5772.63</v>
      </c>
    </row>
    <row r="501" spans="1:6" x14ac:dyDescent="0.25">
      <c r="A501" s="4" t="str">
        <f t="shared" si="93"/>
        <v>2721</v>
      </c>
      <c r="B501" s="2" t="str">
        <f t="shared" si="94"/>
        <v>Начисленные расходы по срочным вкладам клиентов</v>
      </c>
      <c r="C501" s="2" t="str">
        <f t="shared" si="95"/>
        <v>1</v>
      </c>
      <c r="D501" s="2" t="str">
        <f>"7"</f>
        <v>7</v>
      </c>
      <c r="E501" s="2" t="str">
        <f>"1"</f>
        <v>1</v>
      </c>
      <c r="F501" s="3">
        <v>895168050.16999996</v>
      </c>
    </row>
    <row r="502" spans="1:6" x14ac:dyDescent="0.25">
      <c r="A502" s="4" t="str">
        <f t="shared" si="93"/>
        <v>2721</v>
      </c>
      <c r="B502" s="2" t="str">
        <f t="shared" si="94"/>
        <v>Начисленные расходы по срочным вкладам клиентов</v>
      </c>
      <c r="C502" s="2" t="str">
        <f t="shared" si="95"/>
        <v>1</v>
      </c>
      <c r="D502" s="2" t="str">
        <f>"7"</f>
        <v>7</v>
      </c>
      <c r="E502" s="2" t="str">
        <f>"3"</f>
        <v>3</v>
      </c>
      <c r="F502" s="3">
        <v>3290365.81</v>
      </c>
    </row>
    <row r="503" spans="1:6" x14ac:dyDescent="0.25">
      <c r="A503" s="4" t="str">
        <f t="shared" si="93"/>
        <v>2721</v>
      </c>
      <c r="B503" s="2" t="str">
        <f t="shared" si="94"/>
        <v>Начисленные расходы по срочным вкладам клиентов</v>
      </c>
      <c r="C503" s="2" t="str">
        <f t="shared" si="95"/>
        <v>1</v>
      </c>
      <c r="D503" s="2" t="str">
        <f>"7"</f>
        <v>7</v>
      </c>
      <c r="E503" s="2" t="str">
        <f>"2"</f>
        <v>2</v>
      </c>
      <c r="F503" s="3">
        <v>210144563.66</v>
      </c>
    </row>
    <row r="504" spans="1:6" x14ac:dyDescent="0.25">
      <c r="A504" s="4" t="str">
        <f t="shared" si="93"/>
        <v>2721</v>
      </c>
      <c r="B504" s="2" t="str">
        <f t="shared" si="94"/>
        <v>Начисленные расходы по срочным вкладам клиентов</v>
      </c>
      <c r="C504" s="2" t="str">
        <f t="shared" si="95"/>
        <v>1</v>
      </c>
      <c r="D504" s="2" t="str">
        <f>"9"</f>
        <v>9</v>
      </c>
      <c r="E504" s="2" t="str">
        <f>"2"</f>
        <v>2</v>
      </c>
      <c r="F504" s="3">
        <v>325.81</v>
      </c>
    </row>
    <row r="505" spans="1:6" x14ac:dyDescent="0.25">
      <c r="A505" s="4" t="str">
        <f t="shared" si="93"/>
        <v>2721</v>
      </c>
      <c r="B505" s="2" t="str">
        <f t="shared" si="94"/>
        <v>Начисленные расходы по срочным вкладам клиентов</v>
      </c>
      <c r="C505" s="2" t="str">
        <f t="shared" si="95"/>
        <v>1</v>
      </c>
      <c r="D505" s="2" t="str">
        <f>"9"</f>
        <v>9</v>
      </c>
      <c r="E505" s="2" t="str">
        <f>"1"</f>
        <v>1</v>
      </c>
      <c r="F505" s="3">
        <v>14438093.66</v>
      </c>
    </row>
    <row r="506" spans="1:6" x14ac:dyDescent="0.25">
      <c r="A506" s="4" t="str">
        <f t="shared" si="93"/>
        <v>2721</v>
      </c>
      <c r="B506" s="2" t="str">
        <f t="shared" si="94"/>
        <v>Начисленные расходы по срочным вкладам клиентов</v>
      </c>
      <c r="C506" s="2" t="str">
        <f t="shared" si="95"/>
        <v>1</v>
      </c>
      <c r="D506" s="2" t="str">
        <f>"8"</f>
        <v>8</v>
      </c>
      <c r="E506" s="2" t="str">
        <f>"1"</f>
        <v>1</v>
      </c>
      <c r="F506" s="3">
        <v>4340052.8499999996</v>
      </c>
    </row>
    <row r="507" spans="1:6" x14ac:dyDescent="0.25">
      <c r="A507" s="4" t="str">
        <f t="shared" si="93"/>
        <v>2721</v>
      </c>
      <c r="B507" s="2" t="str">
        <f t="shared" si="94"/>
        <v>Начисленные расходы по срочным вкладам клиентов</v>
      </c>
      <c r="C507" s="2" t="str">
        <f t="shared" si="95"/>
        <v>1</v>
      </c>
      <c r="D507" s="2" t="str">
        <f>"6"</f>
        <v>6</v>
      </c>
      <c r="E507" s="2" t="str">
        <f>"2"</f>
        <v>2</v>
      </c>
      <c r="F507" s="3">
        <v>102946.03</v>
      </c>
    </row>
    <row r="508" spans="1:6" x14ac:dyDescent="0.25">
      <c r="A508" s="4" t="str">
        <f t="shared" si="93"/>
        <v>2721</v>
      </c>
      <c r="B508" s="2" t="str">
        <f t="shared" si="94"/>
        <v>Начисленные расходы по срочным вкладам клиентов</v>
      </c>
      <c r="C508" s="2" t="str">
        <f t="shared" si="95"/>
        <v>1</v>
      </c>
      <c r="D508" s="2" t="str">
        <f>"9"</f>
        <v>9</v>
      </c>
      <c r="E508" s="2" t="str">
        <f>"3"</f>
        <v>3</v>
      </c>
      <c r="F508" s="3">
        <v>19.11</v>
      </c>
    </row>
    <row r="509" spans="1:6" x14ac:dyDescent="0.25">
      <c r="A509" s="4" t="str">
        <f t="shared" si="93"/>
        <v>2721</v>
      </c>
      <c r="B509" s="2" t="str">
        <f t="shared" si="94"/>
        <v>Начисленные расходы по срочным вкладам клиентов</v>
      </c>
      <c r="C509" s="2" t="str">
        <f t="shared" ref="C509:C514" si="96">"2"</f>
        <v>2</v>
      </c>
      <c r="D509" s="2" t="str">
        <f>"7"</f>
        <v>7</v>
      </c>
      <c r="E509" s="2" t="str">
        <f>"1"</f>
        <v>1</v>
      </c>
      <c r="F509" s="3">
        <v>1224602.3999999999</v>
      </c>
    </row>
    <row r="510" spans="1:6" x14ac:dyDescent="0.25">
      <c r="A510" s="4" t="str">
        <f t="shared" si="93"/>
        <v>2721</v>
      </c>
      <c r="B510" s="2" t="str">
        <f t="shared" si="94"/>
        <v>Начисленные расходы по срочным вкладам клиентов</v>
      </c>
      <c r="C510" s="2" t="str">
        <f t="shared" si="96"/>
        <v>2</v>
      </c>
      <c r="D510" s="2" t="str">
        <f>"5"</f>
        <v>5</v>
      </c>
      <c r="E510" s="2" t="str">
        <f>"2"</f>
        <v>2</v>
      </c>
      <c r="F510" s="3">
        <v>2172</v>
      </c>
    </row>
    <row r="511" spans="1:6" x14ac:dyDescent="0.25">
      <c r="A511" s="4" t="str">
        <f t="shared" si="93"/>
        <v>2721</v>
      </c>
      <c r="B511" s="2" t="str">
        <f t="shared" si="94"/>
        <v>Начисленные расходы по срочным вкладам клиентов</v>
      </c>
      <c r="C511" s="2" t="str">
        <f t="shared" si="96"/>
        <v>2</v>
      </c>
      <c r="D511" s="2" t="str">
        <f>"7"</f>
        <v>7</v>
      </c>
      <c r="E511" s="2" t="str">
        <f>"3"</f>
        <v>3</v>
      </c>
      <c r="F511" s="3">
        <v>3308429.36</v>
      </c>
    </row>
    <row r="512" spans="1:6" x14ac:dyDescent="0.25">
      <c r="A512" s="4" t="str">
        <f t="shared" si="93"/>
        <v>2721</v>
      </c>
      <c r="B512" s="2" t="str">
        <f t="shared" si="94"/>
        <v>Начисленные расходы по срочным вкладам клиентов</v>
      </c>
      <c r="C512" s="2" t="str">
        <f t="shared" si="96"/>
        <v>2</v>
      </c>
      <c r="D512" s="2" t="str">
        <f>"7"</f>
        <v>7</v>
      </c>
      <c r="E512" s="2" t="str">
        <f>"2"</f>
        <v>2</v>
      </c>
      <c r="F512" s="3">
        <v>132723626.56999999</v>
      </c>
    </row>
    <row r="513" spans="1:6" x14ac:dyDescent="0.25">
      <c r="A513" s="4" t="str">
        <f t="shared" si="93"/>
        <v>2721</v>
      </c>
      <c r="B513" s="2" t="str">
        <f t="shared" si="94"/>
        <v>Начисленные расходы по срочным вкладам клиентов</v>
      </c>
      <c r="C513" s="2" t="str">
        <f t="shared" si="96"/>
        <v>2</v>
      </c>
      <c r="D513" s="2" t="str">
        <f>"9"</f>
        <v>9</v>
      </c>
      <c r="E513" s="2" t="str">
        <f>"1"</f>
        <v>1</v>
      </c>
      <c r="F513" s="3">
        <v>0</v>
      </c>
    </row>
    <row r="514" spans="1:6" x14ac:dyDescent="0.25">
      <c r="A514" s="4" t="str">
        <f t="shared" si="93"/>
        <v>2721</v>
      </c>
      <c r="B514" s="2" t="str">
        <f t="shared" si="94"/>
        <v>Начисленные расходы по срочным вкладам клиентов</v>
      </c>
      <c r="C514" s="2" t="str">
        <f t="shared" si="96"/>
        <v>2</v>
      </c>
      <c r="D514" s="2" t="str">
        <f>"9"</f>
        <v>9</v>
      </c>
      <c r="E514" s="2" t="str">
        <f>"2"</f>
        <v>2</v>
      </c>
      <c r="F514" s="3">
        <v>0</v>
      </c>
    </row>
    <row r="515" spans="1:6" x14ac:dyDescent="0.25">
      <c r="A515" s="4" t="str">
        <f t="shared" ref="A515:A521" si="97">"2723"</f>
        <v>2723</v>
      </c>
      <c r="B515" s="2" t="str">
        <f t="shared" ref="B515:B521" si="98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515" s="2" t="str">
        <f t="shared" ref="C515:C520" si="99">"1"</f>
        <v>1</v>
      </c>
      <c r="D515" s="2" t="str">
        <f>"5"</f>
        <v>5</v>
      </c>
      <c r="E515" s="2" t="str">
        <f>"1"</f>
        <v>1</v>
      </c>
      <c r="F515" s="3">
        <v>9216965.5099999998</v>
      </c>
    </row>
    <row r="516" spans="1:6" x14ac:dyDescent="0.25">
      <c r="A516" s="4" t="str">
        <f t="shared" si="97"/>
        <v>2723</v>
      </c>
      <c r="B516" s="2" t="str">
        <f t="shared" si="98"/>
        <v>Начисленные расходы по вкладу, являющемуся обеспечением обязательств клиентов</v>
      </c>
      <c r="C516" s="2" t="str">
        <f t="shared" si="99"/>
        <v>1</v>
      </c>
      <c r="D516" s="2" t="str">
        <f>"7"</f>
        <v>7</v>
      </c>
      <c r="E516" s="2" t="str">
        <f>"1"</f>
        <v>1</v>
      </c>
      <c r="F516" s="3">
        <v>25213347.129999999</v>
      </c>
    </row>
    <row r="517" spans="1:6" x14ac:dyDescent="0.25">
      <c r="A517" s="4" t="str">
        <f t="shared" si="97"/>
        <v>2723</v>
      </c>
      <c r="B517" s="2" t="str">
        <f t="shared" si="98"/>
        <v>Начисленные расходы по вкладу, являющемуся обеспечением обязательств клиентов</v>
      </c>
      <c r="C517" s="2" t="str">
        <f t="shared" si="99"/>
        <v>1</v>
      </c>
      <c r="D517" s="2" t="str">
        <f>"5"</f>
        <v>5</v>
      </c>
      <c r="E517" s="2" t="str">
        <f>"2"</f>
        <v>2</v>
      </c>
      <c r="F517" s="3">
        <v>35983.03</v>
      </c>
    </row>
    <row r="518" spans="1:6" x14ac:dyDescent="0.25">
      <c r="A518" s="4" t="str">
        <f t="shared" si="97"/>
        <v>2723</v>
      </c>
      <c r="B518" s="2" t="str">
        <f t="shared" si="98"/>
        <v>Начисленные расходы по вкладу, являющемуся обеспечением обязательств клиентов</v>
      </c>
      <c r="C518" s="2" t="str">
        <f t="shared" si="99"/>
        <v>1</v>
      </c>
      <c r="D518" s="2" t="str">
        <f>"9"</f>
        <v>9</v>
      </c>
      <c r="E518" s="2" t="str">
        <f>"2"</f>
        <v>2</v>
      </c>
      <c r="F518" s="3">
        <v>1409.37</v>
      </c>
    </row>
    <row r="519" spans="1:6" x14ac:dyDescent="0.25">
      <c r="A519" s="4" t="str">
        <f t="shared" si="97"/>
        <v>2723</v>
      </c>
      <c r="B519" s="2" t="str">
        <f t="shared" si="98"/>
        <v>Начисленные расходы по вкладу, являющемуся обеспечением обязательств клиентов</v>
      </c>
      <c r="C519" s="2" t="str">
        <f t="shared" si="99"/>
        <v>1</v>
      </c>
      <c r="D519" s="2" t="str">
        <f>"7"</f>
        <v>7</v>
      </c>
      <c r="E519" s="2" t="str">
        <f>"2"</f>
        <v>2</v>
      </c>
      <c r="F519" s="3">
        <v>7500479.9500000002</v>
      </c>
    </row>
    <row r="520" spans="1:6" x14ac:dyDescent="0.25">
      <c r="A520" s="4" t="str">
        <f t="shared" si="97"/>
        <v>2723</v>
      </c>
      <c r="B520" s="2" t="str">
        <f t="shared" si="98"/>
        <v>Начисленные расходы по вкладу, являющемуся обеспечением обязательств клиентов</v>
      </c>
      <c r="C520" s="2" t="str">
        <f t="shared" si="99"/>
        <v>1</v>
      </c>
      <c r="D520" s="2" t="str">
        <f>"9"</f>
        <v>9</v>
      </c>
      <c r="E520" s="2" t="str">
        <f>"1"</f>
        <v>1</v>
      </c>
      <c r="F520" s="3">
        <v>826328.65</v>
      </c>
    </row>
    <row r="521" spans="1:6" x14ac:dyDescent="0.25">
      <c r="A521" s="4" t="str">
        <f t="shared" si="97"/>
        <v>2723</v>
      </c>
      <c r="B521" s="2" t="str">
        <f t="shared" si="98"/>
        <v>Начисленные расходы по вкладу, являющемуся обеспечением обязательств клиентов</v>
      </c>
      <c r="C521" s="2" t="str">
        <f>"2"</f>
        <v>2</v>
      </c>
      <c r="D521" s="2" t="str">
        <f>"9"</f>
        <v>9</v>
      </c>
      <c r="E521" s="2" t="str">
        <f>"2"</f>
        <v>2</v>
      </c>
      <c r="F521" s="3">
        <v>122.68</v>
      </c>
    </row>
    <row r="522" spans="1:6" x14ac:dyDescent="0.25">
      <c r="A522" s="4" t="str">
        <f t="shared" ref="A522:A527" si="100">"2724"</f>
        <v>2724</v>
      </c>
      <c r="B522" s="2" t="str">
        <f t="shared" ref="B522:B527" si="101">"Начисленные расходы по сберегательным вкладам клиентов"</f>
        <v>Начисленные расходы по сберегательным вкладам клиентов</v>
      </c>
      <c r="C522" s="2" t="str">
        <f>"1"</f>
        <v>1</v>
      </c>
      <c r="D522" s="2" t="str">
        <f>"5"</f>
        <v>5</v>
      </c>
      <c r="E522" s="2" t="str">
        <f>"1"</f>
        <v>1</v>
      </c>
      <c r="F522" s="3">
        <v>2183.77</v>
      </c>
    </row>
    <row r="523" spans="1:6" x14ac:dyDescent="0.25">
      <c r="A523" s="4" t="str">
        <f t="shared" si="100"/>
        <v>2724</v>
      </c>
      <c r="B523" s="2" t="str">
        <f t="shared" si="101"/>
        <v>Начисленные расходы по сберегательным вкладам клиентов</v>
      </c>
      <c r="C523" s="2" t="str">
        <f>"1"</f>
        <v>1</v>
      </c>
      <c r="D523" s="2" t="str">
        <f>"6"</f>
        <v>6</v>
      </c>
      <c r="E523" s="2" t="str">
        <f>"1"</f>
        <v>1</v>
      </c>
      <c r="F523" s="3">
        <v>2069041.1</v>
      </c>
    </row>
    <row r="524" spans="1:6" x14ac:dyDescent="0.25">
      <c r="A524" s="4" t="str">
        <f t="shared" si="100"/>
        <v>2724</v>
      </c>
      <c r="B524" s="2" t="str">
        <f t="shared" si="101"/>
        <v>Начисленные расходы по сберегательным вкладам клиентов</v>
      </c>
      <c r="C524" s="2" t="str">
        <f>"1"</f>
        <v>1</v>
      </c>
      <c r="D524" s="2" t="str">
        <f>"7"</f>
        <v>7</v>
      </c>
      <c r="E524" s="2" t="str">
        <f>"1"</f>
        <v>1</v>
      </c>
      <c r="F524" s="3">
        <v>423432.88</v>
      </c>
    </row>
    <row r="525" spans="1:6" x14ac:dyDescent="0.25">
      <c r="A525" s="4" t="str">
        <f t="shared" si="100"/>
        <v>2724</v>
      </c>
      <c r="B525" s="2" t="str">
        <f t="shared" si="101"/>
        <v>Начисленные расходы по сберегательным вкладам клиентов</v>
      </c>
      <c r="C525" s="2" t="str">
        <f>"1"</f>
        <v>1</v>
      </c>
      <c r="D525" s="2" t="str">
        <f>"7"</f>
        <v>7</v>
      </c>
      <c r="E525" s="2" t="str">
        <f>"2"</f>
        <v>2</v>
      </c>
      <c r="F525" s="3">
        <v>119295.21</v>
      </c>
    </row>
    <row r="526" spans="1:6" x14ac:dyDescent="0.25">
      <c r="A526" s="4" t="str">
        <f t="shared" si="100"/>
        <v>2724</v>
      </c>
      <c r="B526" s="2" t="str">
        <f t="shared" si="101"/>
        <v>Начисленные расходы по сберегательным вкладам клиентов</v>
      </c>
      <c r="C526" s="2" t="str">
        <f>"1"</f>
        <v>1</v>
      </c>
      <c r="D526" s="2" t="str">
        <f>"9"</f>
        <v>9</v>
      </c>
      <c r="E526" s="2" t="str">
        <f t="shared" ref="E526:E542" si="102">"1"</f>
        <v>1</v>
      </c>
      <c r="F526" s="3">
        <v>162077.37</v>
      </c>
    </row>
    <row r="527" spans="1:6" x14ac:dyDescent="0.25">
      <c r="A527" s="4" t="str">
        <f t="shared" si="100"/>
        <v>2724</v>
      </c>
      <c r="B527" s="2" t="str">
        <f t="shared" si="101"/>
        <v>Начисленные расходы по сберегательным вкладам клиентов</v>
      </c>
      <c r="C527" s="2" t="str">
        <f>"2"</f>
        <v>2</v>
      </c>
      <c r="D527" s="2" t="str">
        <f>"9"</f>
        <v>9</v>
      </c>
      <c r="E527" s="2" t="str">
        <f t="shared" si="102"/>
        <v>1</v>
      </c>
      <c r="F527" s="3">
        <v>0</v>
      </c>
    </row>
    <row r="528" spans="1:6" x14ac:dyDescent="0.25">
      <c r="A528" s="4" t="str">
        <f>"2725"</f>
        <v>2725</v>
      </c>
      <c r="B528" s="2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C528" s="2" t="str">
        <f t="shared" ref="C528:C541" si="103">"1"</f>
        <v>1</v>
      </c>
      <c r="D528" s="2" t="str">
        <f>"5"</f>
        <v>5</v>
      </c>
      <c r="E528" s="2" t="str">
        <f t="shared" si="102"/>
        <v>1</v>
      </c>
      <c r="F528" s="3">
        <v>940376043.63999999</v>
      </c>
    </row>
    <row r="529" spans="1:6" x14ac:dyDescent="0.25">
      <c r="A529" s="4" t="str">
        <f>"2730"</f>
        <v>2730</v>
      </c>
      <c r="B529" s="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529" s="2" t="str">
        <f t="shared" si="103"/>
        <v>1</v>
      </c>
      <c r="D529" s="2" t="str">
        <f>"5"</f>
        <v>5</v>
      </c>
      <c r="E529" s="2" t="str">
        <f t="shared" si="102"/>
        <v>1</v>
      </c>
      <c r="F529" s="3">
        <v>674915714.88999999</v>
      </c>
    </row>
    <row r="530" spans="1:6" x14ac:dyDescent="0.25">
      <c r="A530" s="4" t="str">
        <f>"2731"</f>
        <v>2731</v>
      </c>
      <c r="B530" s="2" t="str">
        <f>"Начисленные расходы по прочим операциям"</f>
        <v>Начисленные расходы по прочим операциям</v>
      </c>
      <c r="C530" s="2" t="str">
        <f t="shared" si="103"/>
        <v>1</v>
      </c>
      <c r="D530" s="2" t="str">
        <f>"5"</f>
        <v>5</v>
      </c>
      <c r="E530" s="2" t="str">
        <f t="shared" si="102"/>
        <v>1</v>
      </c>
      <c r="F530" s="3">
        <v>555715512.38999999</v>
      </c>
    </row>
    <row r="531" spans="1:6" x14ac:dyDescent="0.25">
      <c r="A531" s="4" t="str">
        <f>"2745"</f>
        <v>2745</v>
      </c>
      <c r="B531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1" s="2" t="str">
        <f t="shared" si="103"/>
        <v>1</v>
      </c>
      <c r="D531" s="2" t="str">
        <f>"1"</f>
        <v>1</v>
      </c>
      <c r="E531" s="2" t="str">
        <f t="shared" si="102"/>
        <v>1</v>
      </c>
      <c r="F531" s="3">
        <v>96.87</v>
      </c>
    </row>
    <row r="532" spans="1:6" x14ac:dyDescent="0.25">
      <c r="A532" s="4" t="str">
        <f>"2745"</f>
        <v>2745</v>
      </c>
      <c r="B532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2" s="2" t="str">
        <f t="shared" si="103"/>
        <v>1</v>
      </c>
      <c r="D532" s="2" t="str">
        <f>"7"</f>
        <v>7</v>
      </c>
      <c r="E532" s="2" t="str">
        <f t="shared" si="102"/>
        <v>1</v>
      </c>
      <c r="F532" s="3">
        <v>21000159.329999998</v>
      </c>
    </row>
    <row r="533" spans="1:6" x14ac:dyDescent="0.25">
      <c r="A533" s="4" t="str">
        <f>"2745"</f>
        <v>2745</v>
      </c>
      <c r="B533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3" s="2" t="str">
        <f t="shared" si="103"/>
        <v>1</v>
      </c>
      <c r="D533" s="2" t="str">
        <f>"5"</f>
        <v>5</v>
      </c>
      <c r="E533" s="2" t="str">
        <f t="shared" si="102"/>
        <v>1</v>
      </c>
      <c r="F533" s="3">
        <v>113352.35</v>
      </c>
    </row>
    <row r="534" spans="1:6" x14ac:dyDescent="0.25">
      <c r="A534" s="4" t="str">
        <f>"2745"</f>
        <v>2745</v>
      </c>
      <c r="B534" s="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4" s="2" t="str">
        <f t="shared" si="103"/>
        <v>1</v>
      </c>
      <c r="D534" s="2" t="str">
        <f>"9"</f>
        <v>9</v>
      </c>
      <c r="E534" s="2" t="str">
        <f t="shared" si="102"/>
        <v>1</v>
      </c>
      <c r="F534" s="3">
        <v>7012679.6799999997</v>
      </c>
    </row>
    <row r="535" spans="1:6" x14ac:dyDescent="0.25">
      <c r="A535" s="4" t="str">
        <f>"2756"</f>
        <v>2756</v>
      </c>
      <c r="B535" s="2" t="str">
        <f>"Начисленные расходы по субординированным облигациям"</f>
        <v>Начисленные расходы по субординированным облигациям</v>
      </c>
      <c r="C535" s="2" t="str">
        <f t="shared" si="103"/>
        <v>1</v>
      </c>
      <c r="D535" s="2" t="str">
        <f>"5"</f>
        <v>5</v>
      </c>
      <c r="E535" s="2" t="str">
        <f t="shared" si="102"/>
        <v>1</v>
      </c>
      <c r="F535" s="3">
        <v>4711598229.1700001</v>
      </c>
    </row>
    <row r="536" spans="1:6" x14ac:dyDescent="0.25">
      <c r="A536" s="4" t="str">
        <f t="shared" ref="A536:A542" si="104">"2770"</f>
        <v>2770</v>
      </c>
      <c r="B536" s="2" t="str">
        <f t="shared" ref="B536:B542" si="105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536" s="2" t="str">
        <f t="shared" si="103"/>
        <v>1</v>
      </c>
      <c r="D536" s="2" t="str">
        <f>"1"</f>
        <v>1</v>
      </c>
      <c r="E536" s="2" t="str">
        <f t="shared" si="102"/>
        <v>1</v>
      </c>
      <c r="F536" s="3">
        <v>23467920</v>
      </c>
    </row>
    <row r="537" spans="1:6" x14ac:dyDescent="0.25">
      <c r="A537" s="4" t="str">
        <f t="shared" si="104"/>
        <v>2770</v>
      </c>
      <c r="B537" s="2" t="str">
        <f t="shared" si="105"/>
        <v>Начисленные расходы по административно-хозяйственной деятельности</v>
      </c>
      <c r="C537" s="2" t="str">
        <f t="shared" si="103"/>
        <v>1</v>
      </c>
      <c r="D537" s="2" t="str">
        <f>"6"</f>
        <v>6</v>
      </c>
      <c r="E537" s="2" t="str">
        <f t="shared" si="102"/>
        <v>1</v>
      </c>
      <c r="F537" s="3">
        <v>24686643.079999998</v>
      </c>
    </row>
    <row r="538" spans="1:6" x14ac:dyDescent="0.25">
      <c r="A538" s="4" t="str">
        <f t="shared" si="104"/>
        <v>2770</v>
      </c>
      <c r="B538" s="2" t="str">
        <f t="shared" si="105"/>
        <v>Начисленные расходы по административно-хозяйственной деятельности</v>
      </c>
      <c r="C538" s="2" t="str">
        <f t="shared" si="103"/>
        <v>1</v>
      </c>
      <c r="D538" s="2" t="str">
        <f>"5"</f>
        <v>5</v>
      </c>
      <c r="E538" s="2" t="str">
        <f t="shared" si="102"/>
        <v>1</v>
      </c>
      <c r="F538" s="3">
        <v>940</v>
      </c>
    </row>
    <row r="539" spans="1:6" x14ac:dyDescent="0.25">
      <c r="A539" s="4" t="str">
        <f t="shared" si="104"/>
        <v>2770</v>
      </c>
      <c r="B539" s="2" t="str">
        <f t="shared" si="105"/>
        <v>Начисленные расходы по административно-хозяйственной деятельности</v>
      </c>
      <c r="C539" s="2" t="str">
        <f t="shared" si="103"/>
        <v>1</v>
      </c>
      <c r="D539" s="2" t="str">
        <f>"7"</f>
        <v>7</v>
      </c>
      <c r="E539" s="2" t="str">
        <f t="shared" si="102"/>
        <v>1</v>
      </c>
      <c r="F539" s="3">
        <v>322856854.06</v>
      </c>
    </row>
    <row r="540" spans="1:6" x14ac:dyDescent="0.25">
      <c r="A540" s="4" t="str">
        <f t="shared" si="104"/>
        <v>2770</v>
      </c>
      <c r="B540" s="2" t="str">
        <f t="shared" si="105"/>
        <v>Начисленные расходы по административно-хозяйственной деятельности</v>
      </c>
      <c r="C540" s="2" t="str">
        <f t="shared" si="103"/>
        <v>1</v>
      </c>
      <c r="D540" s="2" t="str">
        <f>"8"</f>
        <v>8</v>
      </c>
      <c r="E540" s="2" t="str">
        <f t="shared" si="102"/>
        <v>1</v>
      </c>
      <c r="F540" s="3">
        <v>2424616.0699999998</v>
      </c>
    </row>
    <row r="541" spans="1:6" x14ac:dyDescent="0.25">
      <c r="A541" s="4" t="str">
        <f t="shared" si="104"/>
        <v>2770</v>
      </c>
      <c r="B541" s="2" t="str">
        <f t="shared" si="105"/>
        <v>Начисленные расходы по административно-хозяйственной деятельности</v>
      </c>
      <c r="C541" s="2" t="str">
        <f t="shared" si="103"/>
        <v>1</v>
      </c>
      <c r="D541" s="2" t="str">
        <f>"9"</f>
        <v>9</v>
      </c>
      <c r="E541" s="2" t="str">
        <f t="shared" si="102"/>
        <v>1</v>
      </c>
      <c r="F541" s="3">
        <v>17337917.010000002</v>
      </c>
    </row>
    <row r="542" spans="1:6" x14ac:dyDescent="0.25">
      <c r="A542" s="4" t="str">
        <f t="shared" si="104"/>
        <v>2770</v>
      </c>
      <c r="B542" s="2" t="str">
        <f t="shared" si="105"/>
        <v>Начисленные расходы по административно-хозяйственной деятельности</v>
      </c>
      <c r="C542" s="2" t="str">
        <f>"2"</f>
        <v>2</v>
      </c>
      <c r="D542" s="2" t="str">
        <f>"7"</f>
        <v>7</v>
      </c>
      <c r="E542" s="2" t="str">
        <f t="shared" si="102"/>
        <v>1</v>
      </c>
      <c r="F542" s="3">
        <v>130916729.39</v>
      </c>
    </row>
    <row r="543" spans="1:6" x14ac:dyDescent="0.25">
      <c r="A543" s="4" t="str">
        <f>"2792"</f>
        <v>2792</v>
      </c>
      <c r="B543" s="2" t="str">
        <f>"Предоплата вознаграждения по предоставленным займам"</f>
        <v>Предоплата вознаграждения по предоставленным займам</v>
      </c>
      <c r="C543" s="2" t="str">
        <f>"2"</f>
        <v>2</v>
      </c>
      <c r="D543" s="2" t="str">
        <f>"7"</f>
        <v>7</v>
      </c>
      <c r="E543" s="2" t="str">
        <f>"3"</f>
        <v>3</v>
      </c>
      <c r="F543" s="3">
        <v>3.8</v>
      </c>
    </row>
    <row r="544" spans="1:6" x14ac:dyDescent="0.25">
      <c r="A544" s="4" t="str">
        <f>"2792"</f>
        <v>2792</v>
      </c>
      <c r="B544" s="2" t="str">
        <f>"Предоплата вознаграждения по предоставленным займам"</f>
        <v>Предоплата вознаграждения по предоставленным займам</v>
      </c>
      <c r="C544" s="2" t="str">
        <f>"2"</f>
        <v>2</v>
      </c>
      <c r="D544" s="2" t="str">
        <f>"7"</f>
        <v>7</v>
      </c>
      <c r="E544" s="2" t="str">
        <f>"2"</f>
        <v>2</v>
      </c>
      <c r="F544" s="3">
        <v>1389.59</v>
      </c>
    </row>
    <row r="545" spans="1:6" x14ac:dyDescent="0.25">
      <c r="A545" s="4" t="str">
        <f t="shared" ref="A545:A552" si="106">"2794"</f>
        <v>2794</v>
      </c>
      <c r="B545" s="2" t="str">
        <f t="shared" ref="B545:B552" si="107">"Доходы будущих периодов"</f>
        <v>Доходы будущих периодов</v>
      </c>
      <c r="C545" s="2" t="str">
        <f>"1"</f>
        <v>1</v>
      </c>
      <c r="D545" s="2" t="str">
        <f>"5"</f>
        <v>5</v>
      </c>
      <c r="E545" s="2" t="str">
        <f>"1"</f>
        <v>1</v>
      </c>
      <c r="F545" s="3">
        <v>4206943.43</v>
      </c>
    </row>
    <row r="546" spans="1:6" x14ac:dyDescent="0.25">
      <c r="A546" s="4" t="str">
        <f t="shared" si="106"/>
        <v>2794</v>
      </c>
      <c r="B546" s="2" t="str">
        <f t="shared" si="107"/>
        <v>Доходы будущих периодов</v>
      </c>
      <c r="C546" s="2" t="str">
        <f>"1"</f>
        <v>1</v>
      </c>
      <c r="D546" s="2" t="str">
        <f>"6"</f>
        <v>6</v>
      </c>
      <c r="E546" s="2" t="str">
        <f>"1"</f>
        <v>1</v>
      </c>
      <c r="F546" s="3">
        <v>861526.77</v>
      </c>
    </row>
    <row r="547" spans="1:6" x14ac:dyDescent="0.25">
      <c r="A547" s="4" t="str">
        <f t="shared" si="106"/>
        <v>2794</v>
      </c>
      <c r="B547" s="2" t="str">
        <f t="shared" si="107"/>
        <v>Доходы будущих периодов</v>
      </c>
      <c r="C547" s="2" t="str">
        <f>"1"</f>
        <v>1</v>
      </c>
      <c r="D547" s="2" t="str">
        <f>"7"</f>
        <v>7</v>
      </c>
      <c r="E547" s="2" t="str">
        <f>"2"</f>
        <v>2</v>
      </c>
      <c r="F547" s="3">
        <v>1744769.96</v>
      </c>
    </row>
    <row r="548" spans="1:6" x14ac:dyDescent="0.25">
      <c r="A548" s="4" t="str">
        <f t="shared" si="106"/>
        <v>2794</v>
      </c>
      <c r="B548" s="2" t="str">
        <f t="shared" si="107"/>
        <v>Доходы будущих периодов</v>
      </c>
      <c r="C548" s="2" t="str">
        <f>"1"</f>
        <v>1</v>
      </c>
      <c r="D548" s="2" t="str">
        <f>"9"</f>
        <v>9</v>
      </c>
      <c r="E548" s="2" t="str">
        <f t="shared" ref="E548:E554" si="108">"1"</f>
        <v>1</v>
      </c>
      <c r="F548" s="3">
        <v>128162557.64</v>
      </c>
    </row>
    <row r="549" spans="1:6" x14ac:dyDescent="0.25">
      <c r="A549" s="4" t="str">
        <f t="shared" si="106"/>
        <v>2794</v>
      </c>
      <c r="B549" s="2" t="str">
        <f t="shared" si="107"/>
        <v>Доходы будущих периодов</v>
      </c>
      <c r="C549" s="2" t="str">
        <f>"2"</f>
        <v>2</v>
      </c>
      <c r="D549" s="2" t="str">
        <f>"7"</f>
        <v>7</v>
      </c>
      <c r="E549" s="2" t="str">
        <f t="shared" si="108"/>
        <v>1</v>
      </c>
      <c r="F549" s="3">
        <v>17449003</v>
      </c>
    </row>
    <row r="550" spans="1:6" x14ac:dyDescent="0.25">
      <c r="A550" s="4" t="str">
        <f t="shared" si="106"/>
        <v>2794</v>
      </c>
      <c r="B550" s="2" t="str">
        <f t="shared" si="107"/>
        <v>Доходы будущих периодов</v>
      </c>
      <c r="C550" s="2" t="str">
        <f>"1"</f>
        <v>1</v>
      </c>
      <c r="D550" s="2" t="str">
        <f>"7"</f>
        <v>7</v>
      </c>
      <c r="E550" s="2" t="str">
        <f t="shared" si="108"/>
        <v>1</v>
      </c>
      <c r="F550" s="3">
        <v>242374367.93000001</v>
      </c>
    </row>
    <row r="551" spans="1:6" x14ac:dyDescent="0.25">
      <c r="A551" s="4" t="str">
        <f t="shared" si="106"/>
        <v>2794</v>
      </c>
      <c r="B551" s="2" t="str">
        <f t="shared" si="107"/>
        <v>Доходы будущих периодов</v>
      </c>
      <c r="C551" s="2" t="str">
        <f>"2"</f>
        <v>2</v>
      </c>
      <c r="D551" s="2" t="str">
        <f>"9"</f>
        <v>9</v>
      </c>
      <c r="E551" s="2" t="str">
        <f t="shared" si="108"/>
        <v>1</v>
      </c>
      <c r="F551" s="3">
        <v>78591228.579999998</v>
      </c>
    </row>
    <row r="552" spans="1:6" x14ac:dyDescent="0.25">
      <c r="A552" s="4" t="str">
        <f t="shared" si="106"/>
        <v>2794</v>
      </c>
      <c r="B552" s="2" t="str">
        <f t="shared" si="107"/>
        <v>Доходы будущих периодов</v>
      </c>
      <c r="C552" s="2" t="str">
        <f>"1"</f>
        <v>1</v>
      </c>
      <c r="D552" s="2" t="str">
        <f>"8"</f>
        <v>8</v>
      </c>
      <c r="E552" s="2" t="str">
        <f t="shared" si="108"/>
        <v>1</v>
      </c>
      <c r="F552" s="3">
        <v>15916.67</v>
      </c>
    </row>
    <row r="553" spans="1:6" x14ac:dyDescent="0.25">
      <c r="A553" s="4" t="str">
        <f>"2799"</f>
        <v>2799</v>
      </c>
      <c r="B553" s="2" t="str">
        <f>"Прочие предоплаты"</f>
        <v>Прочие предоплаты</v>
      </c>
      <c r="C553" s="2" t="str">
        <f>"1"</f>
        <v>1</v>
      </c>
      <c r="D553" s="2" t="str">
        <f>"7"</f>
        <v>7</v>
      </c>
      <c r="E553" s="2" t="str">
        <f t="shared" si="108"/>
        <v>1</v>
      </c>
      <c r="F553" s="3">
        <v>1204500</v>
      </c>
    </row>
    <row r="554" spans="1:6" x14ac:dyDescent="0.25">
      <c r="A554" s="4" t="str">
        <f>"2799"</f>
        <v>2799</v>
      </c>
      <c r="B554" s="2" t="str">
        <f>"Прочие предоплаты"</f>
        <v>Прочие предоплаты</v>
      </c>
      <c r="C554" s="2" t="str">
        <f>"1"</f>
        <v>1</v>
      </c>
      <c r="D554" s="2" t="str">
        <f>"9"</f>
        <v>9</v>
      </c>
      <c r="E554" s="2" t="str">
        <f t="shared" si="108"/>
        <v>1</v>
      </c>
      <c r="F554" s="3">
        <v>322776997.55000001</v>
      </c>
    </row>
    <row r="555" spans="1:6" x14ac:dyDescent="0.25">
      <c r="A555" s="4" t="str">
        <f>"2811"</f>
        <v>2811</v>
      </c>
      <c r="B555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5" s="2" t="str">
        <f>"2"</f>
        <v>2</v>
      </c>
      <c r="D555" s="2" t="str">
        <f>""</f>
        <v/>
      </c>
      <c r="E555" s="2" t="str">
        <f>"2"</f>
        <v>2</v>
      </c>
      <c r="F555" s="3">
        <v>57693670.939999998</v>
      </c>
    </row>
    <row r="556" spans="1:6" x14ac:dyDescent="0.25">
      <c r="A556" s="4" t="str">
        <f>"2811"</f>
        <v>2811</v>
      </c>
      <c r="B556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6" s="2" t="str">
        <f>"1"</f>
        <v>1</v>
      </c>
      <c r="D556" s="2" t="str">
        <f>""</f>
        <v/>
      </c>
      <c r="E556" s="2" t="str">
        <f>"2"</f>
        <v>2</v>
      </c>
      <c r="F556" s="3">
        <v>24435.54</v>
      </c>
    </row>
    <row r="557" spans="1:6" x14ac:dyDescent="0.25">
      <c r="A557" s="4" t="str">
        <f>"2811"</f>
        <v>2811</v>
      </c>
      <c r="B557" s="2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7" s="2" t="str">
        <f>"1"</f>
        <v>1</v>
      </c>
      <c r="D557" s="2" t="str">
        <f>""</f>
        <v/>
      </c>
      <c r="E557" s="2" t="str">
        <f>"1"</f>
        <v>1</v>
      </c>
      <c r="F557" s="3">
        <v>20694727.989999998</v>
      </c>
    </row>
    <row r="558" spans="1:6" x14ac:dyDescent="0.25">
      <c r="A558" s="4" t="str">
        <f>"2812"</f>
        <v>2812</v>
      </c>
      <c r="B558" s="2" t="str">
        <f>"Начисленные комиссионные расходы по агентским услугам"</f>
        <v>Начисленные комиссионные расходы по агентским услугам</v>
      </c>
      <c r="C558" s="2" t="str">
        <f>"1"</f>
        <v>1</v>
      </c>
      <c r="D558" s="2" t="str">
        <f>""</f>
        <v/>
      </c>
      <c r="E558" s="2" t="str">
        <f>"1"</f>
        <v>1</v>
      </c>
      <c r="F558" s="3">
        <v>777884.66</v>
      </c>
    </row>
    <row r="559" spans="1:6" x14ac:dyDescent="0.25">
      <c r="A559" s="4" t="str">
        <f>"2813"</f>
        <v>2813</v>
      </c>
      <c r="B559" s="2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59" s="2" t="str">
        <f>"1"</f>
        <v>1</v>
      </c>
      <c r="D559" s="2" t="str">
        <f>""</f>
        <v/>
      </c>
      <c r="E559" s="2" t="str">
        <f>"1"</f>
        <v>1</v>
      </c>
      <c r="F559" s="3">
        <v>6078370.5300000003</v>
      </c>
    </row>
    <row r="560" spans="1:6" x14ac:dyDescent="0.25">
      <c r="A560" s="4" t="str">
        <f>"2817"</f>
        <v>2817</v>
      </c>
      <c r="B560" s="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0" s="2" t="str">
        <f>"1"</f>
        <v>1</v>
      </c>
      <c r="D560" s="2" t="str">
        <f>""</f>
        <v/>
      </c>
      <c r="E560" s="2" t="str">
        <f>"3"</f>
        <v>3</v>
      </c>
      <c r="F560" s="3">
        <v>145579.4</v>
      </c>
    </row>
    <row r="561" spans="1:6" x14ac:dyDescent="0.25">
      <c r="A561" s="4" t="str">
        <f>"2817"</f>
        <v>2817</v>
      </c>
      <c r="B561" s="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1" s="2" t="str">
        <f>"2"</f>
        <v>2</v>
      </c>
      <c r="D561" s="2" t="str">
        <f>""</f>
        <v/>
      </c>
      <c r="E561" s="2" t="str">
        <f>"1"</f>
        <v>1</v>
      </c>
      <c r="F561" s="3">
        <v>506968</v>
      </c>
    </row>
    <row r="562" spans="1:6" x14ac:dyDescent="0.25">
      <c r="A562" s="4" t="str">
        <f>"2817"</f>
        <v>2817</v>
      </c>
      <c r="B562" s="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2" s="2" t="str">
        <f>"2"</f>
        <v>2</v>
      </c>
      <c r="D562" s="2" t="str">
        <f>""</f>
        <v/>
      </c>
      <c r="E562" s="2" t="str">
        <f>"2"</f>
        <v>2</v>
      </c>
      <c r="F562" s="3">
        <v>7349172.0999999996</v>
      </c>
    </row>
    <row r="563" spans="1:6" x14ac:dyDescent="0.25">
      <c r="A563" s="4" t="str">
        <f>"2817"</f>
        <v>2817</v>
      </c>
      <c r="B563" s="2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3" s="2" t="str">
        <f>"2"</f>
        <v>2</v>
      </c>
      <c r="D563" s="2" t="str">
        <f>""</f>
        <v/>
      </c>
      <c r="E563" s="2" t="str">
        <f>"3"</f>
        <v>3</v>
      </c>
      <c r="F563" s="3">
        <v>575926.87</v>
      </c>
    </row>
    <row r="564" spans="1:6" x14ac:dyDescent="0.25">
      <c r="A564" s="4" t="str">
        <f>"2818"</f>
        <v>2818</v>
      </c>
      <c r="B564" s="2" t="str">
        <f>"Начисленные прочие комиссионные расходы"</f>
        <v>Начисленные прочие комиссионные расходы</v>
      </c>
      <c r="C564" s="2" t="str">
        <f>"1"</f>
        <v>1</v>
      </c>
      <c r="D564" s="2" t="str">
        <f>""</f>
        <v/>
      </c>
      <c r="E564" s="2" t="str">
        <f>"1"</f>
        <v>1</v>
      </c>
      <c r="F564" s="3">
        <v>5994086.4000000004</v>
      </c>
    </row>
    <row r="565" spans="1:6" x14ac:dyDescent="0.25">
      <c r="A565" s="4" t="str">
        <f>"2820"</f>
        <v>2820</v>
      </c>
      <c r="B565" s="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65" s="2" t="str">
        <f>"1"</f>
        <v>1</v>
      </c>
      <c r="D565" s="2" t="str">
        <f>""</f>
        <v/>
      </c>
      <c r="E565" s="2" t="str">
        <f>"1"</f>
        <v>1</v>
      </c>
      <c r="F565" s="3">
        <v>305193329.29000002</v>
      </c>
    </row>
    <row r="566" spans="1:6" x14ac:dyDescent="0.25">
      <c r="A566" s="4" t="str">
        <f>"2851"</f>
        <v>2851</v>
      </c>
      <c r="B566" s="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66" s="2" t="str">
        <f>"1"</f>
        <v>1</v>
      </c>
      <c r="D566" s="2" t="str">
        <f>"1"</f>
        <v>1</v>
      </c>
      <c r="E566" s="2" t="str">
        <f>"1"</f>
        <v>1</v>
      </c>
      <c r="F566" s="3">
        <v>5185340562.4499998</v>
      </c>
    </row>
    <row r="567" spans="1:6" x14ac:dyDescent="0.25">
      <c r="A567" s="4" t="str">
        <f>"2854"</f>
        <v>2854</v>
      </c>
      <c r="B567" s="2" t="str">
        <f>"Расчеты с работниками"</f>
        <v>Расчеты с работниками</v>
      </c>
      <c r="C567" s="2" t="str">
        <f>""</f>
        <v/>
      </c>
      <c r="D567" s="2" t="str">
        <f>""</f>
        <v/>
      </c>
      <c r="E567" s="2" t="str">
        <f>""</f>
        <v/>
      </c>
      <c r="F567" s="3">
        <v>957053381.72000003</v>
      </c>
    </row>
    <row r="568" spans="1:6" x14ac:dyDescent="0.25">
      <c r="A568" s="4" t="str">
        <f>"2855"</f>
        <v>2855</v>
      </c>
      <c r="B568" s="2" t="str">
        <f>"Кредиторы по документарным расчетам"</f>
        <v>Кредиторы по документарным расчетам</v>
      </c>
      <c r="C568" s="2" t="str">
        <f>"1"</f>
        <v>1</v>
      </c>
      <c r="D568" s="2" t="str">
        <f>"7"</f>
        <v>7</v>
      </c>
      <c r="E568" s="2" t="str">
        <f>"2"</f>
        <v>2</v>
      </c>
      <c r="F568" s="3">
        <v>623661249.67999995</v>
      </c>
    </row>
    <row r="569" spans="1:6" x14ac:dyDescent="0.25">
      <c r="A569" s="4" t="str">
        <f>"2857"</f>
        <v>2857</v>
      </c>
      <c r="B569" s="2" t="str">
        <f>"Отложенные налоговые обязательства"</f>
        <v>Отложенные налоговые обязательства</v>
      </c>
      <c r="C569" s="2" t="str">
        <f>""</f>
        <v/>
      </c>
      <c r="D569" s="2" t="str">
        <f>""</f>
        <v/>
      </c>
      <c r="E569" s="2" t="str">
        <f>""</f>
        <v/>
      </c>
      <c r="F569" s="3">
        <v>18685624505.389999</v>
      </c>
    </row>
    <row r="570" spans="1:6" x14ac:dyDescent="0.25">
      <c r="A570" s="4" t="str">
        <f t="shared" ref="A570:A587" si="109">"2860"</f>
        <v>2860</v>
      </c>
      <c r="B570" s="2" t="str">
        <f t="shared" ref="B570:B587" si="110">"Прочие кредиторы по банковской деятельности"</f>
        <v>Прочие кредиторы по банковской деятельности</v>
      </c>
      <c r="C570" s="2" t="str">
        <f t="shared" ref="C570:C577" si="111">"1"</f>
        <v>1</v>
      </c>
      <c r="D570" s="2" t="str">
        <f>"5"</f>
        <v>5</v>
      </c>
      <c r="E570" s="2" t="str">
        <f t="shared" ref="E570:E576" si="112">"1"</f>
        <v>1</v>
      </c>
      <c r="F570" s="3">
        <v>875371902.38</v>
      </c>
    </row>
    <row r="571" spans="1:6" x14ac:dyDescent="0.25">
      <c r="A571" s="4" t="str">
        <f t="shared" si="109"/>
        <v>2860</v>
      </c>
      <c r="B571" s="2" t="str">
        <f t="shared" si="110"/>
        <v>Прочие кредиторы по банковской деятельности</v>
      </c>
      <c r="C571" s="2" t="str">
        <f t="shared" si="111"/>
        <v>1</v>
      </c>
      <c r="D571" s="2" t="str">
        <f>"1"</f>
        <v>1</v>
      </c>
      <c r="E571" s="2" t="str">
        <f t="shared" si="112"/>
        <v>1</v>
      </c>
      <c r="F571" s="3">
        <v>336838547.12</v>
      </c>
    </row>
    <row r="572" spans="1:6" x14ac:dyDescent="0.25">
      <c r="A572" s="4" t="str">
        <f t="shared" si="109"/>
        <v>2860</v>
      </c>
      <c r="B572" s="2" t="str">
        <f t="shared" si="110"/>
        <v>Прочие кредиторы по банковской деятельности</v>
      </c>
      <c r="C572" s="2" t="str">
        <f t="shared" si="111"/>
        <v>1</v>
      </c>
      <c r="D572" s="2" t="str">
        <f>"3"</f>
        <v>3</v>
      </c>
      <c r="E572" s="2" t="str">
        <f t="shared" si="112"/>
        <v>1</v>
      </c>
      <c r="F572" s="3">
        <v>1936058.65</v>
      </c>
    </row>
    <row r="573" spans="1:6" x14ac:dyDescent="0.25">
      <c r="A573" s="4" t="str">
        <f t="shared" si="109"/>
        <v>2860</v>
      </c>
      <c r="B573" s="2" t="str">
        <f t="shared" si="110"/>
        <v>Прочие кредиторы по банковской деятельности</v>
      </c>
      <c r="C573" s="2" t="str">
        <f t="shared" si="111"/>
        <v>1</v>
      </c>
      <c r="D573" s="2" t="str">
        <f>"4"</f>
        <v>4</v>
      </c>
      <c r="E573" s="2" t="str">
        <f t="shared" si="112"/>
        <v>1</v>
      </c>
      <c r="F573" s="3">
        <v>7863058472.5200005</v>
      </c>
    </row>
    <row r="574" spans="1:6" x14ac:dyDescent="0.25">
      <c r="A574" s="4" t="str">
        <f t="shared" si="109"/>
        <v>2860</v>
      </c>
      <c r="B574" s="2" t="str">
        <f t="shared" si="110"/>
        <v>Прочие кредиторы по банковской деятельности</v>
      </c>
      <c r="C574" s="2" t="str">
        <f t="shared" si="111"/>
        <v>1</v>
      </c>
      <c r="D574" s="2" t="str">
        <f>"6"</f>
        <v>6</v>
      </c>
      <c r="E574" s="2" t="str">
        <f t="shared" si="112"/>
        <v>1</v>
      </c>
      <c r="F574" s="3">
        <v>5082369.28</v>
      </c>
    </row>
    <row r="575" spans="1:6" x14ac:dyDescent="0.25">
      <c r="A575" s="4" t="str">
        <f t="shared" si="109"/>
        <v>2860</v>
      </c>
      <c r="B575" s="2" t="str">
        <f t="shared" si="110"/>
        <v>Прочие кредиторы по банковской деятельности</v>
      </c>
      <c r="C575" s="2" t="str">
        <f t="shared" si="111"/>
        <v>1</v>
      </c>
      <c r="D575" s="2" t="str">
        <f>"7"</f>
        <v>7</v>
      </c>
      <c r="E575" s="2" t="str">
        <f t="shared" si="112"/>
        <v>1</v>
      </c>
      <c r="F575" s="3">
        <v>11186238499.26</v>
      </c>
    </row>
    <row r="576" spans="1:6" x14ac:dyDescent="0.25">
      <c r="A576" s="4" t="str">
        <f t="shared" si="109"/>
        <v>2860</v>
      </c>
      <c r="B576" s="2" t="str">
        <f t="shared" si="110"/>
        <v>Прочие кредиторы по банковской деятельности</v>
      </c>
      <c r="C576" s="2" t="str">
        <f t="shared" si="111"/>
        <v>1</v>
      </c>
      <c r="D576" s="2" t="str">
        <f>"9"</f>
        <v>9</v>
      </c>
      <c r="E576" s="2" t="str">
        <f t="shared" si="112"/>
        <v>1</v>
      </c>
      <c r="F576" s="3">
        <v>3605998495.6599998</v>
      </c>
    </row>
    <row r="577" spans="1:6" x14ac:dyDescent="0.25">
      <c r="A577" s="4" t="str">
        <f t="shared" si="109"/>
        <v>2860</v>
      </c>
      <c r="B577" s="2" t="str">
        <f t="shared" si="110"/>
        <v>Прочие кредиторы по банковской деятельности</v>
      </c>
      <c r="C577" s="2" t="str">
        <f t="shared" si="111"/>
        <v>1</v>
      </c>
      <c r="D577" s="2" t="str">
        <f>"9"</f>
        <v>9</v>
      </c>
      <c r="E577" s="2" t="str">
        <f>"3"</f>
        <v>3</v>
      </c>
      <c r="F577" s="3">
        <v>183509.69</v>
      </c>
    </row>
    <row r="578" spans="1:6" x14ac:dyDescent="0.25">
      <c r="A578" s="4" t="str">
        <f t="shared" si="109"/>
        <v>2860</v>
      </c>
      <c r="B578" s="2" t="str">
        <f t="shared" si="110"/>
        <v>Прочие кредиторы по банковской деятельности</v>
      </c>
      <c r="C578" s="2" t="str">
        <f>"2"</f>
        <v>2</v>
      </c>
      <c r="D578" s="2" t="str">
        <f>"5"</f>
        <v>5</v>
      </c>
      <c r="E578" s="2" t="str">
        <f>"2"</f>
        <v>2</v>
      </c>
      <c r="F578" s="3">
        <v>920427008.90999997</v>
      </c>
    </row>
    <row r="579" spans="1:6" x14ac:dyDescent="0.25">
      <c r="A579" s="4" t="str">
        <f t="shared" si="109"/>
        <v>2860</v>
      </c>
      <c r="B579" s="2" t="str">
        <f t="shared" si="110"/>
        <v>Прочие кредиторы по банковской деятельности</v>
      </c>
      <c r="C579" s="2" t="str">
        <f>"1"</f>
        <v>1</v>
      </c>
      <c r="D579" s="2" t="str">
        <f>"9"</f>
        <v>9</v>
      </c>
      <c r="E579" s="2" t="str">
        <f>"2"</f>
        <v>2</v>
      </c>
      <c r="F579" s="3">
        <v>13584101.630000001</v>
      </c>
    </row>
    <row r="580" spans="1:6" x14ac:dyDescent="0.25">
      <c r="A580" s="4" t="str">
        <f t="shared" si="109"/>
        <v>2860</v>
      </c>
      <c r="B580" s="2" t="str">
        <f t="shared" si="110"/>
        <v>Прочие кредиторы по банковской деятельности</v>
      </c>
      <c r="C580" s="2" t="str">
        <f t="shared" ref="C580:C587" si="113">"2"</f>
        <v>2</v>
      </c>
      <c r="D580" s="2" t="str">
        <f>"5"</f>
        <v>5</v>
      </c>
      <c r="E580" s="2" t="str">
        <f>"1"</f>
        <v>1</v>
      </c>
      <c r="F580" s="3">
        <v>0.01</v>
      </c>
    </row>
    <row r="581" spans="1:6" x14ac:dyDescent="0.25">
      <c r="A581" s="4" t="str">
        <f t="shared" si="109"/>
        <v>2860</v>
      </c>
      <c r="B581" s="2" t="str">
        <f t="shared" si="110"/>
        <v>Прочие кредиторы по банковской деятельности</v>
      </c>
      <c r="C581" s="2" t="str">
        <f t="shared" si="113"/>
        <v>2</v>
      </c>
      <c r="D581" s="2" t="str">
        <f>"7"</f>
        <v>7</v>
      </c>
      <c r="E581" s="2" t="str">
        <f>"1"</f>
        <v>1</v>
      </c>
      <c r="F581" s="3">
        <v>16052289.1</v>
      </c>
    </row>
    <row r="582" spans="1:6" x14ac:dyDescent="0.25">
      <c r="A582" s="4" t="str">
        <f t="shared" si="109"/>
        <v>2860</v>
      </c>
      <c r="B582" s="2" t="str">
        <f t="shared" si="110"/>
        <v>Прочие кредиторы по банковской деятельности</v>
      </c>
      <c r="C582" s="2" t="str">
        <f t="shared" si="113"/>
        <v>2</v>
      </c>
      <c r="D582" s="2" t="str">
        <f>"7"</f>
        <v>7</v>
      </c>
      <c r="E582" s="2" t="str">
        <f>"2"</f>
        <v>2</v>
      </c>
      <c r="F582" s="3">
        <v>68187.44</v>
      </c>
    </row>
    <row r="583" spans="1:6" x14ac:dyDescent="0.25">
      <c r="A583" s="4" t="str">
        <f t="shared" si="109"/>
        <v>2860</v>
      </c>
      <c r="B583" s="2" t="str">
        <f t="shared" si="110"/>
        <v>Прочие кредиторы по банковской деятельности</v>
      </c>
      <c r="C583" s="2" t="str">
        <f t="shared" si="113"/>
        <v>2</v>
      </c>
      <c r="D583" s="2" t="str">
        <f>"7"</f>
        <v>7</v>
      </c>
      <c r="E583" s="2" t="str">
        <f>"3"</f>
        <v>3</v>
      </c>
      <c r="F583" s="3">
        <v>306431.89</v>
      </c>
    </row>
    <row r="584" spans="1:6" x14ac:dyDescent="0.25">
      <c r="A584" s="4" t="str">
        <f t="shared" si="109"/>
        <v>2860</v>
      </c>
      <c r="B584" s="2" t="str">
        <f t="shared" si="110"/>
        <v>Прочие кредиторы по банковской деятельности</v>
      </c>
      <c r="C584" s="2" t="str">
        <f t="shared" si="113"/>
        <v>2</v>
      </c>
      <c r="D584" s="2" t="str">
        <f>"4"</f>
        <v>4</v>
      </c>
      <c r="E584" s="2" t="str">
        <f>"1"</f>
        <v>1</v>
      </c>
      <c r="F584" s="3">
        <v>0.01</v>
      </c>
    </row>
    <row r="585" spans="1:6" x14ac:dyDescent="0.25">
      <c r="A585" s="4" t="str">
        <f t="shared" si="109"/>
        <v>2860</v>
      </c>
      <c r="B585" s="2" t="str">
        <f t="shared" si="110"/>
        <v>Прочие кредиторы по банковской деятельности</v>
      </c>
      <c r="C585" s="2" t="str">
        <f t="shared" si="113"/>
        <v>2</v>
      </c>
      <c r="D585" s="2" t="str">
        <f>"9"</f>
        <v>9</v>
      </c>
      <c r="E585" s="2" t="str">
        <f>"1"</f>
        <v>1</v>
      </c>
      <c r="F585" s="3">
        <v>10223348.42</v>
      </c>
    </row>
    <row r="586" spans="1:6" x14ac:dyDescent="0.25">
      <c r="A586" s="4" t="str">
        <f t="shared" si="109"/>
        <v>2860</v>
      </c>
      <c r="B586" s="2" t="str">
        <f t="shared" si="110"/>
        <v>Прочие кредиторы по банковской деятельности</v>
      </c>
      <c r="C586" s="2" t="str">
        <f t="shared" si="113"/>
        <v>2</v>
      </c>
      <c r="D586" s="2" t="str">
        <f>"9"</f>
        <v>9</v>
      </c>
      <c r="E586" s="2" t="str">
        <f>"2"</f>
        <v>2</v>
      </c>
      <c r="F586" s="3">
        <v>232105.96</v>
      </c>
    </row>
    <row r="587" spans="1:6" x14ac:dyDescent="0.25">
      <c r="A587" s="4" t="str">
        <f t="shared" si="109"/>
        <v>2860</v>
      </c>
      <c r="B587" s="2" t="str">
        <f t="shared" si="110"/>
        <v>Прочие кредиторы по банковской деятельности</v>
      </c>
      <c r="C587" s="2" t="str">
        <f t="shared" si="113"/>
        <v>2</v>
      </c>
      <c r="D587" s="2" t="str">
        <f>"9"</f>
        <v>9</v>
      </c>
      <c r="E587" s="2" t="str">
        <f>"3"</f>
        <v>3</v>
      </c>
      <c r="F587" s="3">
        <v>48670.87</v>
      </c>
    </row>
    <row r="588" spans="1:6" x14ac:dyDescent="0.25">
      <c r="A588" s="4" t="str">
        <f>"2861"</f>
        <v>2861</v>
      </c>
      <c r="B588" s="2" t="str">
        <f>"Резерв на отпускные выплаты"</f>
        <v>Резерв на отпускные выплаты</v>
      </c>
      <c r="C588" s="2" t="str">
        <f>""</f>
        <v/>
      </c>
      <c r="D588" s="2" t="str">
        <f>""</f>
        <v/>
      </c>
      <c r="E588" s="2" t="str">
        <f>""</f>
        <v/>
      </c>
      <c r="F588" s="3">
        <v>2465946727.96</v>
      </c>
    </row>
    <row r="589" spans="1:6" x14ac:dyDescent="0.25">
      <c r="A589" s="4" t="str">
        <f>"2865"</f>
        <v>2865</v>
      </c>
      <c r="B589" s="2" t="str">
        <f>"Обязательства по выпущенным электронным деньгам"</f>
        <v>Обязательства по выпущенным электронным деньгам</v>
      </c>
      <c r="C589" s="2" t="str">
        <f t="shared" ref="C589:C600" si="114">"1"</f>
        <v>1</v>
      </c>
      <c r="D589" s="2" t="str">
        <f>"7"</f>
        <v>7</v>
      </c>
      <c r="E589" s="2" t="str">
        <f>"1"</f>
        <v>1</v>
      </c>
      <c r="F589" s="3">
        <v>327837008.30000001</v>
      </c>
    </row>
    <row r="590" spans="1:6" x14ac:dyDescent="0.25">
      <c r="A590" s="4" t="str">
        <f>"2865"</f>
        <v>2865</v>
      </c>
      <c r="B590" s="2" t="str">
        <f>"Обязательства по выпущенным электронным деньгам"</f>
        <v>Обязательства по выпущенным электронным деньгам</v>
      </c>
      <c r="C590" s="2" t="str">
        <f t="shared" si="114"/>
        <v>1</v>
      </c>
      <c r="D590" s="2" t="str">
        <f>"9"</f>
        <v>9</v>
      </c>
      <c r="E590" s="2" t="str">
        <f>"1"</f>
        <v>1</v>
      </c>
      <c r="F590" s="3">
        <v>386796.72</v>
      </c>
    </row>
    <row r="591" spans="1:6" x14ac:dyDescent="0.25">
      <c r="A591" s="4" t="str">
        <f>"2867"</f>
        <v>2867</v>
      </c>
      <c r="B591" s="2" t="str">
        <f>"Прочие кредиторы по неосновной деятельности"</f>
        <v>Прочие кредиторы по неосновной деятельности</v>
      </c>
      <c r="C591" s="2" t="str">
        <f t="shared" si="114"/>
        <v>1</v>
      </c>
      <c r="D591" s="2" t="str">
        <f>"7"</f>
        <v>7</v>
      </c>
      <c r="E591" s="2" t="str">
        <f>"1"</f>
        <v>1</v>
      </c>
      <c r="F591" s="3">
        <v>17549738.5</v>
      </c>
    </row>
    <row r="592" spans="1:6" x14ac:dyDescent="0.25">
      <c r="A592" s="4" t="str">
        <f t="shared" ref="A592:A597" si="115">"2869"</f>
        <v>2869</v>
      </c>
      <c r="B592" s="2" t="str">
        <f t="shared" ref="B592:B597" si="116">"Выданные гарантии"</f>
        <v>Выданные гарантии</v>
      </c>
      <c r="C592" s="2" t="str">
        <f t="shared" si="114"/>
        <v>1</v>
      </c>
      <c r="D592" s="2" t="str">
        <f>"6"</f>
        <v>6</v>
      </c>
      <c r="E592" s="2" t="str">
        <f>"1"</f>
        <v>1</v>
      </c>
      <c r="F592" s="3">
        <v>1243021.3899999999</v>
      </c>
    </row>
    <row r="593" spans="1:6" x14ac:dyDescent="0.25">
      <c r="A593" s="4" t="str">
        <f t="shared" si="115"/>
        <v>2869</v>
      </c>
      <c r="B593" s="2" t="str">
        <f t="shared" si="116"/>
        <v>Выданные гарантии</v>
      </c>
      <c r="C593" s="2" t="str">
        <f t="shared" si="114"/>
        <v>1</v>
      </c>
      <c r="D593" s="2" t="str">
        <f>"7"</f>
        <v>7</v>
      </c>
      <c r="E593" s="2" t="str">
        <f>"2"</f>
        <v>2</v>
      </c>
      <c r="F593" s="3">
        <v>89405758.319999993</v>
      </c>
    </row>
    <row r="594" spans="1:6" x14ac:dyDescent="0.25">
      <c r="A594" s="4" t="str">
        <f t="shared" si="115"/>
        <v>2869</v>
      </c>
      <c r="B594" s="2" t="str">
        <f t="shared" si="116"/>
        <v>Выданные гарантии</v>
      </c>
      <c r="C594" s="2" t="str">
        <f t="shared" si="114"/>
        <v>1</v>
      </c>
      <c r="D594" s="2" t="str">
        <f>"7"</f>
        <v>7</v>
      </c>
      <c r="E594" s="2" t="str">
        <f>"1"</f>
        <v>1</v>
      </c>
      <c r="F594" s="3">
        <v>1118014597.1099999</v>
      </c>
    </row>
    <row r="595" spans="1:6" x14ac:dyDescent="0.25">
      <c r="A595" s="4" t="str">
        <f t="shared" si="115"/>
        <v>2869</v>
      </c>
      <c r="B595" s="2" t="str">
        <f t="shared" si="116"/>
        <v>Выданные гарантии</v>
      </c>
      <c r="C595" s="2" t="str">
        <f t="shared" si="114"/>
        <v>1</v>
      </c>
      <c r="D595" s="2" t="str">
        <f>"8"</f>
        <v>8</v>
      </c>
      <c r="E595" s="2" t="str">
        <f>"1"</f>
        <v>1</v>
      </c>
      <c r="F595" s="3">
        <v>206192.51</v>
      </c>
    </row>
    <row r="596" spans="1:6" x14ac:dyDescent="0.25">
      <c r="A596" s="4" t="str">
        <f t="shared" si="115"/>
        <v>2869</v>
      </c>
      <c r="B596" s="2" t="str">
        <f t="shared" si="116"/>
        <v>Выданные гарантии</v>
      </c>
      <c r="C596" s="2" t="str">
        <f t="shared" si="114"/>
        <v>1</v>
      </c>
      <c r="D596" s="2" t="str">
        <f>"7"</f>
        <v>7</v>
      </c>
      <c r="E596" s="2" t="str">
        <f>"3"</f>
        <v>3</v>
      </c>
      <c r="F596" s="3">
        <v>21682406.640000001</v>
      </c>
    </row>
    <row r="597" spans="1:6" x14ac:dyDescent="0.25">
      <c r="A597" s="4" t="str">
        <f t="shared" si="115"/>
        <v>2869</v>
      </c>
      <c r="B597" s="2" t="str">
        <f t="shared" si="116"/>
        <v>Выданные гарантии</v>
      </c>
      <c r="C597" s="2" t="str">
        <f t="shared" si="114"/>
        <v>1</v>
      </c>
      <c r="D597" s="2" t="str">
        <f>"9"</f>
        <v>9</v>
      </c>
      <c r="E597" s="2" t="str">
        <f>"1"</f>
        <v>1</v>
      </c>
      <c r="F597" s="3">
        <v>2164787.36</v>
      </c>
    </row>
    <row r="598" spans="1:6" x14ac:dyDescent="0.25">
      <c r="A598" s="4" t="str">
        <f t="shared" ref="A598:A607" si="117">"2870"</f>
        <v>2870</v>
      </c>
      <c r="B598" s="2" t="str">
        <f t="shared" ref="B598:B607" si="118">"Прочие транзитные счета"</f>
        <v>Прочие транзитные счета</v>
      </c>
      <c r="C598" s="2" t="str">
        <f t="shared" si="114"/>
        <v>1</v>
      </c>
      <c r="D598" s="2" t="str">
        <f>"7"</f>
        <v>7</v>
      </c>
      <c r="E598" s="2" t="str">
        <f>"1"</f>
        <v>1</v>
      </c>
      <c r="F598" s="3">
        <v>70019924.340000004</v>
      </c>
    </row>
    <row r="599" spans="1:6" x14ac:dyDescent="0.25">
      <c r="A599" s="4" t="str">
        <f t="shared" si="117"/>
        <v>2870</v>
      </c>
      <c r="B599" s="2" t="str">
        <f t="shared" si="118"/>
        <v>Прочие транзитные счета</v>
      </c>
      <c r="C599" s="2" t="str">
        <f t="shared" si="114"/>
        <v>1</v>
      </c>
      <c r="D599" s="2" t="str">
        <f>"7"</f>
        <v>7</v>
      </c>
      <c r="E599" s="2" t="str">
        <f>"3"</f>
        <v>3</v>
      </c>
      <c r="F599" s="3">
        <v>676681</v>
      </c>
    </row>
    <row r="600" spans="1:6" x14ac:dyDescent="0.25">
      <c r="A600" s="4" t="str">
        <f t="shared" si="117"/>
        <v>2870</v>
      </c>
      <c r="B600" s="2" t="str">
        <f t="shared" si="118"/>
        <v>Прочие транзитные счета</v>
      </c>
      <c r="C600" s="2" t="str">
        <f t="shared" si="114"/>
        <v>1</v>
      </c>
      <c r="D600" s="2" t="str">
        <f>"9"</f>
        <v>9</v>
      </c>
      <c r="E600" s="2" t="str">
        <f>"3"</f>
        <v>3</v>
      </c>
      <c r="F600" s="3">
        <v>774666.56</v>
      </c>
    </row>
    <row r="601" spans="1:6" x14ac:dyDescent="0.25">
      <c r="A601" s="4" t="str">
        <f t="shared" si="117"/>
        <v>2870</v>
      </c>
      <c r="B601" s="2" t="str">
        <f t="shared" si="118"/>
        <v>Прочие транзитные счета</v>
      </c>
      <c r="C601" s="2" t="str">
        <f>"2"</f>
        <v>2</v>
      </c>
      <c r="D601" s="2" t="str">
        <f>"4"</f>
        <v>4</v>
      </c>
      <c r="E601" s="2" t="str">
        <f>"2"</f>
        <v>2</v>
      </c>
      <c r="F601" s="3">
        <v>234787176.18000001</v>
      </c>
    </row>
    <row r="602" spans="1:6" x14ac:dyDescent="0.25">
      <c r="A602" s="4" t="str">
        <f t="shared" si="117"/>
        <v>2870</v>
      </c>
      <c r="B602" s="2" t="str">
        <f t="shared" si="118"/>
        <v>Прочие транзитные счета</v>
      </c>
      <c r="C602" s="2" t="str">
        <f>"1"</f>
        <v>1</v>
      </c>
      <c r="D602" s="2" t="str">
        <f>"9"</f>
        <v>9</v>
      </c>
      <c r="E602" s="2" t="str">
        <f>"1"</f>
        <v>1</v>
      </c>
      <c r="F602" s="3">
        <v>3195310438.6599998</v>
      </c>
    </row>
    <row r="603" spans="1:6" x14ac:dyDescent="0.25">
      <c r="A603" s="4" t="str">
        <f t="shared" si="117"/>
        <v>2870</v>
      </c>
      <c r="B603" s="2" t="str">
        <f t="shared" si="118"/>
        <v>Прочие транзитные счета</v>
      </c>
      <c r="C603" s="2" t="str">
        <f>"1"</f>
        <v>1</v>
      </c>
      <c r="D603" s="2" t="str">
        <f>"9"</f>
        <v>9</v>
      </c>
      <c r="E603" s="2" t="str">
        <f>"2"</f>
        <v>2</v>
      </c>
      <c r="F603" s="3">
        <v>3225137294.9299998</v>
      </c>
    </row>
    <row r="604" spans="1:6" x14ac:dyDescent="0.25">
      <c r="A604" s="4" t="str">
        <f t="shared" si="117"/>
        <v>2870</v>
      </c>
      <c r="B604" s="2" t="str">
        <f t="shared" si="118"/>
        <v>Прочие транзитные счета</v>
      </c>
      <c r="C604" s="2" t="str">
        <f>"2"</f>
        <v>2</v>
      </c>
      <c r="D604" s="2" t="str">
        <f>"4"</f>
        <v>4</v>
      </c>
      <c r="E604" s="2" t="str">
        <f>"3"</f>
        <v>3</v>
      </c>
      <c r="F604" s="3">
        <v>66216048.039999999</v>
      </c>
    </row>
    <row r="605" spans="1:6" x14ac:dyDescent="0.25">
      <c r="A605" s="4" t="str">
        <f t="shared" si="117"/>
        <v>2870</v>
      </c>
      <c r="B605" s="2" t="str">
        <f t="shared" si="118"/>
        <v>Прочие транзитные счета</v>
      </c>
      <c r="C605" s="2" t="str">
        <f>"2"</f>
        <v>2</v>
      </c>
      <c r="D605" s="2" t="str">
        <f>"9"</f>
        <v>9</v>
      </c>
      <c r="E605" s="2" t="str">
        <f>"2"</f>
        <v>2</v>
      </c>
      <c r="F605" s="3">
        <v>13185109</v>
      </c>
    </row>
    <row r="606" spans="1:6" x14ac:dyDescent="0.25">
      <c r="A606" s="4" t="str">
        <f t="shared" si="117"/>
        <v>2870</v>
      </c>
      <c r="B606" s="2" t="str">
        <f t="shared" si="118"/>
        <v>Прочие транзитные счета</v>
      </c>
      <c r="C606" s="2" t="str">
        <f>"2"</f>
        <v>2</v>
      </c>
      <c r="D606" s="2" t="str">
        <f>"9"</f>
        <v>9</v>
      </c>
      <c r="E606" s="2" t="str">
        <f>"3"</f>
        <v>3</v>
      </c>
      <c r="F606" s="3">
        <v>2390100</v>
      </c>
    </row>
    <row r="607" spans="1:6" x14ac:dyDescent="0.25">
      <c r="A607" s="4" t="str">
        <f t="shared" si="117"/>
        <v>2870</v>
      </c>
      <c r="B607" s="2" t="str">
        <f t="shared" si="118"/>
        <v>Прочие транзитные счета</v>
      </c>
      <c r="C607" s="2" t="str">
        <f>"2"</f>
        <v>2</v>
      </c>
      <c r="D607" s="2" t="str">
        <f>"9"</f>
        <v>9</v>
      </c>
      <c r="E607" s="2" t="str">
        <f>"1"</f>
        <v>1</v>
      </c>
      <c r="F607" s="3">
        <v>1072157</v>
      </c>
    </row>
    <row r="608" spans="1:6" x14ac:dyDescent="0.25">
      <c r="A608" s="4" t="str">
        <f>"2874"</f>
        <v>2874</v>
      </c>
      <c r="B608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8" s="2" t="str">
        <f>"1"</f>
        <v>1</v>
      </c>
      <c r="D608" s="2" t="str">
        <f>""</f>
        <v/>
      </c>
      <c r="E608" s="2" t="str">
        <f>"3"</f>
        <v>3</v>
      </c>
      <c r="F608" s="3">
        <v>1116486.8500000001</v>
      </c>
    </row>
    <row r="609" spans="1:6" x14ac:dyDescent="0.25">
      <c r="A609" s="4" t="str">
        <f>"2874"</f>
        <v>2874</v>
      </c>
      <c r="B609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9" s="2" t="str">
        <f>"1"</f>
        <v>1</v>
      </c>
      <c r="D609" s="2" t="str">
        <f>""</f>
        <v/>
      </c>
      <c r="E609" s="2" t="str">
        <f>"1"</f>
        <v>1</v>
      </c>
      <c r="F609" s="3">
        <v>11508833.720000001</v>
      </c>
    </row>
    <row r="610" spans="1:6" x14ac:dyDescent="0.25">
      <c r="A610" s="4" t="str">
        <f>"2874"</f>
        <v>2874</v>
      </c>
      <c r="B610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10" s="2" t="str">
        <f>"1"</f>
        <v>1</v>
      </c>
      <c r="D610" s="2" t="str">
        <f>""</f>
        <v/>
      </c>
      <c r="E610" s="2" t="str">
        <f>"2"</f>
        <v>2</v>
      </c>
      <c r="F610" s="3">
        <v>56905.18</v>
      </c>
    </row>
    <row r="611" spans="1:6" x14ac:dyDescent="0.25">
      <c r="A611" s="4" t="str">
        <f>"2874"</f>
        <v>2874</v>
      </c>
      <c r="B611" s="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11" s="2" t="str">
        <f>"2"</f>
        <v>2</v>
      </c>
      <c r="D611" s="2" t="str">
        <f>""</f>
        <v/>
      </c>
      <c r="E611" s="2" t="str">
        <f>"1"</f>
        <v>1</v>
      </c>
      <c r="F611" s="3">
        <v>12000</v>
      </c>
    </row>
    <row r="612" spans="1:6" x14ac:dyDescent="0.25">
      <c r="A612" s="4" t="str">
        <f>"2875"</f>
        <v>2875</v>
      </c>
      <c r="B612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2" s="2" t="str">
        <f>"1"</f>
        <v>1</v>
      </c>
      <c r="D612" s="2" t="str">
        <f>"7"</f>
        <v>7</v>
      </c>
      <c r="E612" s="2" t="str">
        <f>"1"</f>
        <v>1</v>
      </c>
      <c r="F612" s="3">
        <v>263423981.34999999</v>
      </c>
    </row>
    <row r="613" spans="1:6" x14ac:dyDescent="0.25">
      <c r="A613" s="4" t="str">
        <f>"2875"</f>
        <v>2875</v>
      </c>
      <c r="B613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3" s="2" t="str">
        <f>"1"</f>
        <v>1</v>
      </c>
      <c r="D613" s="2" t="str">
        <f>"7"</f>
        <v>7</v>
      </c>
      <c r="E613" s="2" t="str">
        <f>"2"</f>
        <v>2</v>
      </c>
      <c r="F613" s="3">
        <v>8241239.4900000002</v>
      </c>
    </row>
    <row r="614" spans="1:6" x14ac:dyDescent="0.25">
      <c r="A614" s="4" t="str">
        <f>"2875"</f>
        <v>2875</v>
      </c>
      <c r="B614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4" s="2" t="str">
        <f>"1"</f>
        <v>1</v>
      </c>
      <c r="D614" s="2" t="str">
        <f>"9"</f>
        <v>9</v>
      </c>
      <c r="E614" s="2" t="str">
        <f>"1"</f>
        <v>1</v>
      </c>
      <c r="F614" s="3">
        <v>89611491.319999993</v>
      </c>
    </row>
    <row r="615" spans="1:6" x14ac:dyDescent="0.25">
      <c r="A615" s="4" t="str">
        <f>"2875"</f>
        <v>2875</v>
      </c>
      <c r="B615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5" s="2" t="str">
        <f>"2"</f>
        <v>2</v>
      </c>
      <c r="D615" s="2" t="str">
        <f>"7"</f>
        <v>7</v>
      </c>
      <c r="E615" s="2" t="str">
        <f>"2"</f>
        <v>2</v>
      </c>
      <c r="F615" s="3">
        <v>17185085.399999999</v>
      </c>
    </row>
    <row r="616" spans="1:6" x14ac:dyDescent="0.25">
      <c r="A616" s="4" t="str">
        <f>"2875"</f>
        <v>2875</v>
      </c>
      <c r="B616" s="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6" s="2" t="str">
        <f>"2"</f>
        <v>2</v>
      </c>
      <c r="D616" s="2" t="str">
        <f>"9"</f>
        <v>9</v>
      </c>
      <c r="E616" s="2" t="str">
        <f t="shared" ref="E616:E621" si="119">"1"</f>
        <v>1</v>
      </c>
      <c r="F616" s="3">
        <v>303622.05</v>
      </c>
    </row>
    <row r="617" spans="1:6" x14ac:dyDescent="0.25">
      <c r="A617" s="4" t="str">
        <f>"2880"</f>
        <v>2880</v>
      </c>
      <c r="B617" s="2" t="str">
        <f>"Обязательства по секьюритизируемым активам"</f>
        <v>Обязательства по секьюритизируемым активам</v>
      </c>
      <c r="C617" s="2" t="str">
        <f>"1"</f>
        <v>1</v>
      </c>
      <c r="D617" s="2" t="str">
        <f>""</f>
        <v/>
      </c>
      <c r="E617" s="2" t="str">
        <f t="shared" si="119"/>
        <v>1</v>
      </c>
      <c r="F617" s="3">
        <v>3115473318.5599999</v>
      </c>
    </row>
    <row r="618" spans="1:6" x14ac:dyDescent="0.25">
      <c r="A618" s="4" t="str">
        <f>"2892"</f>
        <v>2892</v>
      </c>
      <c r="B618" s="2" t="str">
        <f>"Обязательства по операциям форвард"</f>
        <v>Обязательства по операциям форвард</v>
      </c>
      <c r="C618" s="2" t="str">
        <f>"1"</f>
        <v>1</v>
      </c>
      <c r="D618" s="2" t="str">
        <f>"4"</f>
        <v>4</v>
      </c>
      <c r="E618" s="2" t="str">
        <f t="shared" si="119"/>
        <v>1</v>
      </c>
      <c r="F618" s="3">
        <v>2487647.69</v>
      </c>
    </row>
    <row r="619" spans="1:6" x14ac:dyDescent="0.25">
      <c r="A619" s="4" t="str">
        <f>"2892"</f>
        <v>2892</v>
      </c>
      <c r="B619" s="2" t="str">
        <f>"Обязательства по операциям форвард"</f>
        <v>Обязательства по операциям форвард</v>
      </c>
      <c r="C619" s="2" t="str">
        <f>"1"</f>
        <v>1</v>
      </c>
      <c r="D619" s="2" t="str">
        <f>"7"</f>
        <v>7</v>
      </c>
      <c r="E619" s="2" t="str">
        <f t="shared" si="119"/>
        <v>1</v>
      </c>
      <c r="F619" s="3">
        <v>1149211159.8399999</v>
      </c>
    </row>
    <row r="620" spans="1:6" x14ac:dyDescent="0.25">
      <c r="A620" s="4" t="str">
        <f>"2892"</f>
        <v>2892</v>
      </c>
      <c r="B620" s="2" t="str">
        <f>"Обязательства по операциям форвард"</f>
        <v>Обязательства по операциям форвард</v>
      </c>
      <c r="C620" s="2" t="str">
        <f>"2"</f>
        <v>2</v>
      </c>
      <c r="D620" s="2" t="str">
        <f>"4"</f>
        <v>4</v>
      </c>
      <c r="E620" s="2" t="str">
        <f t="shared" si="119"/>
        <v>1</v>
      </c>
      <c r="F620" s="3">
        <v>3077460.65</v>
      </c>
    </row>
    <row r="621" spans="1:6" x14ac:dyDescent="0.25">
      <c r="A621" s="4" t="str">
        <f t="shared" ref="A621:A628" si="120">"2894"</f>
        <v>2894</v>
      </c>
      <c r="B621" s="2" t="str">
        <f t="shared" ref="B621:B628" si="121">"Обязательства по операциям спот"</f>
        <v>Обязательства по операциям спот</v>
      </c>
      <c r="C621" s="2" t="str">
        <f>"1"</f>
        <v>1</v>
      </c>
      <c r="D621" s="2" t="str">
        <f>"4"</f>
        <v>4</v>
      </c>
      <c r="E621" s="2" t="str">
        <f t="shared" si="119"/>
        <v>1</v>
      </c>
      <c r="F621" s="3">
        <v>6327900000</v>
      </c>
    </row>
    <row r="622" spans="1:6" x14ac:dyDescent="0.25">
      <c r="A622" s="4" t="str">
        <f t="shared" si="120"/>
        <v>2894</v>
      </c>
      <c r="B622" s="2" t="str">
        <f t="shared" si="121"/>
        <v>Обязательства по операциям спот</v>
      </c>
      <c r="C622" s="2" t="str">
        <f>"1"</f>
        <v>1</v>
      </c>
      <c r="D622" s="2" t="str">
        <f>"4"</f>
        <v>4</v>
      </c>
      <c r="E622" s="2" t="str">
        <f>"2"</f>
        <v>2</v>
      </c>
      <c r="F622" s="3">
        <v>14593704396.6</v>
      </c>
    </row>
    <row r="623" spans="1:6" x14ac:dyDescent="0.25">
      <c r="A623" s="4" t="str">
        <f t="shared" si="120"/>
        <v>2894</v>
      </c>
      <c r="B623" s="2" t="str">
        <f t="shared" si="121"/>
        <v>Обязательства по операциям спот</v>
      </c>
      <c r="C623" s="2" t="str">
        <f>"1"</f>
        <v>1</v>
      </c>
      <c r="D623" s="2" t="str">
        <f>"5"</f>
        <v>5</v>
      </c>
      <c r="E623" s="2" t="str">
        <f>"2"</f>
        <v>2</v>
      </c>
      <c r="F623" s="3">
        <v>22604232030</v>
      </c>
    </row>
    <row r="624" spans="1:6" x14ac:dyDescent="0.25">
      <c r="A624" s="4" t="str">
        <f t="shared" si="120"/>
        <v>2894</v>
      </c>
      <c r="B624" s="2" t="str">
        <f t="shared" si="121"/>
        <v>Обязательства по операциям спот</v>
      </c>
      <c r="C624" s="2" t="str">
        <f>"2"</f>
        <v>2</v>
      </c>
      <c r="D624" s="2" t="str">
        <f>"5"</f>
        <v>5</v>
      </c>
      <c r="E624" s="2" t="str">
        <f>"1"</f>
        <v>1</v>
      </c>
      <c r="F624" s="3">
        <v>2305486910</v>
      </c>
    </row>
    <row r="625" spans="1:6" x14ac:dyDescent="0.25">
      <c r="A625" s="4" t="str">
        <f t="shared" si="120"/>
        <v>2894</v>
      </c>
      <c r="B625" s="2" t="str">
        <f t="shared" si="121"/>
        <v>Обязательства по операциям спот</v>
      </c>
      <c r="C625" s="2" t="str">
        <f>"1"</f>
        <v>1</v>
      </c>
      <c r="D625" s="2" t="str">
        <f>"5"</f>
        <v>5</v>
      </c>
      <c r="E625" s="2" t="str">
        <f>"1"</f>
        <v>1</v>
      </c>
      <c r="F625" s="3">
        <v>487669000</v>
      </c>
    </row>
    <row r="626" spans="1:6" x14ac:dyDescent="0.25">
      <c r="A626" s="4" t="str">
        <f t="shared" si="120"/>
        <v>2894</v>
      </c>
      <c r="B626" s="2" t="str">
        <f t="shared" si="121"/>
        <v>Обязательства по операциям спот</v>
      </c>
      <c r="C626" s="2" t="str">
        <f>"2"</f>
        <v>2</v>
      </c>
      <c r="D626" s="2" t="str">
        <f>"5"</f>
        <v>5</v>
      </c>
      <c r="E626" s="2" t="str">
        <f>"2"</f>
        <v>2</v>
      </c>
      <c r="F626" s="3">
        <v>964298810</v>
      </c>
    </row>
    <row r="627" spans="1:6" x14ac:dyDescent="0.25">
      <c r="A627" s="4" t="str">
        <f t="shared" si="120"/>
        <v>2894</v>
      </c>
      <c r="B627" s="2" t="str">
        <f t="shared" si="121"/>
        <v>Обязательства по операциям спот</v>
      </c>
      <c r="C627" s="2" t="str">
        <f>"2"</f>
        <v>2</v>
      </c>
      <c r="D627" s="2" t="str">
        <f>"4"</f>
        <v>4</v>
      </c>
      <c r="E627" s="2" t="str">
        <f>"2"</f>
        <v>2</v>
      </c>
      <c r="F627" s="3">
        <v>4795836733</v>
      </c>
    </row>
    <row r="628" spans="1:6" x14ac:dyDescent="0.25">
      <c r="A628" s="4" t="str">
        <f t="shared" si="120"/>
        <v>2894</v>
      </c>
      <c r="B628" s="2" t="str">
        <f t="shared" si="121"/>
        <v>Обязательства по операциям спот</v>
      </c>
      <c r="C628" s="2" t="str">
        <f>"2"</f>
        <v>2</v>
      </c>
      <c r="D628" s="2" t="str">
        <f>"4"</f>
        <v>4</v>
      </c>
      <c r="E628" s="2" t="str">
        <f>"3"</f>
        <v>3</v>
      </c>
      <c r="F628" s="3">
        <v>4698414119</v>
      </c>
    </row>
    <row r="629" spans="1:6" x14ac:dyDescent="0.25">
      <c r="A629" s="4" t="str">
        <f>"2895"</f>
        <v>2895</v>
      </c>
      <c r="B629" s="2" t="str">
        <f>"Обязательства по операциям своп"</f>
        <v>Обязательства по операциям своп</v>
      </c>
      <c r="C629" s="2" t="str">
        <f>"1"</f>
        <v>1</v>
      </c>
      <c r="D629" s="2" t="str">
        <f>"5"</f>
        <v>5</v>
      </c>
      <c r="E629" s="2" t="str">
        <f>"1"</f>
        <v>1</v>
      </c>
      <c r="F629" s="3">
        <v>1588779517.9000001</v>
      </c>
    </row>
    <row r="630" spans="1:6" x14ac:dyDescent="0.25">
      <c r="A630" s="4" t="str">
        <f>"3001"</f>
        <v>3001</v>
      </c>
      <c r="B630" s="2" t="str">
        <f>"Уставный капитал – простые акции"</f>
        <v>Уставный капитал – простые акции</v>
      </c>
      <c r="C630" s="2" t="str">
        <f>""</f>
        <v/>
      </c>
      <c r="D630" s="2" t="str">
        <f>""</f>
        <v/>
      </c>
      <c r="E630" s="2" t="str">
        <f>""</f>
        <v/>
      </c>
      <c r="F630" s="3">
        <v>61135196834.199997</v>
      </c>
    </row>
    <row r="631" spans="1:6" x14ac:dyDescent="0.25">
      <c r="A631" s="4" t="str">
        <f>"3101"</f>
        <v>3101</v>
      </c>
      <c r="B631" s="2" t="str">
        <f>"Дополнительный оплаченный капитал"</f>
        <v>Дополнительный оплаченный капитал</v>
      </c>
      <c r="C631" s="2" t="str">
        <f>""</f>
        <v/>
      </c>
      <c r="D631" s="2" t="str">
        <f>""</f>
        <v/>
      </c>
      <c r="E631" s="2" t="str">
        <f>""</f>
        <v/>
      </c>
      <c r="F631" s="3">
        <v>2025632000</v>
      </c>
    </row>
    <row r="632" spans="1:6" x14ac:dyDescent="0.25">
      <c r="A632" s="4" t="str">
        <f>"3510"</f>
        <v>3510</v>
      </c>
      <c r="B632" s="2" t="str">
        <f>"Резервный капитал"</f>
        <v>Резервный капитал</v>
      </c>
      <c r="C632" s="2" t="str">
        <f>""</f>
        <v/>
      </c>
      <c r="D632" s="2" t="str">
        <f>""</f>
        <v/>
      </c>
      <c r="E632" s="2" t="str">
        <f>""</f>
        <v/>
      </c>
      <c r="F632" s="3">
        <v>8616900749.1700001</v>
      </c>
    </row>
    <row r="633" spans="1:6" x14ac:dyDescent="0.25">
      <c r="A633" s="4" t="str">
        <f>"3561"</f>
        <v>3561</v>
      </c>
      <c r="B633" s="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3" s="2" t="str">
        <f>"1"</f>
        <v>1</v>
      </c>
      <c r="D633" s="2" t="str">
        <f>""</f>
        <v/>
      </c>
      <c r="E633" s="2" t="str">
        <f>"1"</f>
        <v>1</v>
      </c>
      <c r="F633" s="3">
        <v>10063945052.25</v>
      </c>
    </row>
    <row r="634" spans="1:6" x14ac:dyDescent="0.25">
      <c r="A634" s="4" t="str">
        <f>"3561"</f>
        <v>3561</v>
      </c>
      <c r="B634" s="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4" s="2" t="str">
        <f>"1"</f>
        <v>1</v>
      </c>
      <c r="D634" s="2" t="str">
        <f>""</f>
        <v/>
      </c>
      <c r="E634" s="2" t="str">
        <f>"2"</f>
        <v>2</v>
      </c>
      <c r="F634" s="3">
        <v>-1930311631.46</v>
      </c>
    </row>
    <row r="635" spans="1:6" x14ac:dyDescent="0.25">
      <c r="A635" s="4" t="str">
        <f>"3561"</f>
        <v>3561</v>
      </c>
      <c r="B635" s="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5" s="2" t="str">
        <f>"2"</f>
        <v>2</v>
      </c>
      <c r="D635" s="2" t="str">
        <f>""</f>
        <v/>
      </c>
      <c r="E635" s="2" t="str">
        <f>"2"</f>
        <v>2</v>
      </c>
      <c r="F635" s="3">
        <v>-5072739853.54</v>
      </c>
    </row>
    <row r="636" spans="1:6" x14ac:dyDescent="0.25">
      <c r="A636" s="4" t="str">
        <f>"3562"</f>
        <v>3562</v>
      </c>
      <c r="B636" s="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36" s="2" t="str">
        <f>"1"</f>
        <v>1</v>
      </c>
      <c r="D636" s="2" t="str">
        <f>""</f>
        <v/>
      </c>
      <c r="E636" s="2" t="str">
        <f>"2"</f>
        <v>2</v>
      </c>
      <c r="F636" s="3">
        <v>33575975.020000003</v>
      </c>
    </row>
    <row r="637" spans="1:6" x14ac:dyDescent="0.25">
      <c r="A637" s="4" t="str">
        <f>"3562"</f>
        <v>3562</v>
      </c>
      <c r="B637" s="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37" s="2" t="str">
        <f>"2"</f>
        <v>2</v>
      </c>
      <c r="D637" s="2" t="str">
        <f>""</f>
        <v/>
      </c>
      <c r="E637" s="2" t="str">
        <f>"2"</f>
        <v>2</v>
      </c>
      <c r="F637" s="3">
        <v>5576688096.1800003</v>
      </c>
    </row>
    <row r="638" spans="1:6" x14ac:dyDescent="0.25">
      <c r="A638" s="4" t="str">
        <f>"3580"</f>
        <v>3580</v>
      </c>
      <c r="B638" s="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638" s="2" t="str">
        <f>""</f>
        <v/>
      </c>
      <c r="D638" s="2" t="str">
        <f>""</f>
        <v/>
      </c>
      <c r="E638" s="2" t="str">
        <f>""</f>
        <v/>
      </c>
      <c r="F638" s="3">
        <v>128795421194.94</v>
      </c>
    </row>
    <row r="639" spans="1:6" x14ac:dyDescent="0.25">
      <c r="A639" s="4" t="str">
        <f>"3599"</f>
        <v>3599</v>
      </c>
      <c r="B639" s="2" t="str">
        <f>"Нераспределенная чистая прибыль (непокрытый убыток)"</f>
        <v>Нераспределенная чистая прибыль (непокрытый убыток)</v>
      </c>
      <c r="C639" s="2" t="str">
        <f>""</f>
        <v/>
      </c>
      <c r="D639" s="2" t="str">
        <f>""</f>
        <v/>
      </c>
      <c r="E639" s="2" t="str">
        <f>""</f>
        <v/>
      </c>
      <c r="F639" s="3">
        <v>58464294046.889999</v>
      </c>
    </row>
    <row r="640" spans="1:6" x14ac:dyDescent="0.25">
      <c r="A640" s="4" t="str">
        <f>"4052"</f>
        <v>4052</v>
      </c>
      <c r="B640" s="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640" s="2" t="str">
        <f>""</f>
        <v/>
      </c>
      <c r="D640" s="2" t="str">
        <f>""</f>
        <v/>
      </c>
      <c r="E640" s="2" t="str">
        <f>""</f>
        <v/>
      </c>
      <c r="F640" s="3">
        <v>2067798218.73</v>
      </c>
    </row>
    <row r="641" spans="1:6" x14ac:dyDescent="0.25">
      <c r="A641" s="4" t="str">
        <f>"4101"</f>
        <v>4101</v>
      </c>
      <c r="B641" s="2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641" s="2" t="str">
        <f>""</f>
        <v/>
      </c>
      <c r="D641" s="2" t="str">
        <f>""</f>
        <v/>
      </c>
      <c r="E641" s="2" t="str">
        <f>""</f>
        <v/>
      </c>
      <c r="F641" s="3">
        <v>524125000</v>
      </c>
    </row>
    <row r="642" spans="1:6" x14ac:dyDescent="0.25">
      <c r="A642" s="4" t="str">
        <f>"4103"</f>
        <v>4103</v>
      </c>
      <c r="B642" s="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642" s="2" t="str">
        <f>""</f>
        <v/>
      </c>
      <c r="D642" s="2" t="str">
        <f>""</f>
        <v/>
      </c>
      <c r="E642" s="2" t="str">
        <f>""</f>
        <v/>
      </c>
      <c r="F642" s="3">
        <v>9881027200.7299995</v>
      </c>
    </row>
    <row r="643" spans="1:6" x14ac:dyDescent="0.25">
      <c r="A643" s="4" t="str">
        <f>"4251"</f>
        <v>4251</v>
      </c>
      <c r="B643" s="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643" s="2" t="str">
        <f>""</f>
        <v/>
      </c>
      <c r="D643" s="2" t="str">
        <f>""</f>
        <v/>
      </c>
      <c r="E643" s="2" t="str">
        <f>""</f>
        <v/>
      </c>
      <c r="F643" s="3">
        <v>102476206.09</v>
      </c>
    </row>
    <row r="644" spans="1:6" x14ac:dyDescent="0.25">
      <c r="A644" s="4" t="str">
        <f>"4253"</f>
        <v>4253</v>
      </c>
      <c r="B644" s="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644" s="2" t="str">
        <f>""</f>
        <v/>
      </c>
      <c r="D644" s="2" t="str">
        <f>""</f>
        <v/>
      </c>
      <c r="E644" s="2" t="str">
        <f>""</f>
        <v/>
      </c>
      <c r="F644" s="3">
        <v>6711316.04</v>
      </c>
    </row>
    <row r="645" spans="1:6" x14ac:dyDescent="0.25">
      <c r="A645" s="4" t="str">
        <f>"4267"</f>
        <v>4267</v>
      </c>
      <c r="B645" s="2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645" s="2" t="str">
        <f>""</f>
        <v/>
      </c>
      <c r="D645" s="2" t="str">
        <f>""</f>
        <v/>
      </c>
      <c r="E645" s="2" t="str">
        <f>""</f>
        <v/>
      </c>
      <c r="F645" s="3">
        <v>172077510.75999999</v>
      </c>
    </row>
    <row r="646" spans="1:6" x14ac:dyDescent="0.25">
      <c r="A646" s="4" t="str">
        <f>"4302"</f>
        <v>4302</v>
      </c>
      <c r="B646" s="2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C646" s="2" t="str">
        <f>""</f>
        <v/>
      </c>
      <c r="D646" s="2" t="str">
        <f>""</f>
        <v/>
      </c>
      <c r="E646" s="2" t="str">
        <f>""</f>
        <v/>
      </c>
      <c r="F646" s="3">
        <v>11907347.85</v>
      </c>
    </row>
    <row r="647" spans="1:6" x14ac:dyDescent="0.25">
      <c r="A647" s="4" t="str">
        <f>"4304"</f>
        <v>4304</v>
      </c>
      <c r="B647" s="2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C647" s="2" t="str">
        <f>""</f>
        <v/>
      </c>
      <c r="D647" s="2" t="str">
        <f>""</f>
        <v/>
      </c>
      <c r="E647" s="2" t="str">
        <f>""</f>
        <v/>
      </c>
      <c r="F647" s="3">
        <v>7232084.8799999999</v>
      </c>
    </row>
    <row r="648" spans="1:6" x14ac:dyDescent="0.25">
      <c r="A648" s="4" t="str">
        <f>"4403"</f>
        <v>4403</v>
      </c>
      <c r="B648" s="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648" s="2" t="str">
        <f>""</f>
        <v/>
      </c>
      <c r="D648" s="2" t="str">
        <f>""</f>
        <v/>
      </c>
      <c r="E648" s="2" t="str">
        <f>""</f>
        <v/>
      </c>
      <c r="F648" s="3">
        <v>232808502.78999999</v>
      </c>
    </row>
    <row r="649" spans="1:6" x14ac:dyDescent="0.25">
      <c r="A649" s="4" t="str">
        <f>"4411"</f>
        <v>4411</v>
      </c>
      <c r="B649" s="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49" s="2" t="str">
        <f>""</f>
        <v/>
      </c>
      <c r="D649" s="2" t="str">
        <f>""</f>
        <v/>
      </c>
      <c r="E649" s="2" t="str">
        <f>""</f>
        <v/>
      </c>
      <c r="F649" s="3">
        <v>1541467916.1500001</v>
      </c>
    </row>
    <row r="650" spans="1:6" x14ac:dyDescent="0.25">
      <c r="A650" s="4" t="str">
        <f>"4417"</f>
        <v>4417</v>
      </c>
      <c r="B650" s="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50" s="2" t="str">
        <f>""</f>
        <v/>
      </c>
      <c r="D650" s="2" t="str">
        <f>""</f>
        <v/>
      </c>
      <c r="E650" s="2" t="str">
        <f>""</f>
        <v/>
      </c>
      <c r="F650" s="3">
        <v>116011152396.73</v>
      </c>
    </row>
    <row r="651" spans="1:6" x14ac:dyDescent="0.25">
      <c r="A651" s="4" t="str">
        <f>"4424"</f>
        <v>4424</v>
      </c>
      <c r="B651" s="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51" s="2" t="str">
        <f>""</f>
        <v/>
      </c>
      <c r="D651" s="2" t="str">
        <f>""</f>
        <v/>
      </c>
      <c r="E651" s="2" t="str">
        <f>""</f>
        <v/>
      </c>
      <c r="F651" s="3">
        <v>931609227.74000001</v>
      </c>
    </row>
    <row r="652" spans="1:6" x14ac:dyDescent="0.25">
      <c r="A652" s="4" t="str">
        <f>"4429"</f>
        <v>4429</v>
      </c>
      <c r="B652" s="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52" s="2" t="str">
        <f>""</f>
        <v/>
      </c>
      <c r="D652" s="2" t="str">
        <f>""</f>
        <v/>
      </c>
      <c r="E652" s="2" t="str">
        <f>""</f>
        <v/>
      </c>
      <c r="F652" s="3">
        <v>1585565223.3599999</v>
      </c>
    </row>
    <row r="653" spans="1:6" x14ac:dyDescent="0.25">
      <c r="A653" s="4" t="str">
        <f>"4434"</f>
        <v>4434</v>
      </c>
      <c r="B653" s="2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C653" s="2" t="str">
        <f>""</f>
        <v/>
      </c>
      <c r="D653" s="2" t="str">
        <f>""</f>
        <v/>
      </c>
      <c r="E653" s="2" t="str">
        <f>""</f>
        <v/>
      </c>
      <c r="F653" s="3">
        <v>10090179911.360001</v>
      </c>
    </row>
    <row r="654" spans="1:6" x14ac:dyDescent="0.25">
      <c r="A654" s="4" t="str">
        <f>"4436"</f>
        <v>4436</v>
      </c>
      <c r="B654" s="2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C654" s="2" t="str">
        <f>""</f>
        <v/>
      </c>
      <c r="D654" s="2" t="str">
        <f>""</f>
        <v/>
      </c>
      <c r="E654" s="2" t="str">
        <f>""</f>
        <v/>
      </c>
      <c r="F654" s="3">
        <v>16407187.609999999</v>
      </c>
    </row>
    <row r="655" spans="1:6" x14ac:dyDescent="0.25">
      <c r="A655" s="4" t="str">
        <f>"4452"</f>
        <v>4452</v>
      </c>
      <c r="B655" s="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55" s="2" t="str">
        <f>""</f>
        <v/>
      </c>
      <c r="D655" s="2" t="str">
        <f>""</f>
        <v/>
      </c>
      <c r="E655" s="2" t="str">
        <f>""</f>
        <v/>
      </c>
      <c r="F655" s="3">
        <v>11178079555.74</v>
      </c>
    </row>
    <row r="656" spans="1:6" x14ac:dyDescent="0.25">
      <c r="A656" s="4" t="str">
        <f>"4453"</f>
        <v>4453</v>
      </c>
      <c r="B656" s="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56" s="2" t="str">
        <f>""</f>
        <v/>
      </c>
      <c r="D656" s="2" t="str">
        <f>""</f>
        <v/>
      </c>
      <c r="E656" s="2" t="str">
        <f>""</f>
        <v/>
      </c>
      <c r="F656" s="3">
        <v>2269735074.9699998</v>
      </c>
    </row>
    <row r="657" spans="1:6" x14ac:dyDescent="0.25">
      <c r="A657" s="4" t="str">
        <f>"4454"</f>
        <v>4454</v>
      </c>
      <c r="B657" s="2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57" s="2" t="str">
        <f>""</f>
        <v/>
      </c>
      <c r="D657" s="2" t="str">
        <f>""</f>
        <v/>
      </c>
      <c r="E657" s="2" t="str">
        <f>""</f>
        <v/>
      </c>
      <c r="F657" s="3">
        <v>11452937.01</v>
      </c>
    </row>
    <row r="658" spans="1:6" x14ac:dyDescent="0.25">
      <c r="A658" s="4" t="str">
        <f>"4465"</f>
        <v>4465</v>
      </c>
      <c r="B658" s="2" t="s">
        <v>6</v>
      </c>
      <c r="C658" s="2" t="str">
        <f>""</f>
        <v/>
      </c>
      <c r="D658" s="2" t="str">
        <f>""</f>
        <v/>
      </c>
      <c r="E658" s="2" t="str">
        <f>""</f>
        <v/>
      </c>
      <c r="F658" s="3">
        <v>45330000.670000002</v>
      </c>
    </row>
    <row r="659" spans="1:6" x14ac:dyDescent="0.25">
      <c r="A659" s="4" t="str">
        <f>"4481"</f>
        <v>4481</v>
      </c>
      <c r="B659" s="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59" s="2" t="str">
        <f>""</f>
        <v/>
      </c>
      <c r="D659" s="2" t="str">
        <f>""</f>
        <v/>
      </c>
      <c r="E659" s="2" t="str">
        <f>""</f>
        <v/>
      </c>
      <c r="F659" s="3">
        <v>5425964483.8800001</v>
      </c>
    </row>
    <row r="660" spans="1:6" x14ac:dyDescent="0.25">
      <c r="A660" s="4" t="str">
        <f>"4482"</f>
        <v>4482</v>
      </c>
      <c r="B660" s="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60" s="2" t="str">
        <f>""</f>
        <v/>
      </c>
      <c r="D660" s="2" t="str">
        <f>""</f>
        <v/>
      </c>
      <c r="E660" s="2" t="str">
        <f>""</f>
        <v/>
      </c>
      <c r="F660" s="3">
        <v>1377801607.97</v>
      </c>
    </row>
    <row r="661" spans="1:6" x14ac:dyDescent="0.25">
      <c r="A661" s="4" t="str">
        <f>"4491"</f>
        <v>4491</v>
      </c>
      <c r="B661" s="2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61" s="2" t="str">
        <f>""</f>
        <v/>
      </c>
      <c r="D661" s="2" t="str">
        <f>""</f>
        <v/>
      </c>
      <c r="E661" s="2" t="str">
        <f>""</f>
        <v/>
      </c>
      <c r="F661" s="3">
        <v>1608688.31</v>
      </c>
    </row>
    <row r="662" spans="1:6" x14ac:dyDescent="0.25">
      <c r="A662" s="4" t="str">
        <f>"4510"</f>
        <v>4510</v>
      </c>
      <c r="B662" s="2" t="str">
        <f>"Доходы по купле-продаже ценных бумаг"</f>
        <v>Доходы по купле-продаже ценных бумаг</v>
      </c>
      <c r="C662" s="2" t="str">
        <f>""</f>
        <v/>
      </c>
      <c r="D662" s="2" t="str">
        <f>""</f>
        <v/>
      </c>
      <c r="E662" s="2" t="str">
        <f>""</f>
        <v/>
      </c>
      <c r="F662" s="3">
        <v>136789678.33000001</v>
      </c>
    </row>
    <row r="663" spans="1:6" x14ac:dyDescent="0.25">
      <c r="A663" s="4" t="str">
        <f>"4530"</f>
        <v>4530</v>
      </c>
      <c r="B663" s="2" t="str">
        <f>"Доходы по купле-продаже иностранной валюты"</f>
        <v>Доходы по купле-продаже иностранной валюты</v>
      </c>
      <c r="C663" s="2" t="str">
        <f>""</f>
        <v/>
      </c>
      <c r="D663" s="2" t="str">
        <f>""</f>
        <v/>
      </c>
      <c r="E663" s="2" t="str">
        <f>""</f>
        <v/>
      </c>
      <c r="F663" s="3">
        <v>70492408946.309998</v>
      </c>
    </row>
    <row r="664" spans="1:6" x14ac:dyDescent="0.25">
      <c r="A664" s="4" t="str">
        <f>"4540"</f>
        <v>4540</v>
      </c>
      <c r="B664" s="2" t="str">
        <f>"Доходы от продажи аффинированных драгоценных металлов"</f>
        <v>Доходы от продажи аффинированных драгоценных металлов</v>
      </c>
      <c r="C664" s="2" t="str">
        <f>""</f>
        <v/>
      </c>
      <c r="D664" s="2" t="str">
        <f>""</f>
        <v/>
      </c>
      <c r="E664" s="2" t="str">
        <f>""</f>
        <v/>
      </c>
      <c r="F664" s="3">
        <v>4379169.08</v>
      </c>
    </row>
    <row r="665" spans="1:6" x14ac:dyDescent="0.25">
      <c r="A665" s="4" t="str">
        <f>"4570"</f>
        <v>4570</v>
      </c>
      <c r="B665" s="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C665" s="2" t="str">
        <f>""</f>
        <v/>
      </c>
      <c r="D665" s="2" t="str">
        <f>""</f>
        <v/>
      </c>
      <c r="E665" s="2" t="str">
        <f>""</f>
        <v/>
      </c>
      <c r="F665" s="3">
        <v>3886668519.5599999</v>
      </c>
    </row>
    <row r="666" spans="1:6" x14ac:dyDescent="0.25">
      <c r="A666" s="4" t="str">
        <f>"4593"</f>
        <v>4593</v>
      </c>
      <c r="B666" s="2" t="str">
        <f>"Доходы от переоценки операций своп"</f>
        <v>Доходы от переоценки операций своп</v>
      </c>
      <c r="C666" s="2" t="str">
        <f>""</f>
        <v/>
      </c>
      <c r="D666" s="2" t="str">
        <f>""</f>
        <v/>
      </c>
      <c r="E666" s="2" t="str">
        <f>""</f>
        <v/>
      </c>
      <c r="F666" s="3">
        <v>4423803843.4899998</v>
      </c>
    </row>
    <row r="667" spans="1:6" x14ac:dyDescent="0.25">
      <c r="A667" s="4" t="str">
        <f>"4601"</f>
        <v>4601</v>
      </c>
      <c r="B667" s="2" t="str">
        <f>"Комиссионные доходы за услуги по переводным операциям"</f>
        <v>Комиссионные доходы за услуги по переводным операциям</v>
      </c>
      <c r="C667" s="2" t="str">
        <f>""</f>
        <v/>
      </c>
      <c r="D667" s="2" t="str">
        <f>""</f>
        <v/>
      </c>
      <c r="E667" s="2" t="str">
        <f>""</f>
        <v/>
      </c>
      <c r="F667" s="3">
        <v>2983460630.8800001</v>
      </c>
    </row>
    <row r="668" spans="1:6" x14ac:dyDescent="0.25">
      <c r="A668" s="4" t="str">
        <f>"4602"</f>
        <v>4602</v>
      </c>
      <c r="B668" s="2" t="str">
        <f>"Комиссионные доходы за агентские услуги"</f>
        <v>Комиссионные доходы за агентские услуги</v>
      </c>
      <c r="C668" s="2" t="str">
        <f>""</f>
        <v/>
      </c>
      <c r="D668" s="2" t="str">
        <f>""</f>
        <v/>
      </c>
      <c r="E668" s="2" t="str">
        <f>""</f>
        <v/>
      </c>
      <c r="F668" s="3">
        <v>12828572571.459999</v>
      </c>
    </row>
    <row r="669" spans="1:6" x14ac:dyDescent="0.25">
      <c r="A669" s="4" t="str">
        <f>"4605"</f>
        <v>4605</v>
      </c>
      <c r="B669" s="2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69" s="2" t="str">
        <f>""</f>
        <v/>
      </c>
      <c r="D669" s="2" t="str">
        <f>""</f>
        <v/>
      </c>
      <c r="E669" s="2" t="str">
        <f>""</f>
        <v/>
      </c>
      <c r="F669" s="3">
        <v>63233137.560000002</v>
      </c>
    </row>
    <row r="670" spans="1:6" x14ac:dyDescent="0.25">
      <c r="A670" s="4" t="str">
        <f>"4606"</f>
        <v>4606</v>
      </c>
      <c r="B670" s="2" t="str">
        <f>"Комиссионные доходы за услуги по операциям с гарантиями"</f>
        <v>Комиссионные доходы за услуги по операциям с гарантиями</v>
      </c>
      <c r="C670" s="2" t="str">
        <f>""</f>
        <v/>
      </c>
      <c r="D670" s="2" t="str">
        <f>""</f>
        <v/>
      </c>
      <c r="E670" s="2" t="str">
        <f>""</f>
        <v/>
      </c>
      <c r="F670" s="3">
        <v>371247660.00999999</v>
      </c>
    </row>
    <row r="671" spans="1:6" x14ac:dyDescent="0.25">
      <c r="A671" s="4" t="str">
        <f>"4607"</f>
        <v>4607</v>
      </c>
      <c r="B671" s="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71" s="2" t="str">
        <f>""</f>
        <v/>
      </c>
      <c r="D671" s="2" t="str">
        <f>""</f>
        <v/>
      </c>
      <c r="E671" s="2" t="str">
        <f>""</f>
        <v/>
      </c>
      <c r="F671" s="3">
        <v>300013576.11000001</v>
      </c>
    </row>
    <row r="672" spans="1:6" x14ac:dyDescent="0.25">
      <c r="A672" s="4" t="str">
        <f>"4608"</f>
        <v>4608</v>
      </c>
      <c r="B672" s="2" t="str">
        <f>"Прочие комиссионные доходы"</f>
        <v>Прочие комиссионные доходы</v>
      </c>
      <c r="C672" s="2" t="str">
        <f>""</f>
        <v/>
      </c>
      <c r="D672" s="2" t="str">
        <f>""</f>
        <v/>
      </c>
      <c r="E672" s="2" t="str">
        <f>""</f>
        <v/>
      </c>
      <c r="F672" s="3">
        <v>4623754387.75</v>
      </c>
    </row>
    <row r="673" spans="1:6" x14ac:dyDescent="0.25">
      <c r="A673" s="4" t="str">
        <f>"4609"</f>
        <v>4609</v>
      </c>
      <c r="B673" s="2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73" s="2" t="str">
        <f>""</f>
        <v/>
      </c>
      <c r="D673" s="2" t="str">
        <f>""</f>
        <v/>
      </c>
      <c r="E673" s="2" t="str">
        <f>""</f>
        <v/>
      </c>
      <c r="F673" s="3">
        <v>121801474.97</v>
      </c>
    </row>
    <row r="674" spans="1:6" x14ac:dyDescent="0.25">
      <c r="A674" s="4" t="str">
        <f>"4611"</f>
        <v>4611</v>
      </c>
      <c r="B674" s="2" t="str">
        <f>"Комиссионные доходы за услуги по кассовым операциям"</f>
        <v>Комиссионные доходы за услуги по кассовым операциям</v>
      </c>
      <c r="C674" s="2" t="str">
        <f>""</f>
        <v/>
      </c>
      <c r="D674" s="2" t="str">
        <f>""</f>
        <v/>
      </c>
      <c r="E674" s="2" t="str">
        <f>""</f>
        <v/>
      </c>
      <c r="F674" s="3">
        <v>998949735.57000005</v>
      </c>
    </row>
    <row r="675" spans="1:6" x14ac:dyDescent="0.25">
      <c r="A675" s="4" t="str">
        <f>"4612"</f>
        <v>4612</v>
      </c>
      <c r="B675" s="2" t="str">
        <f>"Комиссионные доходы по документарным расчетам"</f>
        <v>Комиссионные доходы по документарным расчетам</v>
      </c>
      <c r="C675" s="2" t="str">
        <f>""</f>
        <v/>
      </c>
      <c r="D675" s="2" t="str">
        <f>""</f>
        <v/>
      </c>
      <c r="E675" s="2" t="str">
        <f>""</f>
        <v/>
      </c>
      <c r="F675" s="3">
        <v>39988656.100000001</v>
      </c>
    </row>
    <row r="676" spans="1:6" x14ac:dyDescent="0.25">
      <c r="A676" s="4" t="str">
        <f>"4615"</f>
        <v>4615</v>
      </c>
      <c r="B676" s="2" t="str">
        <f>"Комиссионные доходы за услуги по инкассации"</f>
        <v>Комиссионные доходы за услуги по инкассации</v>
      </c>
      <c r="C676" s="2" t="str">
        <f>""</f>
        <v/>
      </c>
      <c r="D676" s="2" t="str">
        <f>""</f>
        <v/>
      </c>
      <c r="E676" s="2" t="str">
        <f>""</f>
        <v/>
      </c>
      <c r="F676" s="3">
        <v>11249438.380000001</v>
      </c>
    </row>
    <row r="677" spans="1:6" x14ac:dyDescent="0.25">
      <c r="A677" s="4" t="str">
        <f>"4617"</f>
        <v>4617</v>
      </c>
      <c r="B677" s="2" t="str">
        <f>"Комиссионные доходы за услуги по сейфовым операциям"</f>
        <v>Комиссионные доходы за услуги по сейфовым операциям</v>
      </c>
      <c r="C677" s="2" t="str">
        <f>""</f>
        <v/>
      </c>
      <c r="D677" s="2" t="str">
        <f>""</f>
        <v/>
      </c>
      <c r="E677" s="2" t="str">
        <f>""</f>
        <v/>
      </c>
      <c r="F677" s="3">
        <v>84848341.569999993</v>
      </c>
    </row>
    <row r="678" spans="1:6" x14ac:dyDescent="0.25">
      <c r="A678" s="4" t="str">
        <f>"4619"</f>
        <v>4619</v>
      </c>
      <c r="B678" s="2" t="str">
        <f>"Комиссионные доходы за обслуживание платежных карточек"</f>
        <v>Комиссионные доходы за обслуживание платежных карточек</v>
      </c>
      <c r="C678" s="2" t="str">
        <f>""</f>
        <v/>
      </c>
      <c r="D678" s="2" t="str">
        <f>""</f>
        <v/>
      </c>
      <c r="E678" s="2" t="str">
        <f>""</f>
        <v/>
      </c>
      <c r="F678" s="3">
        <v>3483200</v>
      </c>
    </row>
    <row r="679" spans="1:6" x14ac:dyDescent="0.25">
      <c r="A679" s="4" t="str">
        <f>"4703"</f>
        <v>4703</v>
      </c>
      <c r="B679" s="2" t="str">
        <f>"Доход от переоценки иностранной валюты"</f>
        <v>Доход от переоценки иностранной валюты</v>
      </c>
      <c r="C679" s="2" t="str">
        <f>""</f>
        <v/>
      </c>
      <c r="D679" s="2" t="str">
        <f>""</f>
        <v/>
      </c>
      <c r="E679" s="2" t="str">
        <f>""</f>
        <v/>
      </c>
      <c r="F679" s="3">
        <v>148151715842.91</v>
      </c>
    </row>
    <row r="680" spans="1:6" x14ac:dyDescent="0.25">
      <c r="A680" s="4" t="str">
        <f>"4704"</f>
        <v>4704</v>
      </c>
      <c r="B680" s="2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80" s="2" t="str">
        <f>""</f>
        <v/>
      </c>
      <c r="D680" s="2" t="str">
        <f>""</f>
        <v/>
      </c>
      <c r="E680" s="2" t="str">
        <f>""</f>
        <v/>
      </c>
      <c r="F680" s="3">
        <v>98046282.219999999</v>
      </c>
    </row>
    <row r="681" spans="1:6" x14ac:dyDescent="0.25">
      <c r="A681" s="4" t="str">
        <f>"4733"</f>
        <v>4733</v>
      </c>
      <c r="B681" s="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81" s="2" t="str">
        <f>""</f>
        <v/>
      </c>
      <c r="D681" s="2" t="str">
        <f>""</f>
        <v/>
      </c>
      <c r="E681" s="2" t="str">
        <f>""</f>
        <v/>
      </c>
      <c r="F681" s="3">
        <v>4769164485.8500004</v>
      </c>
    </row>
    <row r="682" spans="1:6" x14ac:dyDescent="0.25">
      <c r="A682" s="4" t="str">
        <f>"4852"</f>
        <v>4852</v>
      </c>
      <c r="B682" s="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82" s="2" t="str">
        <f>""</f>
        <v/>
      </c>
      <c r="D682" s="2" t="str">
        <f>""</f>
        <v/>
      </c>
      <c r="E682" s="2" t="str">
        <f>""</f>
        <v/>
      </c>
      <c r="F682" s="3">
        <v>3437500</v>
      </c>
    </row>
    <row r="683" spans="1:6" x14ac:dyDescent="0.25">
      <c r="A683" s="4" t="str">
        <f>"4853"</f>
        <v>4853</v>
      </c>
      <c r="B683" s="2" t="str">
        <f>"Доходы от реализации запасов"</f>
        <v>Доходы от реализации запасов</v>
      </c>
      <c r="C683" s="2" t="str">
        <f>""</f>
        <v/>
      </c>
      <c r="D683" s="2" t="str">
        <f>""</f>
        <v/>
      </c>
      <c r="E683" s="2" t="str">
        <f>""</f>
        <v/>
      </c>
      <c r="F683" s="3">
        <v>540642.9</v>
      </c>
    </row>
    <row r="684" spans="1:6" x14ac:dyDescent="0.25">
      <c r="A684" s="4" t="str">
        <f>"4892"</f>
        <v>4892</v>
      </c>
      <c r="B684" s="2" t="str">
        <f>"Доходы по операциям форвард"</f>
        <v>Доходы по операциям форвард</v>
      </c>
      <c r="C684" s="2" t="str">
        <f>""</f>
        <v/>
      </c>
      <c r="D684" s="2" t="str">
        <f>""</f>
        <v/>
      </c>
      <c r="E684" s="2" t="str">
        <f>""</f>
        <v/>
      </c>
      <c r="F684" s="3">
        <v>1711710299.2</v>
      </c>
    </row>
    <row r="685" spans="1:6" x14ac:dyDescent="0.25">
      <c r="A685" s="4" t="str">
        <f>"4895"</f>
        <v>4895</v>
      </c>
      <c r="B685" s="2" t="str">
        <f>"Доходы по операциям своп"</f>
        <v>Доходы по операциям своп</v>
      </c>
      <c r="C685" s="2" t="str">
        <f>""</f>
        <v/>
      </c>
      <c r="D685" s="2" t="str">
        <f>""</f>
        <v/>
      </c>
      <c r="E685" s="2" t="str">
        <f>""</f>
        <v/>
      </c>
      <c r="F685" s="3">
        <v>23973775102.259998</v>
      </c>
    </row>
    <row r="686" spans="1:6" x14ac:dyDescent="0.25">
      <c r="A686" s="4" t="str">
        <f>"4900"</f>
        <v>4900</v>
      </c>
      <c r="B686" s="2" t="str">
        <f>"Неустойка (штраф, пеня)"</f>
        <v>Неустойка (штраф, пеня)</v>
      </c>
      <c r="C686" s="2" t="str">
        <f>""</f>
        <v/>
      </c>
      <c r="D686" s="2" t="str">
        <f>""</f>
        <v/>
      </c>
      <c r="E686" s="2" t="str">
        <f>""</f>
        <v/>
      </c>
      <c r="F686" s="3">
        <v>1345790543.8099999</v>
      </c>
    </row>
    <row r="687" spans="1:6" x14ac:dyDescent="0.25">
      <c r="A687" s="4" t="str">
        <f>"4921"</f>
        <v>4921</v>
      </c>
      <c r="B687" s="2" t="str">
        <f>"Прочие доходы от банковской деятельности"</f>
        <v>Прочие доходы от банковской деятельности</v>
      </c>
      <c r="C687" s="2" t="str">
        <f>""</f>
        <v/>
      </c>
      <c r="D687" s="2" t="str">
        <f>""</f>
        <v/>
      </c>
      <c r="E687" s="2" t="str">
        <f>""</f>
        <v/>
      </c>
      <c r="F687" s="3">
        <v>300610798.70999998</v>
      </c>
    </row>
    <row r="688" spans="1:6" x14ac:dyDescent="0.25">
      <c r="A688" s="4" t="str">
        <f>"4922"</f>
        <v>4922</v>
      </c>
      <c r="B688" s="2" t="str">
        <f>"Прочие доходы от неосновной деятельности"</f>
        <v>Прочие доходы от неосновной деятельности</v>
      </c>
      <c r="C688" s="2" t="str">
        <f>""</f>
        <v/>
      </c>
      <c r="D688" s="2" t="str">
        <f>""</f>
        <v/>
      </c>
      <c r="E688" s="2" t="str">
        <f>""</f>
        <v/>
      </c>
      <c r="F688" s="3">
        <v>40997237</v>
      </c>
    </row>
    <row r="689" spans="1:6" x14ac:dyDescent="0.25">
      <c r="A689" s="4" t="str">
        <f>"4953"</f>
        <v>4953</v>
      </c>
      <c r="B689" s="2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89" s="2" t="str">
        <f>""</f>
        <v/>
      </c>
      <c r="D689" s="2" t="str">
        <f>""</f>
        <v/>
      </c>
      <c r="E689" s="2" t="str">
        <f>""</f>
        <v/>
      </c>
      <c r="F689" s="3">
        <v>3996022105.0799999</v>
      </c>
    </row>
    <row r="690" spans="1:6" x14ac:dyDescent="0.25">
      <c r="A690" s="4" t="str">
        <f>"4954"</f>
        <v>4954</v>
      </c>
      <c r="B690" s="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90" s="2" t="str">
        <f>""</f>
        <v/>
      </c>
      <c r="D690" s="2" t="str">
        <f>""</f>
        <v/>
      </c>
      <c r="E690" s="2" t="str">
        <f>""</f>
        <v/>
      </c>
      <c r="F690" s="3">
        <v>4502877615.1599998</v>
      </c>
    </row>
    <row r="691" spans="1:6" x14ac:dyDescent="0.25">
      <c r="A691" s="4" t="str">
        <f>"4955"</f>
        <v>4955</v>
      </c>
      <c r="B691" s="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91" s="2" t="str">
        <f>""</f>
        <v/>
      </c>
      <c r="D691" s="2" t="str">
        <f>""</f>
        <v/>
      </c>
      <c r="E691" s="2" t="str">
        <f>""</f>
        <v/>
      </c>
      <c r="F691" s="3">
        <v>133345284512.75</v>
      </c>
    </row>
    <row r="692" spans="1:6" x14ac:dyDescent="0.25">
      <c r="A692" s="4" t="str">
        <f>"4956"</f>
        <v>4956</v>
      </c>
      <c r="B692" s="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92" s="2" t="str">
        <f>""</f>
        <v/>
      </c>
      <c r="D692" s="2" t="str">
        <f>""</f>
        <v/>
      </c>
      <c r="E692" s="2" t="str">
        <f>""</f>
        <v/>
      </c>
      <c r="F692" s="3">
        <v>15404723.07</v>
      </c>
    </row>
    <row r="693" spans="1:6" x14ac:dyDescent="0.25">
      <c r="A693" s="4" t="str">
        <f>"4957"</f>
        <v>4957</v>
      </c>
      <c r="B693" s="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93" s="2" t="str">
        <f>""</f>
        <v/>
      </c>
      <c r="D693" s="2" t="str">
        <f>""</f>
        <v/>
      </c>
      <c r="E693" s="2" t="str">
        <f>""</f>
        <v/>
      </c>
      <c r="F693" s="3">
        <v>220325514.90000001</v>
      </c>
    </row>
    <row r="694" spans="1:6" x14ac:dyDescent="0.25">
      <c r="A694" s="4" t="str">
        <f>"4958"</f>
        <v>4958</v>
      </c>
      <c r="B694" s="2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94" s="2" t="str">
        <f>""</f>
        <v/>
      </c>
      <c r="D694" s="2" t="str">
        <f>""</f>
        <v/>
      </c>
      <c r="E694" s="2" t="str">
        <f>""</f>
        <v/>
      </c>
      <c r="F694" s="3">
        <v>670042677.25999999</v>
      </c>
    </row>
    <row r="695" spans="1:6" x14ac:dyDescent="0.25">
      <c r="A695" s="4" t="str">
        <f>"4959"</f>
        <v>4959</v>
      </c>
      <c r="B695" s="2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95" s="2" t="str">
        <f>""</f>
        <v/>
      </c>
      <c r="D695" s="2" t="str">
        <f>""</f>
        <v/>
      </c>
      <c r="E695" s="2" t="str">
        <f>""</f>
        <v/>
      </c>
      <c r="F695" s="3">
        <v>190611.5</v>
      </c>
    </row>
    <row r="696" spans="1:6" x14ac:dyDescent="0.25">
      <c r="A696" s="4" t="str">
        <f>"5036"</f>
        <v>5036</v>
      </c>
      <c r="B696" s="2" t="s">
        <v>7</v>
      </c>
      <c r="C696" s="2" t="str">
        <f>""</f>
        <v/>
      </c>
      <c r="D696" s="2" t="str">
        <f>""</f>
        <v/>
      </c>
      <c r="E696" s="2" t="str">
        <f>""</f>
        <v/>
      </c>
      <c r="F696" s="3">
        <v>8317657.1399999997</v>
      </c>
    </row>
    <row r="697" spans="1:6" x14ac:dyDescent="0.25">
      <c r="A697" s="4" t="str">
        <f>"5056"</f>
        <v>5056</v>
      </c>
      <c r="B697" s="2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97" s="2" t="str">
        <f>""</f>
        <v/>
      </c>
      <c r="D697" s="2" t="str">
        <f>""</f>
        <v/>
      </c>
      <c r="E697" s="2" t="str">
        <f>""</f>
        <v/>
      </c>
      <c r="F697" s="3">
        <v>125686150.34</v>
      </c>
    </row>
    <row r="698" spans="1:6" x14ac:dyDescent="0.25">
      <c r="A698" s="4" t="str">
        <f>"5066"</f>
        <v>5066</v>
      </c>
      <c r="B698" s="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98" s="2" t="str">
        <f>""</f>
        <v/>
      </c>
      <c r="D698" s="2" t="str">
        <f>""</f>
        <v/>
      </c>
      <c r="E698" s="2" t="str">
        <f>""</f>
        <v/>
      </c>
      <c r="F698" s="3">
        <v>335920559.58999997</v>
      </c>
    </row>
    <row r="699" spans="1:6" x14ac:dyDescent="0.25">
      <c r="A699" s="4" t="str">
        <f>"5126"</f>
        <v>5126</v>
      </c>
      <c r="B699" s="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C699" s="2" t="str">
        <f>""</f>
        <v/>
      </c>
      <c r="D699" s="2" t="str">
        <f>""</f>
        <v/>
      </c>
      <c r="E699" s="2" t="str">
        <f>""</f>
        <v/>
      </c>
      <c r="F699" s="3">
        <v>30953319.359999999</v>
      </c>
    </row>
    <row r="700" spans="1:6" x14ac:dyDescent="0.25">
      <c r="A700" s="4" t="str">
        <f>"5211"</f>
        <v>5211</v>
      </c>
      <c r="B700" s="2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700" s="2" t="str">
        <f>""</f>
        <v/>
      </c>
      <c r="D700" s="2" t="str">
        <f>""</f>
        <v/>
      </c>
      <c r="E700" s="2" t="str">
        <f>""</f>
        <v/>
      </c>
      <c r="F700" s="3">
        <v>1139409833.8499999</v>
      </c>
    </row>
    <row r="701" spans="1:6" x14ac:dyDescent="0.25">
      <c r="A701" s="4" t="str">
        <f>"5215"</f>
        <v>5215</v>
      </c>
      <c r="B701" s="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701" s="2" t="str">
        <f>""</f>
        <v/>
      </c>
      <c r="D701" s="2" t="str">
        <f>""</f>
        <v/>
      </c>
      <c r="E701" s="2" t="str">
        <f>""</f>
        <v/>
      </c>
      <c r="F701" s="3">
        <v>16386250977.290001</v>
      </c>
    </row>
    <row r="702" spans="1:6" x14ac:dyDescent="0.25">
      <c r="A702" s="4" t="str">
        <f>"5217"</f>
        <v>5217</v>
      </c>
      <c r="B702" s="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702" s="2" t="str">
        <f>""</f>
        <v/>
      </c>
      <c r="D702" s="2" t="str">
        <f>""</f>
        <v/>
      </c>
      <c r="E702" s="2" t="str">
        <f>""</f>
        <v/>
      </c>
      <c r="F702" s="3">
        <v>25181266434.860001</v>
      </c>
    </row>
    <row r="703" spans="1:6" x14ac:dyDescent="0.25">
      <c r="A703" s="4" t="str">
        <f>"5218"</f>
        <v>5218</v>
      </c>
      <c r="B703" s="2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703" s="2" t="str">
        <f>""</f>
        <v/>
      </c>
      <c r="D703" s="2" t="str">
        <f>""</f>
        <v/>
      </c>
      <c r="E703" s="2" t="str">
        <f>""</f>
        <v/>
      </c>
      <c r="F703" s="3">
        <v>8542836487.4700003</v>
      </c>
    </row>
    <row r="704" spans="1:6" x14ac:dyDescent="0.25">
      <c r="A704" s="4" t="str">
        <f>"5219"</f>
        <v>5219</v>
      </c>
      <c r="B704" s="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704" s="2" t="str">
        <f>""</f>
        <v/>
      </c>
      <c r="D704" s="2" t="str">
        <f>""</f>
        <v/>
      </c>
      <c r="E704" s="2" t="str">
        <f>""</f>
        <v/>
      </c>
      <c r="F704" s="3">
        <v>192407.87</v>
      </c>
    </row>
    <row r="705" spans="1:6" x14ac:dyDescent="0.25">
      <c r="A705" s="4" t="str">
        <f>"5220"</f>
        <v>5220</v>
      </c>
      <c r="B705" s="2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705" s="2" t="str">
        <f>""</f>
        <v/>
      </c>
      <c r="D705" s="2" t="str">
        <f>""</f>
        <v/>
      </c>
      <c r="E705" s="2" t="str">
        <f>""</f>
        <v/>
      </c>
      <c r="F705" s="3">
        <v>386768612.57999998</v>
      </c>
    </row>
    <row r="706" spans="1:6" x14ac:dyDescent="0.25">
      <c r="A706" s="4" t="str">
        <f>"5223"</f>
        <v>5223</v>
      </c>
      <c r="B706" s="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706" s="2" t="str">
        <f>""</f>
        <v/>
      </c>
      <c r="D706" s="2" t="str">
        <f>""</f>
        <v/>
      </c>
      <c r="E706" s="2" t="str">
        <f>""</f>
        <v/>
      </c>
      <c r="F706" s="3">
        <v>1198087072.6600001</v>
      </c>
    </row>
    <row r="707" spans="1:6" x14ac:dyDescent="0.25">
      <c r="A707" s="4" t="str">
        <f>"5227"</f>
        <v>5227</v>
      </c>
      <c r="B707" s="2" t="str">
        <f>"Процентные расходы по обязательствам по аренде"</f>
        <v>Процентные расходы по обязательствам по аренде</v>
      </c>
      <c r="C707" s="2" t="str">
        <f>""</f>
        <v/>
      </c>
      <c r="D707" s="2" t="str">
        <f>""</f>
        <v/>
      </c>
      <c r="E707" s="2" t="str">
        <f>""</f>
        <v/>
      </c>
      <c r="F707" s="3">
        <v>186165436</v>
      </c>
    </row>
    <row r="708" spans="1:6" x14ac:dyDescent="0.25">
      <c r="A708" s="4" t="str">
        <f>"5240"</f>
        <v>5240</v>
      </c>
      <c r="B708" s="2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C708" s="2" t="str">
        <f>""</f>
        <v/>
      </c>
      <c r="D708" s="2" t="str">
        <f>""</f>
        <v/>
      </c>
      <c r="E708" s="2" t="str">
        <f>""</f>
        <v/>
      </c>
      <c r="F708" s="3">
        <v>1602719073.73</v>
      </c>
    </row>
    <row r="709" spans="1:6" x14ac:dyDescent="0.25">
      <c r="A709" s="4" t="str">
        <f>"5241"</f>
        <v>5241</v>
      </c>
      <c r="B709" s="2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C709" s="2" t="str">
        <f>""</f>
        <v/>
      </c>
      <c r="D709" s="2" t="str">
        <f>""</f>
        <v/>
      </c>
      <c r="E709" s="2" t="str">
        <f>""</f>
        <v/>
      </c>
      <c r="F709" s="3">
        <v>12931611.390000001</v>
      </c>
    </row>
    <row r="710" spans="1:6" x14ac:dyDescent="0.25">
      <c r="A710" s="4" t="str">
        <f>"5250"</f>
        <v>5250</v>
      </c>
      <c r="B710" s="2" t="s">
        <v>8</v>
      </c>
      <c r="C710" s="2" t="str">
        <f>""</f>
        <v/>
      </c>
      <c r="D710" s="2" t="str">
        <f>""</f>
        <v/>
      </c>
      <c r="E710" s="2" t="str">
        <f>""</f>
        <v/>
      </c>
      <c r="F710" s="3">
        <v>9235733758.4400005</v>
      </c>
    </row>
    <row r="711" spans="1:6" x14ac:dyDescent="0.25">
      <c r="A711" s="4" t="str">
        <f>"5301"</f>
        <v>5301</v>
      </c>
      <c r="B711" s="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711" s="2" t="str">
        <f>""</f>
        <v/>
      </c>
      <c r="D711" s="2" t="str">
        <f>""</f>
        <v/>
      </c>
      <c r="E711" s="2" t="str">
        <f>""</f>
        <v/>
      </c>
      <c r="F711" s="3">
        <v>962433142.83000004</v>
      </c>
    </row>
    <row r="712" spans="1:6" x14ac:dyDescent="0.25">
      <c r="A712" s="4" t="str">
        <f>"5306"</f>
        <v>5306</v>
      </c>
      <c r="B712" s="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712" s="2" t="str">
        <f>""</f>
        <v/>
      </c>
      <c r="D712" s="2" t="str">
        <f>""</f>
        <v/>
      </c>
      <c r="E712" s="2" t="str">
        <f>""</f>
        <v/>
      </c>
      <c r="F712" s="3">
        <v>431700809.47000003</v>
      </c>
    </row>
    <row r="713" spans="1:6" x14ac:dyDescent="0.25">
      <c r="A713" s="4" t="str">
        <f>"5307"</f>
        <v>5307</v>
      </c>
      <c r="B713" s="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713" s="2" t="str">
        <f>""</f>
        <v/>
      </c>
      <c r="D713" s="2" t="str">
        <f>""</f>
        <v/>
      </c>
      <c r="E713" s="2" t="str">
        <f>""</f>
        <v/>
      </c>
      <c r="F713" s="3">
        <v>58801729.880000003</v>
      </c>
    </row>
    <row r="714" spans="1:6" x14ac:dyDescent="0.25">
      <c r="A714" s="4" t="str">
        <f>"5308"</f>
        <v>5308</v>
      </c>
      <c r="B714" s="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714" s="2" t="str">
        <f>""</f>
        <v/>
      </c>
      <c r="D714" s="2" t="str">
        <f>""</f>
        <v/>
      </c>
      <c r="E714" s="2" t="str">
        <f>""</f>
        <v/>
      </c>
      <c r="F714" s="3">
        <v>865453416.35000002</v>
      </c>
    </row>
    <row r="715" spans="1:6" x14ac:dyDescent="0.25">
      <c r="A715" s="4" t="str">
        <f>"5309"</f>
        <v>5309</v>
      </c>
      <c r="B715" s="2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715" s="2" t="str">
        <f>""</f>
        <v/>
      </c>
      <c r="D715" s="2" t="str">
        <f>""</f>
        <v/>
      </c>
      <c r="E715" s="2" t="str">
        <f>""</f>
        <v/>
      </c>
      <c r="F715" s="3">
        <v>132438294.01000001</v>
      </c>
    </row>
    <row r="716" spans="1:6" x14ac:dyDescent="0.25">
      <c r="A716" s="4" t="str">
        <f>"5404"</f>
        <v>5404</v>
      </c>
      <c r="B716" s="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716" s="2" t="str">
        <f>""</f>
        <v/>
      </c>
      <c r="D716" s="2" t="str">
        <f>""</f>
        <v/>
      </c>
      <c r="E716" s="2" t="str">
        <f>""</f>
        <v/>
      </c>
      <c r="F716" s="3">
        <v>2349956800.5</v>
      </c>
    </row>
    <row r="717" spans="1:6" x14ac:dyDescent="0.25">
      <c r="A717" s="4" t="str">
        <f>"5406"</f>
        <v>5406</v>
      </c>
      <c r="B717" s="2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717" s="2" t="str">
        <f>""</f>
        <v/>
      </c>
      <c r="D717" s="2" t="str">
        <f>""</f>
        <v/>
      </c>
      <c r="E717" s="2" t="str">
        <f>""</f>
        <v/>
      </c>
      <c r="F717" s="3">
        <v>4085620750</v>
      </c>
    </row>
    <row r="718" spans="1:6" x14ac:dyDescent="0.25">
      <c r="A718" s="4" t="str">
        <f>"5451"</f>
        <v>5451</v>
      </c>
      <c r="B718" s="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718" s="2" t="str">
        <f>""</f>
        <v/>
      </c>
      <c r="D718" s="2" t="str">
        <f>""</f>
        <v/>
      </c>
      <c r="E718" s="2" t="str">
        <f>""</f>
        <v/>
      </c>
      <c r="F718" s="3">
        <v>546119.61</v>
      </c>
    </row>
    <row r="719" spans="1:6" x14ac:dyDescent="0.25">
      <c r="A719" s="4" t="str">
        <f>"5453"</f>
        <v>5453</v>
      </c>
      <c r="B719" s="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719" s="2" t="str">
        <f>""</f>
        <v/>
      </c>
      <c r="D719" s="2" t="str">
        <f>""</f>
        <v/>
      </c>
      <c r="E719" s="2" t="str">
        <f>""</f>
        <v/>
      </c>
      <c r="F719" s="3">
        <v>4137651206.5599999</v>
      </c>
    </row>
    <row r="720" spans="1:6" x14ac:dyDescent="0.25">
      <c r="A720" s="4" t="str">
        <f>"5455"</f>
        <v>5455</v>
      </c>
      <c r="B720" s="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720" s="2" t="str">
        <f>""</f>
        <v/>
      </c>
      <c r="D720" s="2" t="str">
        <f>""</f>
        <v/>
      </c>
      <c r="E720" s="2" t="str">
        <f>""</f>
        <v/>
      </c>
      <c r="F720" s="3">
        <v>161820602649.85001</v>
      </c>
    </row>
    <row r="721" spans="1:6" x14ac:dyDescent="0.25">
      <c r="A721" s="4" t="str">
        <f>"5456"</f>
        <v>5456</v>
      </c>
      <c r="B721" s="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721" s="2" t="str">
        <f>""</f>
        <v/>
      </c>
      <c r="D721" s="2" t="str">
        <f>""</f>
        <v/>
      </c>
      <c r="E721" s="2" t="str">
        <f>""</f>
        <v/>
      </c>
      <c r="F721" s="3">
        <v>249280964.16999999</v>
      </c>
    </row>
    <row r="722" spans="1:6" x14ac:dyDescent="0.25">
      <c r="A722" s="4" t="str">
        <f>"5457"</f>
        <v>5457</v>
      </c>
      <c r="B722" s="2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722" s="2" t="str">
        <f>""</f>
        <v/>
      </c>
      <c r="D722" s="2" t="str">
        <f>""</f>
        <v/>
      </c>
      <c r="E722" s="2" t="str">
        <f>""</f>
        <v/>
      </c>
      <c r="F722" s="3">
        <v>228749361.97</v>
      </c>
    </row>
    <row r="723" spans="1:6" x14ac:dyDescent="0.25">
      <c r="A723" s="4" t="str">
        <f>"5459"</f>
        <v>5459</v>
      </c>
      <c r="B723" s="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723" s="2" t="str">
        <f>""</f>
        <v/>
      </c>
      <c r="D723" s="2" t="str">
        <f>""</f>
        <v/>
      </c>
      <c r="E723" s="2" t="str">
        <f>""</f>
        <v/>
      </c>
      <c r="F723" s="3">
        <v>254284.82</v>
      </c>
    </row>
    <row r="724" spans="1:6" x14ac:dyDescent="0.25">
      <c r="A724" s="4" t="str">
        <f>"5464"</f>
        <v>5464</v>
      </c>
      <c r="B724" s="2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724" s="2" t="str">
        <f>""</f>
        <v/>
      </c>
      <c r="D724" s="2" t="str">
        <f>""</f>
        <v/>
      </c>
      <c r="E724" s="2" t="str">
        <f>""</f>
        <v/>
      </c>
      <c r="F724" s="3">
        <v>8474225075</v>
      </c>
    </row>
    <row r="725" spans="1:6" x14ac:dyDescent="0.25">
      <c r="A725" s="4" t="str">
        <f>"5465"</f>
        <v>5465</v>
      </c>
      <c r="B725" s="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725" s="2" t="str">
        <f>""</f>
        <v/>
      </c>
      <c r="D725" s="2" t="str">
        <f>""</f>
        <v/>
      </c>
      <c r="E725" s="2" t="str">
        <f>""</f>
        <v/>
      </c>
      <c r="F725" s="3">
        <v>1627539131.23</v>
      </c>
    </row>
    <row r="726" spans="1:6" x14ac:dyDescent="0.25">
      <c r="A726" s="4" t="str">
        <f>"5510"</f>
        <v>5510</v>
      </c>
      <c r="B726" s="2" t="str">
        <f>"Расходы по купле-продаже ценных бумаг"</f>
        <v>Расходы по купле-продаже ценных бумаг</v>
      </c>
      <c r="C726" s="2" t="str">
        <f>""</f>
        <v/>
      </c>
      <c r="D726" s="2" t="str">
        <f>""</f>
        <v/>
      </c>
      <c r="E726" s="2" t="str">
        <f>""</f>
        <v/>
      </c>
      <c r="F726" s="3">
        <v>4332691213.6400003</v>
      </c>
    </row>
    <row r="727" spans="1:6" x14ac:dyDescent="0.25">
      <c r="A727" s="4" t="str">
        <f>"5530"</f>
        <v>5530</v>
      </c>
      <c r="B727" s="2" t="str">
        <f>"Расходы по купле-продаже иностранной валюты"</f>
        <v>Расходы по купле-продаже иностранной валюты</v>
      </c>
      <c r="C727" s="2" t="str">
        <f>""</f>
        <v/>
      </c>
      <c r="D727" s="2" t="str">
        <f>""</f>
        <v/>
      </c>
      <c r="E727" s="2" t="str">
        <f>""</f>
        <v/>
      </c>
      <c r="F727" s="3">
        <v>46220668508.900002</v>
      </c>
    </row>
    <row r="728" spans="1:6" x14ac:dyDescent="0.25">
      <c r="A728" s="4" t="str">
        <f>"5540"</f>
        <v>5540</v>
      </c>
      <c r="B728" s="2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728" s="2" t="str">
        <f>""</f>
        <v/>
      </c>
      <c r="D728" s="2" t="str">
        <f>""</f>
        <v/>
      </c>
      <c r="E728" s="2" t="str">
        <f>""</f>
        <v/>
      </c>
      <c r="F728" s="3">
        <v>110484.96</v>
      </c>
    </row>
    <row r="729" spans="1:6" x14ac:dyDescent="0.25">
      <c r="A729" s="4" t="str">
        <f>"5570"</f>
        <v>5570</v>
      </c>
      <c r="B729" s="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729" s="2" t="str">
        <f>""</f>
        <v/>
      </c>
      <c r="D729" s="2" t="str">
        <f>""</f>
        <v/>
      </c>
      <c r="E729" s="2" t="str">
        <f>""</f>
        <v/>
      </c>
      <c r="F729" s="3">
        <v>3116569070.1900001</v>
      </c>
    </row>
    <row r="730" spans="1:6" x14ac:dyDescent="0.25">
      <c r="A730" s="4" t="str">
        <f>"5593"</f>
        <v>5593</v>
      </c>
      <c r="B730" s="2" t="str">
        <f>"Расходы от переоценки операций своп"</f>
        <v>Расходы от переоценки операций своп</v>
      </c>
      <c r="C730" s="2" t="str">
        <f>""</f>
        <v/>
      </c>
      <c r="D730" s="2" t="str">
        <f>""</f>
        <v/>
      </c>
      <c r="E730" s="2" t="str">
        <f>""</f>
        <v/>
      </c>
      <c r="F730" s="3">
        <v>4862529517.3999996</v>
      </c>
    </row>
    <row r="731" spans="1:6" x14ac:dyDescent="0.25">
      <c r="A731" s="4" t="str">
        <f>"5601"</f>
        <v>5601</v>
      </c>
      <c r="B731" s="2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731" s="2" t="str">
        <f>""</f>
        <v/>
      </c>
      <c r="D731" s="2" t="str">
        <f>""</f>
        <v/>
      </c>
      <c r="E731" s="2" t="str">
        <f>""</f>
        <v/>
      </c>
      <c r="F731" s="3">
        <v>566139230.32000005</v>
      </c>
    </row>
    <row r="732" spans="1:6" x14ac:dyDescent="0.25">
      <c r="A732" s="4" t="str">
        <f>"5602"</f>
        <v>5602</v>
      </c>
      <c r="B732" s="2" t="str">
        <f>"Комиссионные расходы по полученным агентским услугам"</f>
        <v>Комиссионные расходы по полученным агентским услугам</v>
      </c>
      <c r="C732" s="2" t="str">
        <f>""</f>
        <v/>
      </c>
      <c r="D732" s="2" t="str">
        <f>""</f>
        <v/>
      </c>
      <c r="E732" s="2" t="str">
        <f>""</f>
        <v/>
      </c>
      <c r="F732" s="3">
        <v>2455577406.1399999</v>
      </c>
    </row>
    <row r="733" spans="1:6" x14ac:dyDescent="0.25">
      <c r="A733" s="4" t="str">
        <f>"5603"</f>
        <v>5603</v>
      </c>
      <c r="B733" s="2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733" s="2" t="str">
        <f>""</f>
        <v/>
      </c>
      <c r="D733" s="2" t="str">
        <f>""</f>
        <v/>
      </c>
      <c r="E733" s="2" t="str">
        <f>""</f>
        <v/>
      </c>
      <c r="F733" s="3">
        <v>22012920.920000002</v>
      </c>
    </row>
    <row r="734" spans="1:6" x14ac:dyDescent="0.25">
      <c r="A734" s="4" t="str">
        <f>"5604"</f>
        <v>5604</v>
      </c>
      <c r="B734" s="2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C734" s="2" t="str">
        <f>""</f>
        <v/>
      </c>
      <c r="D734" s="2" t="str">
        <f>""</f>
        <v/>
      </c>
      <c r="E734" s="2" t="str">
        <f>""</f>
        <v/>
      </c>
      <c r="F734" s="3">
        <v>8919793.4000000004</v>
      </c>
    </row>
    <row r="735" spans="1:6" x14ac:dyDescent="0.25">
      <c r="A735" s="4" t="str">
        <f>"5607"</f>
        <v>5607</v>
      </c>
      <c r="B735" s="2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735" s="2" t="str">
        <f>""</f>
        <v/>
      </c>
      <c r="D735" s="2" t="str">
        <f>""</f>
        <v/>
      </c>
      <c r="E735" s="2" t="str">
        <f>""</f>
        <v/>
      </c>
      <c r="F735" s="3">
        <v>19678333.600000001</v>
      </c>
    </row>
    <row r="736" spans="1:6" x14ac:dyDescent="0.25">
      <c r="A736" s="4" t="str">
        <f>"5608"</f>
        <v>5608</v>
      </c>
      <c r="B736" s="2" t="str">
        <f>"Прочие комиссионные расходы"</f>
        <v>Прочие комиссионные расходы</v>
      </c>
      <c r="C736" s="2" t="str">
        <f>""</f>
        <v/>
      </c>
      <c r="D736" s="2" t="str">
        <f>""</f>
        <v/>
      </c>
      <c r="E736" s="2" t="str">
        <f>""</f>
        <v/>
      </c>
      <c r="F736" s="3">
        <v>6397015374.2200003</v>
      </c>
    </row>
    <row r="737" spans="1:6" x14ac:dyDescent="0.25">
      <c r="A737" s="4" t="str">
        <f>"5609"</f>
        <v>5609</v>
      </c>
      <c r="B737" s="2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737" s="2" t="str">
        <f>""</f>
        <v/>
      </c>
      <c r="D737" s="2" t="str">
        <f>""</f>
        <v/>
      </c>
      <c r="E737" s="2" t="str">
        <f>""</f>
        <v/>
      </c>
      <c r="F737" s="3">
        <v>134209106.53</v>
      </c>
    </row>
    <row r="738" spans="1:6" x14ac:dyDescent="0.25">
      <c r="A738" s="4" t="str">
        <f>"5703"</f>
        <v>5703</v>
      </c>
      <c r="B738" s="2" t="str">
        <f>"Расходы от переоценки иностранной валюты"</f>
        <v>Расходы от переоценки иностранной валюты</v>
      </c>
      <c r="C738" s="2" t="str">
        <f>""</f>
        <v/>
      </c>
      <c r="D738" s="2" t="str">
        <f>""</f>
        <v/>
      </c>
      <c r="E738" s="2" t="str">
        <f>""</f>
        <v/>
      </c>
      <c r="F738" s="3">
        <v>153786993525.20001</v>
      </c>
    </row>
    <row r="739" spans="1:6" x14ac:dyDescent="0.25">
      <c r="A739" s="4" t="str">
        <f>"5704"</f>
        <v>5704</v>
      </c>
      <c r="B739" s="2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739" s="2" t="str">
        <f>""</f>
        <v/>
      </c>
      <c r="D739" s="2" t="str">
        <f>""</f>
        <v/>
      </c>
      <c r="E739" s="2" t="str">
        <f>""</f>
        <v/>
      </c>
      <c r="F739" s="3">
        <v>95430597.760000005</v>
      </c>
    </row>
    <row r="740" spans="1:6" x14ac:dyDescent="0.25">
      <c r="A740" s="4" t="str">
        <f>"5721"</f>
        <v>5721</v>
      </c>
      <c r="B740" s="2" t="str">
        <f>"Расходы по оплате труда"</f>
        <v>Расходы по оплате труда</v>
      </c>
      <c r="C740" s="2" t="str">
        <f>""</f>
        <v/>
      </c>
      <c r="D740" s="2" t="str">
        <f>""</f>
        <v/>
      </c>
      <c r="E740" s="2" t="str">
        <f>""</f>
        <v/>
      </c>
      <c r="F740" s="3">
        <v>14187514024.879999</v>
      </c>
    </row>
    <row r="741" spans="1:6" x14ac:dyDescent="0.25">
      <c r="A741" s="4" t="str">
        <f>"5722"</f>
        <v>5722</v>
      </c>
      <c r="B741" s="2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741" s="2" t="str">
        <f>""</f>
        <v/>
      </c>
      <c r="D741" s="2" t="str">
        <f>""</f>
        <v/>
      </c>
      <c r="E741" s="2" t="str">
        <f>""</f>
        <v/>
      </c>
      <c r="F741" s="3">
        <v>562731090</v>
      </c>
    </row>
    <row r="742" spans="1:6" x14ac:dyDescent="0.25">
      <c r="A742" s="4" t="str">
        <f>"5729"</f>
        <v>5729</v>
      </c>
      <c r="B742" s="2" t="str">
        <f>"Прочие выплаты"</f>
        <v>Прочие выплаты</v>
      </c>
      <c r="C742" s="2" t="str">
        <f>""</f>
        <v/>
      </c>
      <c r="D742" s="2" t="str">
        <f>""</f>
        <v/>
      </c>
      <c r="E742" s="2" t="str">
        <f>""</f>
        <v/>
      </c>
      <c r="F742" s="3">
        <v>462577264.20999998</v>
      </c>
    </row>
    <row r="743" spans="1:6" x14ac:dyDescent="0.25">
      <c r="A743" s="4" t="str">
        <f>"5733"</f>
        <v>5733</v>
      </c>
      <c r="B743" s="2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743" s="2" t="str">
        <f>""</f>
        <v/>
      </c>
      <c r="D743" s="2" t="str">
        <f>""</f>
        <v/>
      </c>
      <c r="E743" s="2" t="str">
        <f>""</f>
        <v/>
      </c>
      <c r="F743" s="3">
        <v>62231666.280000001</v>
      </c>
    </row>
    <row r="744" spans="1:6" x14ac:dyDescent="0.25">
      <c r="A744" s="4" t="str">
        <f>"5741"</f>
        <v>5741</v>
      </c>
      <c r="B744" s="2" t="str">
        <f>"Транспортные расходы"</f>
        <v>Транспортные расходы</v>
      </c>
      <c r="C744" s="2" t="str">
        <f>""</f>
        <v/>
      </c>
      <c r="D744" s="2" t="str">
        <f>""</f>
        <v/>
      </c>
      <c r="E744" s="2" t="str">
        <f>""</f>
        <v/>
      </c>
      <c r="F744" s="3">
        <v>29889661.09</v>
      </c>
    </row>
    <row r="745" spans="1:6" x14ac:dyDescent="0.25">
      <c r="A745" s="4" t="str">
        <f>"5742"</f>
        <v>5742</v>
      </c>
      <c r="B745" s="2" t="str">
        <f>"Административные расходы"</f>
        <v>Административные расходы</v>
      </c>
      <c r="C745" s="2" t="str">
        <f>""</f>
        <v/>
      </c>
      <c r="D745" s="2" t="str">
        <f>""</f>
        <v/>
      </c>
      <c r="E745" s="2" t="str">
        <f>""</f>
        <v/>
      </c>
      <c r="F745" s="3">
        <v>3165262143.6700001</v>
      </c>
    </row>
    <row r="746" spans="1:6" x14ac:dyDescent="0.25">
      <c r="A746" s="4" t="str">
        <f>"5743"</f>
        <v>5743</v>
      </c>
      <c r="B746" s="2" t="str">
        <f>"Расходы на инкассацию"</f>
        <v>Расходы на инкассацию</v>
      </c>
      <c r="C746" s="2" t="str">
        <f>""</f>
        <v/>
      </c>
      <c r="D746" s="2" t="str">
        <f>""</f>
        <v/>
      </c>
      <c r="E746" s="2" t="str">
        <f>""</f>
        <v/>
      </c>
      <c r="F746" s="3">
        <v>235814231.66</v>
      </c>
    </row>
    <row r="747" spans="1:6" x14ac:dyDescent="0.25">
      <c r="A747" s="4" t="str">
        <f>"5744"</f>
        <v>5744</v>
      </c>
      <c r="B747" s="2" t="str">
        <f>"Расходы на ремонт"</f>
        <v>Расходы на ремонт</v>
      </c>
      <c r="C747" s="2" t="str">
        <f>""</f>
        <v/>
      </c>
      <c r="D747" s="2" t="str">
        <f>""</f>
        <v/>
      </c>
      <c r="E747" s="2" t="str">
        <f>""</f>
        <v/>
      </c>
      <c r="F747" s="3">
        <v>127913172.97</v>
      </c>
    </row>
    <row r="748" spans="1:6" x14ac:dyDescent="0.25">
      <c r="A748" s="4" t="str">
        <f>"5745"</f>
        <v>5745</v>
      </c>
      <c r="B748" s="2" t="str">
        <f>"Расходы на рекламу"</f>
        <v>Расходы на рекламу</v>
      </c>
      <c r="C748" s="2" t="str">
        <f>""</f>
        <v/>
      </c>
      <c r="D748" s="2" t="str">
        <f>""</f>
        <v/>
      </c>
      <c r="E748" s="2" t="str">
        <f>""</f>
        <v/>
      </c>
      <c r="F748" s="3">
        <v>215650914.05000001</v>
      </c>
    </row>
    <row r="749" spans="1:6" x14ac:dyDescent="0.25">
      <c r="A749" s="4" t="str">
        <f>"5746"</f>
        <v>5746</v>
      </c>
      <c r="B749" s="2" t="str">
        <f>"Расходы на охрану и сигнализацию"</f>
        <v>Расходы на охрану и сигнализацию</v>
      </c>
      <c r="C749" s="2" t="str">
        <f>""</f>
        <v/>
      </c>
      <c r="D749" s="2" t="str">
        <f>""</f>
        <v/>
      </c>
      <c r="E749" s="2" t="str">
        <f>""</f>
        <v/>
      </c>
      <c r="F749" s="3">
        <v>725817957.42999995</v>
      </c>
    </row>
    <row r="750" spans="1:6" x14ac:dyDescent="0.25">
      <c r="A750" s="4" t="str">
        <f>"5747"</f>
        <v>5747</v>
      </c>
      <c r="B750" s="2" t="str">
        <f>"Представительские расходы"</f>
        <v>Представительские расходы</v>
      </c>
      <c r="C750" s="2" t="str">
        <f>""</f>
        <v/>
      </c>
      <c r="D750" s="2" t="str">
        <f>""</f>
        <v/>
      </c>
      <c r="E750" s="2" t="str">
        <f>""</f>
        <v/>
      </c>
      <c r="F750" s="3">
        <v>815343</v>
      </c>
    </row>
    <row r="751" spans="1:6" x14ac:dyDescent="0.25">
      <c r="A751" s="4" t="str">
        <f>"5748"</f>
        <v>5748</v>
      </c>
      <c r="B751" s="2" t="str">
        <f>"Прочие общехозяйственные расходы"</f>
        <v>Прочие общехозяйственные расходы</v>
      </c>
      <c r="C751" s="2" t="str">
        <f>""</f>
        <v/>
      </c>
      <c r="D751" s="2" t="str">
        <f>""</f>
        <v/>
      </c>
      <c r="E751" s="2" t="str">
        <f>""</f>
        <v/>
      </c>
      <c r="F751" s="3">
        <v>2124211.9</v>
      </c>
    </row>
    <row r="752" spans="1:6" x14ac:dyDescent="0.25">
      <c r="A752" s="4" t="str">
        <f>"5749"</f>
        <v>5749</v>
      </c>
      <c r="B752" s="2" t="str">
        <f>"Расходы на служебные командировки"</f>
        <v>Расходы на служебные командировки</v>
      </c>
      <c r="C752" s="2" t="str">
        <f>""</f>
        <v/>
      </c>
      <c r="D752" s="2" t="str">
        <f>""</f>
        <v/>
      </c>
      <c r="E752" s="2" t="str">
        <f>""</f>
        <v/>
      </c>
      <c r="F752" s="3">
        <v>147192294.24000001</v>
      </c>
    </row>
    <row r="753" spans="1:6" x14ac:dyDescent="0.25">
      <c r="A753" s="4" t="str">
        <f>"5750"</f>
        <v>5750</v>
      </c>
      <c r="B753" s="2" t="str">
        <f>"Расходы по аудиту и консультационным услугам"</f>
        <v>Расходы по аудиту и консультационным услугам</v>
      </c>
      <c r="C753" s="2" t="str">
        <f>""</f>
        <v/>
      </c>
      <c r="D753" s="2" t="str">
        <f>""</f>
        <v/>
      </c>
      <c r="E753" s="2" t="str">
        <f>""</f>
        <v/>
      </c>
      <c r="F753" s="3">
        <v>123196250</v>
      </c>
    </row>
    <row r="754" spans="1:6" x14ac:dyDescent="0.25">
      <c r="A754" s="4" t="str">
        <f>"5752"</f>
        <v>5752</v>
      </c>
      <c r="B754" s="2" t="str">
        <f>"Расходы по страхованию"</f>
        <v>Расходы по страхованию</v>
      </c>
      <c r="C754" s="2" t="str">
        <f>""</f>
        <v/>
      </c>
      <c r="D754" s="2" t="str">
        <f>""</f>
        <v/>
      </c>
      <c r="E754" s="2" t="str">
        <f>""</f>
        <v/>
      </c>
      <c r="F754" s="3">
        <v>33123984.68</v>
      </c>
    </row>
    <row r="755" spans="1:6" x14ac:dyDescent="0.25">
      <c r="A755" s="4" t="str">
        <f>"5753"</f>
        <v>5753</v>
      </c>
      <c r="B755" s="2" t="str">
        <f>"Расходы по услугам связи"</f>
        <v>Расходы по услугам связи</v>
      </c>
      <c r="C755" s="2" t="str">
        <f>""</f>
        <v/>
      </c>
      <c r="D755" s="2" t="str">
        <f>""</f>
        <v/>
      </c>
      <c r="E755" s="2" t="str">
        <f>""</f>
        <v/>
      </c>
      <c r="F755" s="3">
        <v>846851543.23000002</v>
      </c>
    </row>
    <row r="756" spans="1:6" x14ac:dyDescent="0.25">
      <c r="A756" s="4" t="str">
        <f>"5754"</f>
        <v>5754</v>
      </c>
      <c r="B756" s="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56" s="2" t="str">
        <f>""</f>
        <v/>
      </c>
      <c r="D756" s="2" t="str">
        <f>""</f>
        <v/>
      </c>
      <c r="E756" s="2" t="str">
        <f>""</f>
        <v/>
      </c>
      <c r="F756" s="3">
        <v>1431279542.8800001</v>
      </c>
    </row>
    <row r="757" spans="1:6" x14ac:dyDescent="0.25">
      <c r="A757" s="4" t="str">
        <f>"5761"</f>
        <v>5761</v>
      </c>
      <c r="B757" s="2" t="str">
        <f>"Налог на добавленную стоимость"</f>
        <v>Налог на добавленную стоимость</v>
      </c>
      <c r="C757" s="2" t="str">
        <f>""</f>
        <v/>
      </c>
      <c r="D757" s="2" t="str">
        <f>""</f>
        <v/>
      </c>
      <c r="E757" s="2" t="str">
        <f>""</f>
        <v/>
      </c>
      <c r="F757" s="3">
        <v>672443892.20000005</v>
      </c>
    </row>
    <row r="758" spans="1:6" x14ac:dyDescent="0.25">
      <c r="A758" s="4" t="str">
        <f>"5763"</f>
        <v>5763</v>
      </c>
      <c r="B758" s="2" t="str">
        <f>"Социальный налог"</f>
        <v>Социальный налог</v>
      </c>
      <c r="C758" s="2" t="str">
        <f>""</f>
        <v/>
      </c>
      <c r="D758" s="2" t="str">
        <f>""</f>
        <v/>
      </c>
      <c r="E758" s="2" t="str">
        <f>""</f>
        <v/>
      </c>
      <c r="F758" s="3">
        <v>1228424435.4200001</v>
      </c>
    </row>
    <row r="759" spans="1:6" x14ac:dyDescent="0.25">
      <c r="A759" s="4" t="str">
        <f>"5764"</f>
        <v>5764</v>
      </c>
      <c r="B759" s="2" t="str">
        <f>"Земельный налог"</f>
        <v>Земельный налог</v>
      </c>
      <c r="C759" s="2" t="str">
        <f>""</f>
        <v/>
      </c>
      <c r="D759" s="2" t="str">
        <f>""</f>
        <v/>
      </c>
      <c r="E759" s="2" t="str">
        <f>""</f>
        <v/>
      </c>
      <c r="F759" s="3">
        <v>1430205.7</v>
      </c>
    </row>
    <row r="760" spans="1:6" x14ac:dyDescent="0.25">
      <c r="A760" s="4" t="str">
        <f>"5765"</f>
        <v>5765</v>
      </c>
      <c r="B760" s="2" t="str">
        <f>"Налог на имущество юридических лиц"</f>
        <v>Налог на имущество юридических лиц</v>
      </c>
      <c r="C760" s="2" t="str">
        <f>""</f>
        <v/>
      </c>
      <c r="D760" s="2" t="str">
        <f>""</f>
        <v/>
      </c>
      <c r="E760" s="2" t="str">
        <f>""</f>
        <v/>
      </c>
      <c r="F760" s="3">
        <v>72655203.260000005</v>
      </c>
    </row>
    <row r="761" spans="1:6" x14ac:dyDescent="0.25">
      <c r="A761" s="4" t="str">
        <f>"5766"</f>
        <v>5766</v>
      </c>
      <c r="B761" s="2" t="str">
        <f>"Налог на транспортные средства"</f>
        <v>Налог на транспортные средства</v>
      </c>
      <c r="C761" s="2" t="str">
        <f>""</f>
        <v/>
      </c>
      <c r="D761" s="2" t="str">
        <f>""</f>
        <v/>
      </c>
      <c r="E761" s="2" t="str">
        <f>""</f>
        <v/>
      </c>
      <c r="F761" s="3">
        <v>3746296</v>
      </c>
    </row>
    <row r="762" spans="1:6" x14ac:dyDescent="0.25">
      <c r="A762" s="4" t="str">
        <f>"5768"</f>
        <v>5768</v>
      </c>
      <c r="B762" s="2" t="str">
        <f>"Прочие налоги и обязательные платежи в бюджет"</f>
        <v>Прочие налоги и обязательные платежи в бюджет</v>
      </c>
      <c r="C762" s="2" t="str">
        <f>""</f>
        <v/>
      </c>
      <c r="D762" s="2" t="str">
        <f>""</f>
        <v/>
      </c>
      <c r="E762" s="2" t="str">
        <f>""</f>
        <v/>
      </c>
      <c r="F762" s="3">
        <v>9141892.1300000008</v>
      </c>
    </row>
    <row r="763" spans="1:6" x14ac:dyDescent="0.25">
      <c r="A763" s="4" t="str">
        <f>"5781"</f>
        <v>5781</v>
      </c>
      <c r="B763" s="2" t="str">
        <f>"Расходы по амортизации зданий и сооружений"</f>
        <v>Расходы по амортизации зданий и сооружений</v>
      </c>
      <c r="C763" s="2" t="str">
        <f>""</f>
        <v/>
      </c>
      <c r="D763" s="2" t="str">
        <f>""</f>
        <v/>
      </c>
      <c r="E763" s="2" t="str">
        <f>""</f>
        <v/>
      </c>
      <c r="F763" s="3">
        <v>74346660</v>
      </c>
    </row>
    <row r="764" spans="1:6" x14ac:dyDescent="0.25">
      <c r="A764" s="4" t="str">
        <f>"5782"</f>
        <v>5782</v>
      </c>
      <c r="B764" s="2" t="str">
        <f>"Расходы по амортизации компьютерного оборудования"</f>
        <v>Расходы по амортизации компьютерного оборудования</v>
      </c>
      <c r="C764" s="2" t="str">
        <f>""</f>
        <v/>
      </c>
      <c r="D764" s="2" t="str">
        <f>""</f>
        <v/>
      </c>
      <c r="E764" s="2" t="str">
        <f>""</f>
        <v/>
      </c>
      <c r="F764" s="3">
        <v>391840010</v>
      </c>
    </row>
    <row r="765" spans="1:6" x14ac:dyDescent="0.25">
      <c r="A765" s="4" t="str">
        <f>"5783"</f>
        <v>5783</v>
      </c>
      <c r="B765" s="2" t="str">
        <f>"Расходы по амортизации прочих основных средств"</f>
        <v>Расходы по амортизации прочих основных средств</v>
      </c>
      <c r="C765" s="2" t="str">
        <f>""</f>
        <v/>
      </c>
      <c r="D765" s="2" t="str">
        <f>""</f>
        <v/>
      </c>
      <c r="E765" s="2" t="str">
        <f>""</f>
        <v/>
      </c>
      <c r="F765" s="3">
        <v>309259984.30000001</v>
      </c>
    </row>
    <row r="766" spans="1:6" x14ac:dyDescent="0.25">
      <c r="A766" s="4" t="str">
        <f>"5784"</f>
        <v>5784</v>
      </c>
      <c r="B766" s="2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66" s="2" t="str">
        <f>""</f>
        <v/>
      </c>
      <c r="D766" s="2" t="str">
        <f>""</f>
        <v/>
      </c>
      <c r="E766" s="2" t="str">
        <f>""</f>
        <v/>
      </c>
      <c r="F766" s="3">
        <v>692112222.09000003</v>
      </c>
    </row>
    <row r="767" spans="1:6" x14ac:dyDescent="0.25">
      <c r="A767" s="4" t="str">
        <f>"5786"</f>
        <v>5786</v>
      </c>
      <c r="B767" s="2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67" s="2" t="str">
        <f>""</f>
        <v/>
      </c>
      <c r="D767" s="2" t="str">
        <f>""</f>
        <v/>
      </c>
      <c r="E767" s="2" t="str">
        <f>""</f>
        <v/>
      </c>
      <c r="F767" s="3">
        <v>48918</v>
      </c>
    </row>
    <row r="768" spans="1:6" x14ac:dyDescent="0.25">
      <c r="A768" s="4" t="str">
        <f>"5787"</f>
        <v>5787</v>
      </c>
      <c r="B768" s="2" t="str">
        <f>"Расходы по амортизации транспортных средств"</f>
        <v>Расходы по амортизации транспортных средств</v>
      </c>
      <c r="C768" s="2" t="str">
        <f>""</f>
        <v/>
      </c>
      <c r="D768" s="2" t="str">
        <f>""</f>
        <v/>
      </c>
      <c r="E768" s="2" t="str">
        <f>""</f>
        <v/>
      </c>
      <c r="F768" s="3">
        <v>31567519</v>
      </c>
    </row>
    <row r="769" spans="1:6" x14ac:dyDescent="0.25">
      <c r="A769" s="4" t="str">
        <f>"5788"</f>
        <v>5788</v>
      </c>
      <c r="B769" s="2" t="str">
        <f>"Расходы по амортизации нематериальных активов"</f>
        <v>Расходы по амортизации нематериальных активов</v>
      </c>
      <c r="C769" s="2" t="str">
        <f>""</f>
        <v/>
      </c>
      <c r="D769" s="2" t="str">
        <f>""</f>
        <v/>
      </c>
      <c r="E769" s="2" t="str">
        <f>""</f>
        <v/>
      </c>
      <c r="F769" s="3">
        <v>720605494.29999995</v>
      </c>
    </row>
    <row r="770" spans="1:6" x14ac:dyDescent="0.25">
      <c r="A770" s="4" t="str">
        <f>"5854"</f>
        <v>5854</v>
      </c>
      <c r="B770" s="2" t="str">
        <f>"Расходы от реализации запасов"</f>
        <v>Расходы от реализации запасов</v>
      </c>
      <c r="C770" s="2" t="str">
        <f>""</f>
        <v/>
      </c>
      <c r="D770" s="2" t="str">
        <f>""</f>
        <v/>
      </c>
      <c r="E770" s="2" t="str">
        <f>""</f>
        <v/>
      </c>
      <c r="F770" s="3">
        <v>602502.71</v>
      </c>
    </row>
    <row r="771" spans="1:6" x14ac:dyDescent="0.25">
      <c r="A771" s="4" t="str">
        <f>"5857"</f>
        <v>5857</v>
      </c>
      <c r="B771" s="2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C771" s="2" t="str">
        <f>""</f>
        <v/>
      </c>
      <c r="D771" s="2" t="str">
        <f>""</f>
        <v/>
      </c>
      <c r="E771" s="2" t="str">
        <f>""</f>
        <v/>
      </c>
      <c r="F771" s="3">
        <v>4809000</v>
      </c>
    </row>
    <row r="772" spans="1:6" x14ac:dyDescent="0.25">
      <c r="A772" s="4" t="str">
        <f>"5892"</f>
        <v>5892</v>
      </c>
      <c r="B772" s="2" t="str">
        <f>"Расходы по операциям форвард"</f>
        <v>Расходы по операциям форвард</v>
      </c>
      <c r="C772" s="2" t="str">
        <f>""</f>
        <v/>
      </c>
      <c r="D772" s="2" t="str">
        <f>""</f>
        <v/>
      </c>
      <c r="E772" s="2" t="str">
        <f>""</f>
        <v/>
      </c>
      <c r="F772" s="3">
        <v>452519534.45999998</v>
      </c>
    </row>
    <row r="773" spans="1:6" x14ac:dyDescent="0.25">
      <c r="A773" s="4" t="str">
        <f>"5895"</f>
        <v>5895</v>
      </c>
      <c r="B773" s="2" t="str">
        <f>"Расходы по операциям своп"</f>
        <v>Расходы по операциям своп</v>
      </c>
      <c r="C773" s="2" t="str">
        <f>""</f>
        <v/>
      </c>
      <c r="D773" s="2" t="str">
        <f>""</f>
        <v/>
      </c>
      <c r="E773" s="2" t="str">
        <f>""</f>
        <v/>
      </c>
      <c r="F773" s="3">
        <v>16032432533.98</v>
      </c>
    </row>
    <row r="774" spans="1:6" x14ac:dyDescent="0.25">
      <c r="A774" s="4" t="str">
        <f>"5900"</f>
        <v>5900</v>
      </c>
      <c r="B774" s="2" t="str">
        <f>"Неустойка (штраф, пеня)"</f>
        <v>Неустойка (штраф, пеня)</v>
      </c>
      <c r="C774" s="2" t="str">
        <f>""</f>
        <v/>
      </c>
      <c r="D774" s="2" t="str">
        <f>""</f>
        <v/>
      </c>
      <c r="E774" s="2" t="str">
        <f>""</f>
        <v/>
      </c>
      <c r="F774" s="3">
        <v>4165770.13</v>
      </c>
    </row>
    <row r="775" spans="1:6" x14ac:dyDescent="0.25">
      <c r="A775" s="4" t="str">
        <f>"5921"</f>
        <v>5921</v>
      </c>
      <c r="B775" s="2" t="str">
        <f>"Прочие расходы от банковской деятельности"</f>
        <v>Прочие расходы от банковской деятельности</v>
      </c>
      <c r="C775" s="2" t="str">
        <f>""</f>
        <v/>
      </c>
      <c r="D775" s="2" t="str">
        <f>""</f>
        <v/>
      </c>
      <c r="E775" s="2" t="str">
        <f>""</f>
        <v/>
      </c>
      <c r="F775" s="3">
        <v>3029242883.1500001</v>
      </c>
    </row>
    <row r="776" spans="1:6" x14ac:dyDescent="0.25">
      <c r="A776" s="4" t="str">
        <f>"5922"</f>
        <v>5922</v>
      </c>
      <c r="B776" s="2" t="str">
        <f>"Прочие расходы от неосновной деятельности"</f>
        <v>Прочие расходы от неосновной деятельности</v>
      </c>
      <c r="C776" s="2" t="str">
        <f>""</f>
        <v/>
      </c>
      <c r="D776" s="2" t="str">
        <f>""</f>
        <v/>
      </c>
      <c r="E776" s="2" t="str">
        <f>""</f>
        <v/>
      </c>
      <c r="F776" s="3">
        <v>41615514.409999996</v>
      </c>
    </row>
    <row r="777" spans="1:6" x14ac:dyDescent="0.25">
      <c r="A777" s="4" t="str">
        <f>"5923"</f>
        <v>5923</v>
      </c>
      <c r="B777" s="2" t="str">
        <f>"Расходы по аренде"</f>
        <v>Расходы по аренде</v>
      </c>
      <c r="C777" s="2" t="str">
        <f>""</f>
        <v/>
      </c>
      <c r="D777" s="2" t="str">
        <f>""</f>
        <v/>
      </c>
      <c r="E777" s="2" t="str">
        <f>""</f>
        <v/>
      </c>
      <c r="F777" s="3">
        <v>257432563.78</v>
      </c>
    </row>
    <row r="778" spans="1:6" x14ac:dyDescent="0.25">
      <c r="A778" s="4" t="str">
        <f>"5999"</f>
        <v>5999</v>
      </c>
      <c r="B778" s="2" t="str">
        <f>"Корпоративный подоходный налог"</f>
        <v>Корпоративный подоходный налог</v>
      </c>
      <c r="C778" s="2" t="str">
        <f>""</f>
        <v/>
      </c>
      <c r="D778" s="2" t="str">
        <f>""</f>
        <v/>
      </c>
      <c r="E778" s="2" t="str">
        <f>""</f>
        <v/>
      </c>
      <c r="F778" s="3">
        <v>11341346471</v>
      </c>
    </row>
    <row r="779" spans="1:6" x14ac:dyDescent="0.25">
      <c r="A779" s="4" t="str">
        <f>"6010"</f>
        <v>6010</v>
      </c>
      <c r="B779" s="2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C779" s="2" t="str">
        <f>""</f>
        <v/>
      </c>
      <c r="D779" s="2" t="str">
        <f>""</f>
        <v/>
      </c>
      <c r="E779" s="2" t="str">
        <f>""</f>
        <v/>
      </c>
      <c r="F779" s="3">
        <v>305444250</v>
      </c>
    </row>
    <row r="780" spans="1:6" x14ac:dyDescent="0.25">
      <c r="A780" s="4" t="str">
        <f>"6020"</f>
        <v>6020</v>
      </c>
      <c r="B780" s="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80" s="2" t="str">
        <f>""</f>
        <v/>
      </c>
      <c r="D780" s="2" t="str">
        <f>""</f>
        <v/>
      </c>
      <c r="E780" s="2" t="str">
        <f>""</f>
        <v/>
      </c>
      <c r="F780" s="3">
        <v>623661249.67999995</v>
      </c>
    </row>
    <row r="781" spans="1:6" x14ac:dyDescent="0.25">
      <c r="A781" s="4" t="str">
        <f>"6055"</f>
        <v>6055</v>
      </c>
      <c r="B781" s="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81" s="2" t="str">
        <f>""</f>
        <v/>
      </c>
      <c r="D781" s="2" t="str">
        <f>""</f>
        <v/>
      </c>
      <c r="E781" s="2" t="str">
        <f>""</f>
        <v/>
      </c>
      <c r="F781" s="3">
        <v>44438899650.169998</v>
      </c>
    </row>
    <row r="782" spans="1:6" x14ac:dyDescent="0.25">
      <c r="A782" s="4" t="str">
        <f>"6075"</f>
        <v>6075</v>
      </c>
      <c r="B782" s="2" t="str">
        <f>"Возможные требования по принятым гарантиям"</f>
        <v>Возможные требования по принятым гарантиям</v>
      </c>
      <c r="C782" s="2" t="str">
        <f>""</f>
        <v/>
      </c>
      <c r="D782" s="2" t="str">
        <f>""</f>
        <v/>
      </c>
      <c r="E782" s="2" t="str">
        <f>""</f>
        <v/>
      </c>
      <c r="F782" s="3">
        <v>3455636462924.9199</v>
      </c>
    </row>
    <row r="783" spans="1:6" x14ac:dyDescent="0.25">
      <c r="A783" s="4" t="str">
        <f>"6125"</f>
        <v>6125</v>
      </c>
      <c r="B783" s="2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83" s="2" t="str">
        <f>""</f>
        <v/>
      </c>
      <c r="D783" s="2" t="str">
        <f>""</f>
        <v/>
      </c>
      <c r="E783" s="2" t="str">
        <f>""</f>
        <v/>
      </c>
      <c r="F783" s="3">
        <v>440000000</v>
      </c>
    </row>
    <row r="784" spans="1:6" x14ac:dyDescent="0.25">
      <c r="A784" s="4" t="str">
        <f>"6126"</f>
        <v>6126</v>
      </c>
      <c r="B784" s="2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84" s="2" t="str">
        <f>""</f>
        <v/>
      </c>
      <c r="D784" s="2" t="str">
        <f>""</f>
        <v/>
      </c>
      <c r="E784" s="2" t="str">
        <f>""</f>
        <v/>
      </c>
      <c r="F784" s="3">
        <v>203034638272.04999</v>
      </c>
    </row>
    <row r="785" spans="1:6" x14ac:dyDescent="0.25">
      <c r="A785" s="4" t="str">
        <f>"6130"</f>
        <v>6130</v>
      </c>
      <c r="B785" s="2" t="str">
        <f>"Неподвижные вклады клиентов"</f>
        <v>Неподвижные вклады клиентов</v>
      </c>
      <c r="C785" s="2" t="str">
        <f>""</f>
        <v/>
      </c>
      <c r="D785" s="2" t="str">
        <f>""</f>
        <v/>
      </c>
      <c r="E785" s="2" t="str">
        <f>""</f>
        <v/>
      </c>
      <c r="F785" s="3">
        <v>41068469.460000001</v>
      </c>
    </row>
    <row r="786" spans="1:6" x14ac:dyDescent="0.25">
      <c r="A786" s="4" t="str">
        <f>"6155"</f>
        <v>6155</v>
      </c>
      <c r="B786" s="2" t="str">
        <f>"Условные требования по получению вкладов в будущем"</f>
        <v>Условные требования по получению вкладов в будущем</v>
      </c>
      <c r="C786" s="2" t="str">
        <f>""</f>
        <v/>
      </c>
      <c r="D786" s="2" t="str">
        <f>""</f>
        <v/>
      </c>
      <c r="E786" s="2" t="str">
        <f>""</f>
        <v/>
      </c>
      <c r="F786" s="3">
        <v>8113081494.3299999</v>
      </c>
    </row>
    <row r="787" spans="1:6" x14ac:dyDescent="0.25">
      <c r="A787" s="4" t="str">
        <f>"6175"</f>
        <v>6175</v>
      </c>
      <c r="B787" s="2" t="str">
        <f>"Условные требования по получению займов в будущем"</f>
        <v>Условные требования по получению займов в будущем</v>
      </c>
      <c r="C787" s="2" t="str">
        <f>""</f>
        <v/>
      </c>
      <c r="D787" s="2" t="str">
        <f>""</f>
        <v/>
      </c>
      <c r="E787" s="2" t="str">
        <f>""</f>
        <v/>
      </c>
      <c r="F787" s="3">
        <v>68209995</v>
      </c>
    </row>
    <row r="788" spans="1:6" x14ac:dyDescent="0.25">
      <c r="A788" s="4" t="str">
        <f>"6177"</f>
        <v>6177</v>
      </c>
      <c r="B788" s="2" t="str">
        <f>"Условные требования по предоставленным займам"</f>
        <v>Условные требования по предоставленным займам</v>
      </c>
      <c r="C788" s="2" t="str">
        <f>""</f>
        <v/>
      </c>
      <c r="D788" s="2" t="str">
        <f>""</f>
        <v/>
      </c>
      <c r="E788" s="2" t="str">
        <f>""</f>
        <v/>
      </c>
      <c r="F788" s="3">
        <v>4633214.63</v>
      </c>
    </row>
    <row r="789" spans="1:6" x14ac:dyDescent="0.25">
      <c r="A789" s="4" t="str">
        <f>"6205"</f>
        <v>6205</v>
      </c>
      <c r="B789" s="2" t="str">
        <f>"Условные требования по покупке ценных бумаг"</f>
        <v>Условные требования по покупке ценных бумаг</v>
      </c>
      <c r="C789" s="2" t="str">
        <f>""</f>
        <v/>
      </c>
      <c r="D789" s="2" t="str">
        <f>""</f>
        <v/>
      </c>
      <c r="E789" s="2" t="str">
        <f>""</f>
        <v/>
      </c>
      <c r="F789" s="3">
        <v>6549209630.9300003</v>
      </c>
    </row>
    <row r="790" spans="1:6" x14ac:dyDescent="0.25">
      <c r="A790" s="4" t="str">
        <f>"6305"</f>
        <v>6305</v>
      </c>
      <c r="B790" s="2" t="str">
        <f>"Условные требования по продаже ценных бумаг"</f>
        <v>Условные требования по продаже ценных бумаг</v>
      </c>
      <c r="C790" s="2" t="str">
        <f>""</f>
        <v/>
      </c>
      <c r="D790" s="2" t="str">
        <f>""</f>
        <v/>
      </c>
      <c r="E790" s="2" t="str">
        <f>""</f>
        <v/>
      </c>
      <c r="F790" s="3">
        <v>1106602523.71</v>
      </c>
    </row>
    <row r="791" spans="1:6" x14ac:dyDescent="0.25">
      <c r="A791" s="4" t="str">
        <f>"6405"</f>
        <v>6405</v>
      </c>
      <c r="B791" s="2" t="str">
        <f>"Условные требования по купле-продаже иностранной валюты"</f>
        <v>Условные требования по купле-продаже иностранной валюты</v>
      </c>
      <c r="C791" s="2" t="str">
        <f>""</f>
        <v/>
      </c>
      <c r="D791" s="2" t="str">
        <f>""</f>
        <v/>
      </c>
      <c r="E791" s="2" t="str">
        <f>""</f>
        <v/>
      </c>
      <c r="F791" s="3">
        <v>133416758898</v>
      </c>
    </row>
    <row r="792" spans="1:6" x14ac:dyDescent="0.25">
      <c r="A792" s="4" t="str">
        <f>"6510"</f>
        <v>6510</v>
      </c>
      <c r="B792" s="2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C792" s="2" t="str">
        <f>""</f>
        <v/>
      </c>
      <c r="D792" s="2" t="str">
        <f>""</f>
        <v/>
      </c>
      <c r="E792" s="2" t="str">
        <f>""</f>
        <v/>
      </c>
      <c r="F792" s="3">
        <v>305444250</v>
      </c>
    </row>
    <row r="793" spans="1:6" x14ac:dyDescent="0.25">
      <c r="A793" s="4" t="str">
        <f>"6520"</f>
        <v>6520</v>
      </c>
      <c r="B793" s="2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93" s="2" t="str">
        <f>""</f>
        <v/>
      </c>
      <c r="D793" s="2" t="str">
        <f>""</f>
        <v/>
      </c>
      <c r="E793" s="2" t="str">
        <f>""</f>
        <v/>
      </c>
      <c r="F793" s="3">
        <v>623661249.67999995</v>
      </c>
    </row>
    <row r="794" spans="1:6" x14ac:dyDescent="0.25">
      <c r="A794" s="4" t="str">
        <f>"6555"</f>
        <v>6555</v>
      </c>
      <c r="B794" s="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94" s="2" t="str">
        <f>""</f>
        <v/>
      </c>
      <c r="D794" s="2" t="str">
        <f>""</f>
        <v/>
      </c>
      <c r="E794" s="2" t="str">
        <f>""</f>
        <v/>
      </c>
      <c r="F794" s="3">
        <v>44438899650.169998</v>
      </c>
    </row>
    <row r="795" spans="1:6" x14ac:dyDescent="0.25">
      <c r="A795" s="4" t="str">
        <f>"6575"</f>
        <v>6575</v>
      </c>
      <c r="B795" s="2" t="str">
        <f>"Возможное уменьшение требований по принятым гарантиям"</f>
        <v>Возможное уменьшение требований по принятым гарантиям</v>
      </c>
      <c r="C795" s="2" t="str">
        <f>""</f>
        <v/>
      </c>
      <c r="D795" s="2" t="str">
        <f>""</f>
        <v/>
      </c>
      <c r="E795" s="2" t="str">
        <f>""</f>
        <v/>
      </c>
      <c r="F795" s="3">
        <v>3455636462924.9199</v>
      </c>
    </row>
    <row r="796" spans="1:6" x14ac:dyDescent="0.25">
      <c r="A796" s="4" t="str">
        <f>"6625"</f>
        <v>6625</v>
      </c>
      <c r="B796" s="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96" s="2" t="str">
        <f>""</f>
        <v/>
      </c>
      <c r="D796" s="2" t="str">
        <f>""</f>
        <v/>
      </c>
      <c r="E796" s="2" t="str">
        <f>""</f>
        <v/>
      </c>
      <c r="F796" s="3">
        <v>440000000</v>
      </c>
    </row>
    <row r="797" spans="1:6" x14ac:dyDescent="0.25">
      <c r="A797" s="4" t="str">
        <f>"6626"</f>
        <v>6626</v>
      </c>
      <c r="B797" s="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97" s="2" t="str">
        <f>""</f>
        <v/>
      </c>
      <c r="D797" s="2" t="str">
        <f>""</f>
        <v/>
      </c>
      <c r="E797" s="2" t="str">
        <f>""</f>
        <v/>
      </c>
      <c r="F797" s="3">
        <v>203034638272.04999</v>
      </c>
    </row>
    <row r="798" spans="1:6" x14ac:dyDescent="0.25">
      <c r="A798" s="4" t="str">
        <f>"6630"</f>
        <v>6630</v>
      </c>
      <c r="B798" s="2" t="str">
        <f>"Обязательства по неподвижным вкладам клиентов"</f>
        <v>Обязательства по неподвижным вкладам клиентов</v>
      </c>
      <c r="C798" s="2" t="str">
        <f>""</f>
        <v/>
      </c>
      <c r="D798" s="2" t="str">
        <f>""</f>
        <v/>
      </c>
      <c r="E798" s="2" t="str">
        <f>""</f>
        <v/>
      </c>
      <c r="F798" s="3">
        <v>41068469.460000001</v>
      </c>
    </row>
    <row r="799" spans="1:6" x14ac:dyDescent="0.25">
      <c r="A799" s="4" t="str">
        <f>"6655"</f>
        <v>6655</v>
      </c>
      <c r="B799" s="2" t="str">
        <f>"Будущие обязательства по получаемым вкладам"</f>
        <v>Будущие обязательства по получаемым вкладам</v>
      </c>
      <c r="C799" s="2" t="str">
        <f>""</f>
        <v/>
      </c>
      <c r="D799" s="2" t="str">
        <f>""</f>
        <v/>
      </c>
      <c r="E799" s="2" t="str">
        <f>""</f>
        <v/>
      </c>
      <c r="F799" s="3">
        <v>8113081494.3299999</v>
      </c>
    </row>
    <row r="800" spans="1:6" x14ac:dyDescent="0.25">
      <c r="A800" s="4" t="str">
        <f>"6675"</f>
        <v>6675</v>
      </c>
      <c r="B800" s="2" t="str">
        <f>"Будущие обязательства по получаемым займам"</f>
        <v>Будущие обязательства по получаемым займам</v>
      </c>
      <c r="C800" s="2" t="str">
        <f>""</f>
        <v/>
      </c>
      <c r="D800" s="2" t="str">
        <f>""</f>
        <v/>
      </c>
      <c r="E800" s="2" t="str">
        <f>""</f>
        <v/>
      </c>
      <c r="F800" s="3">
        <v>68209995</v>
      </c>
    </row>
    <row r="801" spans="1:6" x14ac:dyDescent="0.25">
      <c r="A801" s="4" t="str">
        <f>"6677"</f>
        <v>6677</v>
      </c>
      <c r="B801" s="2" t="str">
        <f>"Условные обязательства по предоставленным займам"</f>
        <v>Условные обязательства по предоставленным займам</v>
      </c>
      <c r="C801" s="2" t="str">
        <f>""</f>
        <v/>
      </c>
      <c r="D801" s="2" t="str">
        <f>""</f>
        <v/>
      </c>
      <c r="E801" s="2" t="str">
        <f>""</f>
        <v/>
      </c>
      <c r="F801" s="3">
        <v>4633214.63</v>
      </c>
    </row>
    <row r="802" spans="1:6" x14ac:dyDescent="0.25">
      <c r="A802" s="4" t="str">
        <f>"6705"</f>
        <v>6705</v>
      </c>
      <c r="B802" s="2" t="str">
        <f>"Условные обязательства по покупке ценных бумаг"</f>
        <v>Условные обязательства по покупке ценных бумаг</v>
      </c>
      <c r="C802" s="2" t="str">
        <f>""</f>
        <v/>
      </c>
      <c r="D802" s="2" t="str">
        <f>""</f>
        <v/>
      </c>
      <c r="E802" s="2" t="str">
        <f>""</f>
        <v/>
      </c>
      <c r="F802" s="3">
        <v>6549209630.9300003</v>
      </c>
    </row>
    <row r="803" spans="1:6" x14ac:dyDescent="0.25">
      <c r="A803" s="4" t="str">
        <f>"6805"</f>
        <v>6805</v>
      </c>
      <c r="B803" s="2" t="str">
        <f>"Условные обязательства по продаже ценных бумаг"</f>
        <v>Условные обязательства по продаже ценных бумаг</v>
      </c>
      <c r="C803" s="2" t="str">
        <f>""</f>
        <v/>
      </c>
      <c r="D803" s="2" t="str">
        <f>""</f>
        <v/>
      </c>
      <c r="E803" s="2" t="str">
        <f>""</f>
        <v/>
      </c>
      <c r="F803" s="3">
        <v>1106602523.71</v>
      </c>
    </row>
    <row r="804" spans="1:6" x14ac:dyDescent="0.25">
      <c r="A804" s="4" t="str">
        <f>"6905"</f>
        <v>6905</v>
      </c>
      <c r="B804" s="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804" s="2" t="str">
        <f>""</f>
        <v/>
      </c>
      <c r="D804" s="2" t="str">
        <f>""</f>
        <v/>
      </c>
      <c r="E804" s="2" t="str">
        <f>""</f>
        <v/>
      </c>
      <c r="F804" s="3">
        <v>132542441000</v>
      </c>
    </row>
    <row r="805" spans="1:6" x14ac:dyDescent="0.25">
      <c r="A805" s="4" t="str">
        <f>"6999"</f>
        <v>6999</v>
      </c>
      <c r="B805" s="2" t="str">
        <f>"Позиция по сделкам с иностранной валютой"</f>
        <v>Позиция по сделкам с иностранной валютой</v>
      </c>
      <c r="C805" s="2" t="str">
        <f>""</f>
        <v/>
      </c>
      <c r="D805" s="2" t="str">
        <f>""</f>
        <v/>
      </c>
      <c r="E805" s="2" t="str">
        <f>""</f>
        <v/>
      </c>
      <c r="F805" s="3">
        <v>874317898</v>
      </c>
    </row>
    <row r="806" spans="1:6" x14ac:dyDescent="0.25">
      <c r="A806" s="4" t="str">
        <f>"7150"</f>
        <v>7150</v>
      </c>
      <c r="B806" s="2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806" s="2" t="str">
        <f>""</f>
        <v/>
      </c>
      <c r="D806" s="2" t="str">
        <f>""</f>
        <v/>
      </c>
      <c r="E806" s="2" t="str">
        <f>""</f>
        <v/>
      </c>
      <c r="F806" s="3">
        <v>1255327.73</v>
      </c>
    </row>
    <row r="807" spans="1:6" x14ac:dyDescent="0.25">
      <c r="A807" s="4" t="str">
        <f>"7160"</f>
        <v>7160</v>
      </c>
      <c r="B807" s="2" t="str">
        <f>"Имущество, переданное в обеспечение (залог) обязательств"</f>
        <v>Имущество, переданное в обеспечение (залог) обязательств</v>
      </c>
      <c r="C807" s="2" t="str">
        <f>""</f>
        <v/>
      </c>
      <c r="D807" s="2" t="str">
        <f>""</f>
        <v/>
      </c>
      <c r="E807" s="2" t="str">
        <f>""</f>
        <v/>
      </c>
      <c r="F807" s="3">
        <v>10799140135</v>
      </c>
    </row>
    <row r="808" spans="1:6" x14ac:dyDescent="0.25">
      <c r="A808" s="4" t="str">
        <f>"7220"</f>
        <v>7220</v>
      </c>
      <c r="B808" s="2" t="str">
        <f>"Арендованные активы"</f>
        <v>Арендованные активы</v>
      </c>
      <c r="C808" s="2" t="str">
        <f>""</f>
        <v/>
      </c>
      <c r="D808" s="2" t="str">
        <f>""</f>
        <v/>
      </c>
      <c r="E808" s="2" t="str">
        <f>""</f>
        <v/>
      </c>
      <c r="F808" s="3">
        <v>382471485.10000002</v>
      </c>
    </row>
    <row r="809" spans="1:6" x14ac:dyDescent="0.25">
      <c r="A809" s="4" t="str">
        <f>"7240"</f>
        <v>7240</v>
      </c>
      <c r="B809" s="2" t="str">
        <f>"Документы и ценности, принятые на инкассо"</f>
        <v>Документы и ценности, принятые на инкассо</v>
      </c>
      <c r="C809" s="2" t="str">
        <f>""</f>
        <v/>
      </c>
      <c r="D809" s="2" t="str">
        <f>""</f>
        <v/>
      </c>
      <c r="E809" s="2" t="str">
        <f>""</f>
        <v/>
      </c>
      <c r="F809" s="3">
        <v>34489143</v>
      </c>
    </row>
    <row r="810" spans="1:6" x14ac:dyDescent="0.25">
      <c r="A810" s="4" t="str">
        <f>"7250"</f>
        <v>7250</v>
      </c>
      <c r="B810" s="2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810" s="2" t="str">
        <f>""</f>
        <v/>
      </c>
      <c r="D810" s="2" t="str">
        <f>""</f>
        <v/>
      </c>
      <c r="E810" s="2" t="str">
        <f>""</f>
        <v/>
      </c>
      <c r="F810" s="3">
        <v>1019347385113.35</v>
      </c>
    </row>
    <row r="811" spans="1:6" x14ac:dyDescent="0.25">
      <c r="A811" s="4" t="str">
        <f>"7303"</f>
        <v>7303</v>
      </c>
      <c r="B811" s="2" t="str">
        <f>"Платежные документы, не оплаченные в срок"</f>
        <v>Платежные документы, не оплаченные в срок</v>
      </c>
      <c r="C811" s="2" t="str">
        <f>""</f>
        <v/>
      </c>
      <c r="D811" s="2" t="str">
        <f>""</f>
        <v/>
      </c>
      <c r="E811" s="2" t="str">
        <f>""</f>
        <v/>
      </c>
      <c r="F811" s="3">
        <v>948609873905.67004</v>
      </c>
    </row>
    <row r="812" spans="1:6" x14ac:dyDescent="0.25">
      <c r="A812" s="4" t="str">
        <f>"7339"</f>
        <v>7339</v>
      </c>
      <c r="B812" s="2" t="str">
        <f>"Разные ценности и документы"</f>
        <v>Разные ценности и документы</v>
      </c>
      <c r="C812" s="2" t="str">
        <f>""</f>
        <v/>
      </c>
      <c r="D812" s="2" t="str">
        <f>""</f>
        <v/>
      </c>
      <c r="E812" s="2" t="str">
        <f>""</f>
        <v/>
      </c>
      <c r="F812" s="3">
        <v>153293</v>
      </c>
    </row>
    <row r="813" spans="1:6" x14ac:dyDescent="0.25">
      <c r="A813" s="4" t="str">
        <f>"7342"</f>
        <v>7342</v>
      </c>
      <c r="B813" s="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813" s="2" t="str">
        <f>""</f>
        <v/>
      </c>
      <c r="D813" s="2" t="str">
        <f>""</f>
        <v/>
      </c>
      <c r="E813" s="2" t="str">
        <f>""</f>
        <v/>
      </c>
      <c r="F813" s="3">
        <v>1967291</v>
      </c>
    </row>
    <row r="814" spans="1:6" x14ac:dyDescent="0.25">
      <c r="A814" s="4" t="str">
        <f>"7363"</f>
        <v>7363</v>
      </c>
      <c r="B814" s="2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814" s="2" t="str">
        <f>""</f>
        <v/>
      </c>
      <c r="D814" s="2" t="str">
        <f>""</f>
        <v/>
      </c>
      <c r="E814" s="2" t="str">
        <f>""</f>
        <v/>
      </c>
      <c r="F814" s="3">
        <v>366287900106.37</v>
      </c>
    </row>
    <row r="815" spans="1:6" x14ac:dyDescent="0.25">
      <c r="A815" s="4" t="str">
        <f>"7535"</f>
        <v>7535</v>
      </c>
      <c r="B815" s="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815" s="2" t="str">
        <f>""</f>
        <v/>
      </c>
      <c r="D815" s="2" t="str">
        <f>""</f>
        <v/>
      </c>
      <c r="E815" s="2" t="str">
        <f>""</f>
        <v/>
      </c>
      <c r="F815" s="3">
        <v>3165423961.8800001</v>
      </c>
    </row>
    <row r="816" spans="1:6" x14ac:dyDescent="0.25">
      <c r="A816" s="4" t="str">
        <f>"7536"</f>
        <v>7536</v>
      </c>
      <c r="B816" s="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816" s="2" t="str">
        <f>""</f>
        <v/>
      </c>
      <c r="D816" s="2" t="str">
        <f>""</f>
        <v/>
      </c>
      <c r="E816" s="2" t="str">
        <f>""</f>
        <v/>
      </c>
      <c r="F816" s="3">
        <v>564778.30000000005</v>
      </c>
    </row>
    <row r="817" spans="1:6" x14ac:dyDescent="0.25">
      <c r="A817" s="4" t="str">
        <f>"7542"</f>
        <v>7542</v>
      </c>
      <c r="B817" s="2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817" s="2" t="str">
        <f>""</f>
        <v/>
      </c>
      <c r="D817" s="2" t="str">
        <f>""</f>
        <v/>
      </c>
      <c r="E817" s="2" t="str">
        <f>""</f>
        <v/>
      </c>
      <c r="F817" s="3">
        <v>17173393.379999999</v>
      </c>
    </row>
    <row r="818" spans="1:6" x14ac:dyDescent="0.25">
      <c r="A818" s="4" t="str">
        <f>"7544"</f>
        <v>7544</v>
      </c>
      <c r="B818" s="2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818" s="2" t="str">
        <f>""</f>
        <v/>
      </c>
      <c r="D818" s="2" t="str">
        <f>""</f>
        <v/>
      </c>
      <c r="E818" s="2" t="str">
        <f>""</f>
        <v/>
      </c>
      <c r="F818" s="3">
        <v>859671.41</v>
      </c>
    </row>
    <row r="819" spans="1:6" x14ac:dyDescent="0.25">
      <c r="A819" s="4" t="str">
        <f>"7701"</f>
        <v>7701</v>
      </c>
      <c r="B819" s="2" t="str">
        <f>"Ценные бумаги"</f>
        <v>Ценные бумаги</v>
      </c>
      <c r="C819" s="2" t="str">
        <f>""</f>
        <v/>
      </c>
      <c r="D819" s="2" t="str">
        <f>""</f>
        <v/>
      </c>
      <c r="E819" s="2" t="str">
        <f>""</f>
        <v/>
      </c>
      <c r="F819" s="3">
        <v>34517868294.419998</v>
      </c>
    </row>
    <row r="820" spans="1:6" x14ac:dyDescent="0.25">
      <c r="A820" s="4" t="str">
        <f>"7702"</f>
        <v>7702</v>
      </c>
      <c r="B820" s="2" t="str">
        <f>"Вклады в других банках"</f>
        <v>Вклады в других банках</v>
      </c>
      <c r="C820" s="2" t="str">
        <f>""</f>
        <v/>
      </c>
      <c r="D820" s="2" t="str">
        <f>""</f>
        <v/>
      </c>
      <c r="E820" s="2" t="str">
        <f>""</f>
        <v/>
      </c>
      <c r="F820" s="3">
        <v>4575728.54</v>
      </c>
    </row>
    <row r="821" spans="1:6" x14ac:dyDescent="0.25">
      <c r="A821" s="4" t="str">
        <f>"7704"</f>
        <v>7704</v>
      </c>
      <c r="B821" s="2" t="str">
        <f>"Операции «обратное РЕПО»"</f>
        <v>Операции «обратное РЕПО»</v>
      </c>
      <c r="C821" s="2" t="str">
        <f>""</f>
        <v/>
      </c>
      <c r="D821" s="2" t="str">
        <f>""</f>
        <v/>
      </c>
      <c r="E821" s="2" t="str">
        <f>""</f>
        <v/>
      </c>
      <c r="F821" s="3">
        <v>1399301682.3699999</v>
      </c>
    </row>
    <row r="822" spans="1:6" x14ac:dyDescent="0.25">
      <c r="A822" s="4" t="str">
        <f>"7707"</f>
        <v>7707</v>
      </c>
      <c r="B822" s="2" t="str">
        <f>"Инвестиции в капитал"</f>
        <v>Инвестиции в капитал</v>
      </c>
      <c r="C822" s="2" t="str">
        <f>""</f>
        <v/>
      </c>
      <c r="D822" s="2" t="str">
        <f>""</f>
        <v/>
      </c>
      <c r="E822" s="2" t="str">
        <f>""</f>
        <v/>
      </c>
      <c r="F822" s="3">
        <v>3016222395</v>
      </c>
    </row>
    <row r="823" spans="1:6" x14ac:dyDescent="0.25">
      <c r="A823" s="4" t="str">
        <f>"7708"</f>
        <v>7708</v>
      </c>
      <c r="B823" s="2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823" s="2" t="str">
        <f>""</f>
        <v/>
      </c>
      <c r="D823" s="2" t="str">
        <f>""</f>
        <v/>
      </c>
      <c r="E823" s="2" t="str">
        <f>""</f>
        <v/>
      </c>
      <c r="F823" s="3">
        <v>30057306192</v>
      </c>
    </row>
    <row r="824" spans="1:6" x14ac:dyDescent="0.25">
      <c r="A824" s="4" t="str">
        <f>"7711"</f>
        <v>7711</v>
      </c>
      <c r="B824" s="2" t="str">
        <f>"Вознаграждение"</f>
        <v>Вознаграждение</v>
      </c>
      <c r="C824" s="2" t="str">
        <f>""</f>
        <v/>
      </c>
      <c r="D824" s="2" t="str">
        <f>""</f>
        <v/>
      </c>
      <c r="E824" s="2" t="str">
        <f>""</f>
        <v/>
      </c>
      <c r="F824" s="3">
        <v>306977496.98000002</v>
      </c>
    </row>
    <row r="825" spans="1:6" x14ac:dyDescent="0.25">
      <c r="A825" s="4" t="str">
        <f>"7713"</f>
        <v>7713</v>
      </c>
      <c r="B825" s="2" t="str">
        <f>"Прочие требования"</f>
        <v>Прочие требования</v>
      </c>
      <c r="C825" s="2" t="str">
        <f>""</f>
        <v/>
      </c>
      <c r="D825" s="2" t="str">
        <f>""</f>
        <v/>
      </c>
      <c r="E825" s="2" t="str">
        <f>""</f>
        <v/>
      </c>
      <c r="F825" s="3">
        <v>5136110403.7200003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Аульбекова Алия Тезекпаевна</dc:creator>
  <cp:lastModifiedBy>Джумадилов Марат Асхатович</cp:lastModifiedBy>
  <dcterms:created xsi:type="dcterms:W3CDTF">2023-07-17T06:05:45Z</dcterms:created>
  <dcterms:modified xsi:type="dcterms:W3CDTF">2023-07-17T08:22:47Z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2023-07-17T08:22:47Z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f2ab5a03-05ac-44ae-a493-30d9d886b71d</vt:lpwstr>
  </property>
  <property fmtid="{D5CDD505-2E9C-101B-9397-08002B2CF9AE}" pid="8" name="MSIP_Label_5667e166-4b10-4d44-9951-ddc92040c9bd_ContentBits">
    <vt:lpwstr>1</vt:lpwstr>
  </property>
</Properties>
</file>