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aribay\Desktop\KASE 010923\01.01.2024\"/>
    </mc:Choice>
  </mc:AlternateContent>
  <xr:revisionPtr revIDLastSave="0" documentId="13_ncr:1_{C03317B0-944F-44DD-8345-2AA53FB60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VREP_700_ND_RESPONDENTundefined!$A$8:$F$822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1" l="1"/>
  <c r="B41" i="1"/>
  <c r="C41" i="1"/>
  <c r="D41" i="1"/>
  <c r="E41" i="1"/>
  <c r="A42" i="1"/>
  <c r="B42" i="1"/>
  <c r="C42" i="1"/>
  <c r="D42" i="1"/>
  <c r="E42" i="1"/>
  <c r="A20" i="1"/>
  <c r="B20" i="1"/>
  <c r="C20" i="1"/>
  <c r="D20" i="1"/>
  <c r="E20" i="1"/>
  <c r="A21" i="1"/>
  <c r="B21" i="1"/>
  <c r="C21" i="1"/>
  <c r="D21" i="1"/>
  <c r="E21" i="1"/>
  <c r="A30" i="1"/>
  <c r="B30" i="1"/>
  <c r="C30" i="1"/>
  <c r="D30" i="1"/>
  <c r="E30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121" i="1"/>
  <c r="B121" i="1"/>
  <c r="C121" i="1"/>
  <c r="D121" i="1"/>
  <c r="E121" i="1"/>
  <c r="A122" i="1"/>
  <c r="B122" i="1"/>
  <c r="C122" i="1"/>
  <c r="D122" i="1"/>
  <c r="E122" i="1"/>
  <c r="A110" i="1"/>
  <c r="B110" i="1"/>
  <c r="C110" i="1"/>
  <c r="D110" i="1"/>
  <c r="E110" i="1"/>
  <c r="A83" i="1"/>
  <c r="B83" i="1"/>
  <c r="C83" i="1"/>
  <c r="D83" i="1"/>
  <c r="E83" i="1"/>
  <c r="A114" i="1"/>
  <c r="B114" i="1"/>
  <c r="C114" i="1"/>
  <c r="D114" i="1"/>
  <c r="E114" i="1"/>
  <c r="A71" i="1"/>
  <c r="B71" i="1"/>
  <c r="C71" i="1"/>
  <c r="D71" i="1"/>
  <c r="E71" i="1"/>
  <c r="A103" i="1"/>
  <c r="B103" i="1"/>
  <c r="C103" i="1"/>
  <c r="D103" i="1"/>
  <c r="E103" i="1"/>
  <c r="A67" i="1"/>
  <c r="B67" i="1"/>
  <c r="C67" i="1"/>
  <c r="D67" i="1"/>
  <c r="E67" i="1"/>
  <c r="A68" i="1"/>
  <c r="B68" i="1"/>
  <c r="C68" i="1"/>
  <c r="D68" i="1"/>
  <c r="E68" i="1"/>
  <c r="A181" i="1"/>
  <c r="B181" i="1"/>
  <c r="C181" i="1"/>
  <c r="D181" i="1"/>
  <c r="E181" i="1"/>
  <c r="A172" i="1"/>
  <c r="B172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75" i="1"/>
  <c r="B175" i="1"/>
  <c r="A221" i="1"/>
  <c r="B221" i="1"/>
  <c r="C221" i="1"/>
  <c r="E221" i="1"/>
  <c r="A228" i="1"/>
  <c r="B228" i="1"/>
  <c r="C228" i="1"/>
  <c r="E228" i="1"/>
  <c r="A235" i="1"/>
  <c r="B235" i="1"/>
  <c r="C235" i="1"/>
  <c r="E235" i="1"/>
  <c r="A219" i="1"/>
  <c r="B219" i="1"/>
  <c r="C219" i="1"/>
  <c r="E219" i="1"/>
  <c r="A240" i="1"/>
  <c r="B240" i="1"/>
  <c r="C240" i="1"/>
  <c r="E240" i="1"/>
  <c r="A308" i="1"/>
  <c r="B308" i="1"/>
  <c r="C308" i="1"/>
  <c r="D308" i="1"/>
  <c r="E308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A264" i="1"/>
  <c r="B264" i="1"/>
  <c r="C264" i="1"/>
  <c r="D264" i="1"/>
  <c r="E264" i="1"/>
  <c r="A295" i="1"/>
  <c r="B295" i="1"/>
  <c r="C295" i="1"/>
  <c r="D295" i="1"/>
  <c r="E295" i="1"/>
  <c r="A256" i="1"/>
  <c r="B256" i="1"/>
  <c r="C256" i="1"/>
  <c r="D256" i="1"/>
  <c r="E256" i="1"/>
  <c r="A326" i="1"/>
  <c r="B326" i="1"/>
  <c r="C326" i="1"/>
  <c r="D326" i="1"/>
  <c r="E326" i="1"/>
  <c r="A288" i="1"/>
  <c r="B288" i="1"/>
  <c r="C288" i="1"/>
  <c r="D288" i="1"/>
  <c r="E288" i="1"/>
  <c r="A289" i="1"/>
  <c r="B289" i="1"/>
  <c r="C289" i="1"/>
  <c r="D289" i="1"/>
  <c r="E289" i="1"/>
  <c r="A328" i="1"/>
  <c r="B328" i="1"/>
  <c r="C328" i="1"/>
  <c r="D328" i="1"/>
  <c r="E328" i="1"/>
  <c r="A380" i="1"/>
  <c r="B380" i="1"/>
  <c r="C380" i="1"/>
  <c r="D380" i="1"/>
  <c r="E380" i="1"/>
  <c r="A354" i="1"/>
  <c r="B354" i="1"/>
  <c r="C354" i="1"/>
  <c r="D354" i="1"/>
  <c r="E354" i="1"/>
  <c r="A378" i="1"/>
  <c r="B378" i="1"/>
  <c r="C378" i="1"/>
  <c r="D378" i="1"/>
  <c r="E378" i="1"/>
  <c r="A331" i="1"/>
  <c r="B331" i="1"/>
  <c r="C331" i="1"/>
  <c r="D331" i="1"/>
  <c r="E331" i="1"/>
  <c r="A332" i="1"/>
  <c r="B332" i="1"/>
  <c r="C332" i="1"/>
  <c r="D332" i="1"/>
  <c r="E332" i="1"/>
  <c r="A360" i="1"/>
  <c r="B360" i="1"/>
  <c r="C360" i="1"/>
  <c r="D360" i="1"/>
  <c r="E360" i="1"/>
  <c r="A430" i="1"/>
  <c r="B430" i="1"/>
  <c r="C430" i="1"/>
  <c r="D430" i="1"/>
  <c r="E430" i="1"/>
  <c r="A479" i="1"/>
  <c r="B479" i="1"/>
  <c r="C479" i="1"/>
  <c r="D479" i="1"/>
  <c r="E479" i="1"/>
  <c r="A507" i="1"/>
  <c r="B507" i="1"/>
  <c r="C507" i="1"/>
  <c r="D507" i="1"/>
  <c r="E507" i="1"/>
  <c r="A487" i="1"/>
  <c r="B487" i="1"/>
  <c r="C487" i="1"/>
  <c r="D487" i="1"/>
  <c r="E487" i="1"/>
  <c r="A536" i="1"/>
  <c r="B536" i="1"/>
  <c r="C536" i="1"/>
  <c r="D536" i="1"/>
  <c r="E536" i="1"/>
  <c r="A586" i="1"/>
  <c r="B586" i="1"/>
  <c r="C586" i="1"/>
  <c r="D586" i="1"/>
  <c r="E586" i="1"/>
  <c r="A548" i="1"/>
  <c r="B548" i="1"/>
  <c r="C548" i="1"/>
  <c r="E548" i="1"/>
  <c r="A625" i="1"/>
  <c r="B625" i="1"/>
  <c r="C625" i="1"/>
  <c r="E625" i="1"/>
  <c r="A664" i="1"/>
  <c r="B664" i="1"/>
  <c r="A662" i="1"/>
  <c r="B662" i="1"/>
  <c r="A658" i="1"/>
  <c r="B658" i="1"/>
  <c r="A689" i="1"/>
  <c r="B689" i="1"/>
  <c r="A692" i="1"/>
  <c r="B692" i="1"/>
  <c r="A696" i="1"/>
  <c r="B696" i="1"/>
  <c r="A721" i="1"/>
  <c r="B721" i="1"/>
  <c r="A739" i="1"/>
  <c r="B739" i="1"/>
  <c r="A758" i="1"/>
  <c r="B758" i="1"/>
  <c r="A771" i="1"/>
  <c r="B771" i="1"/>
  <c r="A747" i="1"/>
  <c r="B747" i="1"/>
  <c r="A776" i="1"/>
  <c r="B776" i="1"/>
  <c r="A790" i="1"/>
  <c r="B790" i="1"/>
  <c r="A816" i="1"/>
  <c r="B816" i="1"/>
  <c r="A22" i="1"/>
  <c r="B22" i="1"/>
  <c r="C22" i="1"/>
  <c r="D22" i="1"/>
  <c r="E22" i="1"/>
  <c r="A11" i="1"/>
  <c r="B11" i="1"/>
  <c r="C11" i="1"/>
  <c r="D11" i="1"/>
  <c r="E11" i="1"/>
  <c r="A14" i="1"/>
  <c r="B14" i="1"/>
  <c r="C14" i="1"/>
  <c r="D14" i="1"/>
  <c r="E14" i="1"/>
  <c r="A35" i="1"/>
  <c r="B35" i="1"/>
  <c r="C35" i="1"/>
  <c r="D35" i="1"/>
  <c r="E35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37" i="1"/>
  <c r="B37" i="1"/>
  <c r="C37" i="1"/>
  <c r="D37" i="1"/>
  <c r="E37" i="1"/>
  <c r="A123" i="1"/>
  <c r="B123" i="1"/>
  <c r="C123" i="1"/>
  <c r="D123" i="1"/>
  <c r="E123" i="1"/>
  <c r="A52" i="1"/>
  <c r="B52" i="1"/>
  <c r="C52" i="1"/>
  <c r="D52" i="1"/>
  <c r="E52" i="1"/>
  <c r="A44" i="1"/>
  <c r="B44" i="1"/>
  <c r="C44" i="1"/>
  <c r="D44" i="1"/>
  <c r="E44" i="1"/>
  <c r="A45" i="1"/>
  <c r="B45" i="1"/>
  <c r="C45" i="1"/>
  <c r="D45" i="1"/>
  <c r="E45" i="1"/>
  <c r="A17" i="1"/>
  <c r="B17" i="1"/>
  <c r="C17" i="1"/>
  <c r="D17" i="1"/>
  <c r="E17" i="1"/>
  <c r="A84" i="1"/>
  <c r="B84" i="1"/>
  <c r="C84" i="1"/>
  <c r="D84" i="1"/>
  <c r="E84" i="1"/>
  <c r="A85" i="1"/>
  <c r="B85" i="1"/>
  <c r="C85" i="1"/>
  <c r="D85" i="1"/>
  <c r="E85" i="1"/>
  <c r="A96" i="1"/>
  <c r="B96" i="1"/>
  <c r="C96" i="1"/>
  <c r="D96" i="1"/>
  <c r="E96" i="1"/>
  <c r="A97" i="1"/>
  <c r="B97" i="1"/>
  <c r="C97" i="1"/>
  <c r="D97" i="1"/>
  <c r="E97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115" i="1"/>
  <c r="B115" i="1"/>
  <c r="C115" i="1"/>
  <c r="D115" i="1"/>
  <c r="E115" i="1"/>
  <c r="A116" i="1"/>
  <c r="B116" i="1"/>
  <c r="C116" i="1"/>
  <c r="D116" i="1"/>
  <c r="E116" i="1"/>
  <c r="A40" i="1"/>
  <c r="B40" i="1"/>
  <c r="C40" i="1"/>
  <c r="D40" i="1"/>
  <c r="E40" i="1"/>
  <c r="A72" i="1"/>
  <c r="B72" i="1"/>
  <c r="C72" i="1"/>
  <c r="D72" i="1"/>
  <c r="E72" i="1"/>
  <c r="A150" i="1"/>
  <c r="B150" i="1"/>
  <c r="C150" i="1"/>
  <c r="D150" i="1"/>
  <c r="E150" i="1"/>
  <c r="A157" i="1"/>
  <c r="B157" i="1"/>
  <c r="C157" i="1"/>
  <c r="D157" i="1"/>
  <c r="E157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67" i="1"/>
  <c r="B167" i="1"/>
  <c r="A162" i="1"/>
  <c r="B162" i="1"/>
  <c r="A69" i="1"/>
  <c r="B69" i="1"/>
  <c r="C69" i="1"/>
  <c r="D69" i="1"/>
  <c r="E69" i="1"/>
  <c r="A138" i="1"/>
  <c r="B138" i="1"/>
  <c r="C138" i="1"/>
  <c r="D138" i="1"/>
  <c r="E138" i="1"/>
  <c r="A171" i="1"/>
  <c r="B171" i="1"/>
  <c r="A143" i="1"/>
  <c r="B143" i="1"/>
  <c r="C143" i="1"/>
  <c r="D143" i="1"/>
  <c r="E143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28" i="1"/>
  <c r="B128" i="1"/>
  <c r="C128" i="1"/>
  <c r="D128" i="1"/>
  <c r="E128" i="1"/>
  <c r="A194" i="1"/>
  <c r="B194" i="1"/>
  <c r="C194" i="1"/>
  <c r="D194" i="1"/>
  <c r="E194" i="1"/>
  <c r="A155" i="1"/>
  <c r="B155" i="1"/>
  <c r="C155" i="1"/>
  <c r="D155" i="1"/>
  <c r="E155" i="1"/>
  <c r="A177" i="1"/>
  <c r="B177" i="1"/>
  <c r="C177" i="1"/>
  <c r="D177" i="1"/>
  <c r="E177" i="1"/>
  <c r="A233" i="1"/>
  <c r="B233" i="1"/>
  <c r="C233" i="1"/>
  <c r="E233" i="1"/>
  <c r="A226" i="1"/>
  <c r="B226" i="1"/>
  <c r="C226" i="1"/>
  <c r="E226" i="1"/>
  <c r="A247" i="1"/>
  <c r="B247" i="1"/>
  <c r="C247" i="1"/>
  <c r="E247" i="1"/>
  <c r="A245" i="1"/>
  <c r="B245" i="1"/>
  <c r="C245" i="1"/>
  <c r="E245" i="1"/>
  <c r="A246" i="1"/>
  <c r="B246" i="1"/>
  <c r="C246" i="1"/>
  <c r="E246" i="1"/>
  <c r="A315" i="1"/>
  <c r="B315" i="1"/>
  <c r="C315" i="1"/>
  <c r="D315" i="1"/>
  <c r="E315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A255" i="1"/>
  <c r="B255" i="1"/>
  <c r="A296" i="1"/>
  <c r="B296" i="1"/>
  <c r="C296" i="1"/>
  <c r="D296" i="1"/>
  <c r="E296" i="1"/>
  <c r="A297" i="1"/>
  <c r="B297" i="1"/>
  <c r="C297" i="1"/>
  <c r="D297" i="1"/>
  <c r="E297" i="1"/>
  <c r="A298" i="1"/>
  <c r="B298" i="1"/>
  <c r="C298" i="1"/>
  <c r="D298" i="1"/>
  <c r="E298" i="1"/>
  <c r="A299" i="1"/>
  <c r="B299" i="1"/>
  <c r="C299" i="1"/>
  <c r="D299" i="1"/>
  <c r="E299" i="1"/>
  <c r="A300" i="1"/>
  <c r="B300" i="1"/>
  <c r="C300" i="1"/>
  <c r="D300" i="1"/>
  <c r="E300" i="1"/>
  <c r="A281" i="1"/>
  <c r="B281" i="1"/>
  <c r="C281" i="1"/>
  <c r="D281" i="1"/>
  <c r="E281" i="1"/>
  <c r="A329" i="1"/>
  <c r="B329" i="1"/>
  <c r="C329" i="1"/>
  <c r="D329" i="1"/>
  <c r="E329" i="1"/>
  <c r="A421" i="1"/>
  <c r="B421" i="1"/>
  <c r="C421" i="1"/>
  <c r="D421" i="1"/>
  <c r="E421" i="1"/>
  <c r="A422" i="1"/>
  <c r="B422" i="1"/>
  <c r="C422" i="1"/>
  <c r="D422" i="1"/>
  <c r="E422" i="1"/>
  <c r="A366" i="1"/>
  <c r="B366" i="1"/>
  <c r="C366" i="1"/>
  <c r="D366" i="1"/>
  <c r="E366" i="1"/>
  <c r="A367" i="1"/>
  <c r="B367" i="1"/>
  <c r="C367" i="1"/>
  <c r="D367" i="1"/>
  <c r="E367" i="1"/>
  <c r="A372" i="1"/>
  <c r="B372" i="1"/>
  <c r="C372" i="1"/>
  <c r="D372" i="1"/>
  <c r="E372" i="1"/>
  <c r="A423" i="1"/>
  <c r="B423" i="1"/>
  <c r="C423" i="1"/>
  <c r="D423" i="1"/>
  <c r="E423" i="1"/>
  <c r="A355" i="1"/>
  <c r="B355" i="1"/>
  <c r="C355" i="1"/>
  <c r="D355" i="1"/>
  <c r="E355" i="1"/>
  <c r="A319" i="1"/>
  <c r="B319" i="1"/>
  <c r="C319" i="1"/>
  <c r="D319" i="1"/>
  <c r="E319" i="1"/>
  <c r="A385" i="1"/>
  <c r="B385" i="1"/>
  <c r="C385" i="1"/>
  <c r="D385" i="1"/>
  <c r="E385" i="1"/>
  <c r="A390" i="1"/>
  <c r="B390" i="1"/>
  <c r="C390" i="1"/>
  <c r="D390" i="1"/>
  <c r="E390" i="1"/>
  <c r="A391" i="1"/>
  <c r="B391" i="1"/>
  <c r="C391" i="1"/>
  <c r="D391" i="1"/>
  <c r="E391" i="1"/>
  <c r="A392" i="1"/>
  <c r="B392" i="1"/>
  <c r="C392" i="1"/>
  <c r="D392" i="1"/>
  <c r="E392" i="1"/>
  <c r="A393" i="1"/>
  <c r="B393" i="1"/>
  <c r="C393" i="1"/>
  <c r="D393" i="1"/>
  <c r="E393" i="1"/>
  <c r="A394" i="1"/>
  <c r="B394" i="1"/>
  <c r="C394" i="1"/>
  <c r="D394" i="1"/>
  <c r="E394" i="1"/>
  <c r="A395" i="1"/>
  <c r="B395" i="1"/>
  <c r="C395" i="1"/>
  <c r="D395" i="1"/>
  <c r="E395" i="1"/>
  <c r="A333" i="1"/>
  <c r="B333" i="1"/>
  <c r="C333" i="1"/>
  <c r="D333" i="1"/>
  <c r="E333" i="1"/>
  <c r="A334" i="1"/>
  <c r="B334" i="1"/>
  <c r="C334" i="1"/>
  <c r="D334" i="1"/>
  <c r="E334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417" i="1"/>
  <c r="B417" i="1"/>
  <c r="C417" i="1"/>
  <c r="D417" i="1"/>
  <c r="E417" i="1"/>
  <c r="A418" i="1"/>
  <c r="B418" i="1"/>
  <c r="C418" i="1"/>
  <c r="D418" i="1"/>
  <c r="E418" i="1"/>
  <c r="A431" i="1"/>
  <c r="B431" i="1"/>
  <c r="C431" i="1"/>
  <c r="D431" i="1"/>
  <c r="E431" i="1"/>
  <c r="A432" i="1"/>
  <c r="B432" i="1"/>
  <c r="C432" i="1"/>
  <c r="D432" i="1"/>
  <c r="E432" i="1"/>
  <c r="A433" i="1"/>
  <c r="B433" i="1"/>
  <c r="C433" i="1"/>
  <c r="D433" i="1"/>
  <c r="E433" i="1"/>
  <c r="A434" i="1"/>
  <c r="B434" i="1"/>
  <c r="C434" i="1"/>
  <c r="D434" i="1"/>
  <c r="E434" i="1"/>
  <c r="A435" i="1"/>
  <c r="B435" i="1"/>
  <c r="C435" i="1"/>
  <c r="D435" i="1"/>
  <c r="E435" i="1"/>
  <c r="A436" i="1"/>
  <c r="B436" i="1"/>
  <c r="C436" i="1"/>
  <c r="D436" i="1"/>
  <c r="E436" i="1"/>
  <c r="A437" i="1"/>
  <c r="B437" i="1"/>
  <c r="C437" i="1"/>
  <c r="D437" i="1"/>
  <c r="E437" i="1"/>
  <c r="A480" i="1"/>
  <c r="B480" i="1"/>
  <c r="C480" i="1"/>
  <c r="D480" i="1"/>
  <c r="E480" i="1"/>
  <c r="A481" i="1"/>
  <c r="B481" i="1"/>
  <c r="C481" i="1"/>
  <c r="D481" i="1"/>
  <c r="E481" i="1"/>
  <c r="A508" i="1"/>
  <c r="B508" i="1"/>
  <c r="C508" i="1"/>
  <c r="D508" i="1"/>
  <c r="E508" i="1"/>
  <c r="A509" i="1"/>
  <c r="B509" i="1"/>
  <c r="C509" i="1"/>
  <c r="D509" i="1"/>
  <c r="E509" i="1"/>
  <c r="A523" i="1"/>
  <c r="B523" i="1"/>
  <c r="C523" i="1"/>
  <c r="D523" i="1"/>
  <c r="E523" i="1"/>
  <c r="A473" i="1"/>
  <c r="B473" i="1"/>
  <c r="C473" i="1"/>
  <c r="D473" i="1"/>
  <c r="E473" i="1"/>
  <c r="A465" i="1"/>
  <c r="B465" i="1"/>
  <c r="C465" i="1"/>
  <c r="D465" i="1"/>
  <c r="E465" i="1"/>
  <c r="A488" i="1"/>
  <c r="B488" i="1"/>
  <c r="C488" i="1"/>
  <c r="D488" i="1"/>
  <c r="E488" i="1"/>
  <c r="A489" i="1"/>
  <c r="B489" i="1"/>
  <c r="C489" i="1"/>
  <c r="D489" i="1"/>
  <c r="E489" i="1"/>
  <c r="A490" i="1"/>
  <c r="B490" i="1"/>
  <c r="C490" i="1"/>
  <c r="D490" i="1"/>
  <c r="E490" i="1"/>
  <c r="A553" i="1"/>
  <c r="B553" i="1"/>
  <c r="C553" i="1"/>
  <c r="E553" i="1"/>
  <c r="A529" i="1"/>
  <c r="B529" i="1"/>
  <c r="C529" i="1"/>
  <c r="D529" i="1"/>
  <c r="E529" i="1"/>
  <c r="A530" i="1"/>
  <c r="B530" i="1"/>
  <c r="C530" i="1"/>
  <c r="D530" i="1"/>
  <c r="E530" i="1"/>
  <c r="A531" i="1"/>
  <c r="B531" i="1"/>
  <c r="C531" i="1"/>
  <c r="D531" i="1"/>
  <c r="E531" i="1"/>
  <c r="A538" i="1"/>
  <c r="B538" i="1"/>
  <c r="C538" i="1"/>
  <c r="D538" i="1"/>
  <c r="E538" i="1"/>
  <c r="A539" i="1"/>
  <c r="B539" i="1"/>
  <c r="C539" i="1"/>
  <c r="D539" i="1"/>
  <c r="E539" i="1"/>
  <c r="A452" i="1"/>
  <c r="B452" i="1"/>
  <c r="C452" i="1"/>
  <c r="D452" i="1"/>
  <c r="E452" i="1"/>
  <c r="A592" i="1"/>
  <c r="B592" i="1"/>
  <c r="C592" i="1"/>
  <c r="D592" i="1"/>
  <c r="E592" i="1"/>
  <c r="A593" i="1"/>
  <c r="B593" i="1"/>
  <c r="C593" i="1"/>
  <c r="D593" i="1"/>
  <c r="E593" i="1"/>
  <c r="A565" i="1"/>
  <c r="B565" i="1"/>
  <c r="A549" i="1"/>
  <c r="B549" i="1"/>
  <c r="C549" i="1"/>
  <c r="E549" i="1"/>
  <c r="A583" i="1"/>
  <c r="B583" i="1"/>
  <c r="C583" i="1"/>
  <c r="D583" i="1"/>
  <c r="E583" i="1"/>
  <c r="A561" i="1"/>
  <c r="B561" i="1"/>
  <c r="C561" i="1"/>
  <c r="D561" i="1"/>
  <c r="E561" i="1"/>
  <c r="A633" i="1"/>
  <c r="B633" i="1"/>
  <c r="A562" i="1"/>
  <c r="B562" i="1"/>
  <c r="A608" i="1"/>
  <c r="B608" i="1"/>
  <c r="C608" i="1"/>
  <c r="D608" i="1"/>
  <c r="E608" i="1"/>
  <c r="A609" i="1"/>
  <c r="B609" i="1"/>
  <c r="C609" i="1"/>
  <c r="D609" i="1"/>
  <c r="E609" i="1"/>
  <c r="A610" i="1"/>
  <c r="B610" i="1"/>
  <c r="C610" i="1"/>
  <c r="D610" i="1"/>
  <c r="E610" i="1"/>
  <c r="A624" i="1"/>
  <c r="B624" i="1"/>
  <c r="A563" i="1"/>
  <c r="B563" i="1"/>
  <c r="C563" i="1"/>
  <c r="D563" i="1"/>
  <c r="E563" i="1"/>
  <c r="A635" i="1"/>
  <c r="B635" i="1"/>
  <c r="A617" i="1"/>
  <c r="B617" i="1"/>
  <c r="C617" i="1"/>
  <c r="D617" i="1"/>
  <c r="E617" i="1"/>
  <c r="A636" i="1"/>
  <c r="B636" i="1"/>
  <c r="A637" i="1"/>
  <c r="B637" i="1"/>
  <c r="A564" i="1"/>
  <c r="B564" i="1"/>
  <c r="C564" i="1"/>
  <c r="D564" i="1"/>
  <c r="E564" i="1"/>
  <c r="A640" i="1"/>
  <c r="B640" i="1"/>
  <c r="A650" i="1"/>
  <c r="B650" i="1"/>
  <c r="A566" i="1"/>
  <c r="B566" i="1"/>
  <c r="C566" i="1"/>
  <c r="D566" i="1"/>
  <c r="E566" i="1"/>
  <c r="A567" i="1"/>
  <c r="B567" i="1"/>
  <c r="C567" i="1"/>
  <c r="D567" i="1"/>
  <c r="E567" i="1"/>
  <c r="A568" i="1"/>
  <c r="B568" i="1"/>
  <c r="C568" i="1"/>
  <c r="D568" i="1"/>
  <c r="E568" i="1"/>
  <c r="A604" i="1"/>
  <c r="B604" i="1"/>
  <c r="C604" i="1"/>
  <c r="E604" i="1"/>
  <c r="A605" i="1"/>
  <c r="B605" i="1"/>
  <c r="C605" i="1"/>
  <c r="E605" i="1"/>
  <c r="A626" i="1"/>
  <c r="B626" i="1"/>
  <c r="C626" i="1"/>
  <c r="E626" i="1"/>
  <c r="A651" i="1"/>
  <c r="B651" i="1"/>
  <c r="A667" i="1"/>
  <c r="B667" i="1"/>
  <c r="A660" i="1"/>
  <c r="B660" i="1"/>
  <c r="A677" i="1"/>
  <c r="B677" i="1"/>
  <c r="A688" i="1"/>
  <c r="B688" i="1"/>
  <c r="A657" i="1"/>
  <c r="B657" i="1"/>
  <c r="A675" i="1"/>
  <c r="B675" i="1"/>
  <c r="A679" i="1"/>
  <c r="B679" i="1"/>
  <c r="A670" i="1"/>
  <c r="B670" i="1"/>
  <c r="A686" i="1"/>
  <c r="B686" i="1"/>
  <c r="A676" i="1"/>
  <c r="B676" i="1"/>
  <c r="A710" i="1"/>
  <c r="B710" i="1"/>
  <c r="A698" i="1"/>
  <c r="B698" i="1"/>
  <c r="A700" i="1"/>
  <c r="B700" i="1"/>
  <c r="A708" i="1"/>
  <c r="A722" i="1"/>
  <c r="B722" i="1"/>
  <c r="A719" i="1"/>
  <c r="B719" i="1"/>
  <c r="A716" i="1"/>
  <c r="B716" i="1"/>
  <c r="A723" i="1"/>
  <c r="B723" i="1"/>
  <c r="A745" i="1"/>
  <c r="B745" i="1"/>
  <c r="A734" i="1"/>
  <c r="B734" i="1"/>
  <c r="A752" i="1"/>
  <c r="B752" i="1"/>
  <c r="A761" i="1"/>
  <c r="B761" i="1"/>
  <c r="A744" i="1"/>
  <c r="B744" i="1"/>
  <c r="A769" i="1"/>
  <c r="B769" i="1"/>
  <c r="A737" i="1"/>
  <c r="B737" i="1"/>
  <c r="A749" i="1"/>
  <c r="B749" i="1"/>
  <c r="A764" i="1"/>
  <c r="B764" i="1"/>
  <c r="A760" i="1"/>
  <c r="B760" i="1"/>
  <c r="A772" i="1"/>
  <c r="B772" i="1"/>
  <c r="A787" i="1"/>
  <c r="B787" i="1"/>
  <c r="A788" i="1"/>
  <c r="B788" i="1"/>
  <c r="A794" i="1"/>
  <c r="B794" i="1"/>
  <c r="A812" i="1"/>
  <c r="B812" i="1"/>
  <c r="A807" i="1"/>
  <c r="B807" i="1"/>
  <c r="A821" i="1"/>
  <c r="B821" i="1"/>
  <c r="A815" i="1"/>
  <c r="B815" i="1"/>
  <c r="A814" i="1"/>
  <c r="B814" i="1"/>
  <c r="A819" i="1"/>
  <c r="B819" i="1"/>
  <c r="A130" i="1"/>
  <c r="B130" i="1"/>
  <c r="C130" i="1"/>
  <c r="D130" i="1"/>
  <c r="E130" i="1"/>
  <c r="A460" i="1"/>
  <c r="C460" i="1"/>
  <c r="D460" i="1"/>
  <c r="E460" i="1"/>
  <c r="A461" i="1"/>
  <c r="C461" i="1"/>
  <c r="D461" i="1"/>
  <c r="E461" i="1"/>
  <c r="A43" i="1"/>
  <c r="B43" i="1"/>
  <c r="C43" i="1"/>
  <c r="D43" i="1"/>
  <c r="E43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31" i="1"/>
  <c r="B31" i="1"/>
  <c r="C31" i="1"/>
  <c r="D31" i="1"/>
  <c r="E31" i="1"/>
  <c r="A62" i="1"/>
  <c r="B62" i="1"/>
  <c r="C62" i="1"/>
  <c r="D62" i="1"/>
  <c r="E62" i="1"/>
  <c r="A124" i="1"/>
  <c r="B124" i="1"/>
  <c r="C124" i="1"/>
  <c r="D124" i="1"/>
  <c r="E124" i="1"/>
  <c r="A125" i="1"/>
  <c r="B125" i="1"/>
  <c r="C125" i="1"/>
  <c r="D125" i="1"/>
  <c r="E125" i="1"/>
  <c r="A49" i="1"/>
  <c r="B49" i="1"/>
  <c r="C49" i="1"/>
  <c r="D49" i="1"/>
  <c r="E49" i="1"/>
  <c r="A111" i="1"/>
  <c r="B111" i="1"/>
  <c r="C111" i="1"/>
  <c r="D111" i="1"/>
  <c r="E111" i="1"/>
  <c r="A8" i="1"/>
  <c r="B8" i="1"/>
  <c r="C8" i="1"/>
  <c r="D8" i="1"/>
  <c r="E8" i="1"/>
  <c r="A46" i="1"/>
  <c r="B46" i="1"/>
  <c r="C46" i="1"/>
  <c r="D46" i="1"/>
  <c r="E46" i="1"/>
  <c r="A18" i="1"/>
  <c r="B18" i="1"/>
  <c r="C18" i="1"/>
  <c r="D18" i="1"/>
  <c r="E18" i="1"/>
  <c r="A51" i="1"/>
  <c r="B51" i="1"/>
  <c r="C51" i="1"/>
  <c r="D51" i="1"/>
  <c r="E51" i="1"/>
  <c r="A86" i="1"/>
  <c r="B86" i="1"/>
  <c r="C86" i="1"/>
  <c r="D86" i="1"/>
  <c r="E86" i="1"/>
  <c r="A87" i="1"/>
  <c r="B87" i="1"/>
  <c r="C87" i="1"/>
  <c r="D87" i="1"/>
  <c r="E87" i="1"/>
  <c r="A98" i="1"/>
  <c r="B98" i="1"/>
  <c r="C98" i="1"/>
  <c r="D98" i="1"/>
  <c r="E98" i="1"/>
  <c r="A99" i="1"/>
  <c r="B99" i="1"/>
  <c r="C99" i="1"/>
  <c r="D99" i="1"/>
  <c r="E99" i="1"/>
  <c r="A117" i="1"/>
  <c r="B117" i="1"/>
  <c r="C117" i="1"/>
  <c r="D117" i="1"/>
  <c r="E117" i="1"/>
  <c r="A118" i="1"/>
  <c r="B118" i="1"/>
  <c r="C118" i="1"/>
  <c r="D118" i="1"/>
  <c r="E118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129" i="1"/>
  <c r="B129" i="1"/>
  <c r="C129" i="1"/>
  <c r="D129" i="1"/>
  <c r="E129" i="1"/>
  <c r="A139" i="1"/>
  <c r="B139" i="1"/>
  <c r="C139" i="1"/>
  <c r="D139" i="1"/>
  <c r="E139" i="1"/>
  <c r="A166" i="1"/>
  <c r="B166" i="1"/>
  <c r="A169" i="1"/>
  <c r="B169" i="1"/>
  <c r="A176" i="1"/>
  <c r="B176" i="1"/>
  <c r="A174" i="1"/>
  <c r="B174" i="1"/>
  <c r="A199" i="1"/>
  <c r="B199" i="1"/>
  <c r="C199" i="1"/>
  <c r="D199" i="1"/>
  <c r="E199" i="1"/>
  <c r="A200" i="1"/>
  <c r="B200" i="1"/>
  <c r="C200" i="1"/>
  <c r="D200" i="1"/>
  <c r="E200" i="1"/>
  <c r="A134" i="1"/>
  <c r="B134" i="1"/>
  <c r="C134" i="1"/>
  <c r="D134" i="1"/>
  <c r="E134" i="1"/>
  <c r="A213" i="1"/>
  <c r="B213" i="1"/>
  <c r="C213" i="1"/>
  <c r="D213" i="1"/>
  <c r="E213" i="1"/>
  <c r="A173" i="1"/>
  <c r="B173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23" i="1"/>
  <c r="B223" i="1"/>
  <c r="C223" i="1"/>
  <c r="E223" i="1"/>
  <c r="A224" i="1"/>
  <c r="B224" i="1"/>
  <c r="C224" i="1"/>
  <c r="E22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32" i="1"/>
  <c r="B232" i="1"/>
  <c r="C232" i="1"/>
  <c r="E232" i="1"/>
  <c r="A229" i="1"/>
  <c r="B229" i="1"/>
  <c r="C229" i="1"/>
  <c r="E229" i="1"/>
  <c r="A234" i="1"/>
  <c r="B234" i="1"/>
  <c r="C234" i="1"/>
  <c r="E234" i="1"/>
  <c r="A237" i="1"/>
  <c r="B237" i="1"/>
  <c r="C237" i="1"/>
  <c r="E237" i="1"/>
  <c r="A248" i="1"/>
  <c r="B248" i="1"/>
  <c r="C248" i="1"/>
  <c r="E248" i="1"/>
  <c r="A249" i="1"/>
  <c r="B249" i="1"/>
  <c r="C249" i="1"/>
  <c r="E249" i="1"/>
  <c r="A250" i="1"/>
  <c r="B250" i="1"/>
  <c r="C250" i="1"/>
  <c r="E250" i="1"/>
  <c r="A252" i="1"/>
  <c r="B252" i="1"/>
  <c r="C252" i="1"/>
  <c r="D252" i="1"/>
  <c r="E252" i="1"/>
  <c r="A242" i="1"/>
  <c r="B242" i="1"/>
  <c r="C242" i="1"/>
  <c r="E242" i="1"/>
  <c r="A253" i="1"/>
  <c r="B253" i="1"/>
  <c r="C253" i="1"/>
  <c r="D253" i="1"/>
  <c r="E253" i="1"/>
  <c r="A254" i="1"/>
  <c r="B254" i="1"/>
  <c r="C254" i="1"/>
  <c r="D254" i="1"/>
  <c r="E254" i="1"/>
  <c r="A222" i="1"/>
  <c r="B222" i="1"/>
  <c r="C222" i="1"/>
  <c r="E222" i="1"/>
  <c r="A268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301" i="1"/>
  <c r="B301" i="1"/>
  <c r="C301" i="1"/>
  <c r="D301" i="1"/>
  <c r="E301" i="1"/>
  <c r="A325" i="1"/>
  <c r="B325" i="1"/>
  <c r="C325" i="1"/>
  <c r="D325" i="1"/>
  <c r="E325" i="1"/>
  <c r="A282" i="1"/>
  <c r="B282" i="1"/>
  <c r="C282" i="1"/>
  <c r="D282" i="1"/>
  <c r="E282" i="1"/>
  <c r="A257" i="1"/>
  <c r="B257" i="1"/>
  <c r="C257" i="1"/>
  <c r="D257" i="1"/>
  <c r="E257" i="1"/>
  <c r="A327" i="1"/>
  <c r="B327" i="1"/>
  <c r="C327" i="1"/>
  <c r="D327" i="1"/>
  <c r="E327" i="1"/>
  <c r="A330" i="1"/>
  <c r="B330" i="1"/>
  <c r="C330" i="1"/>
  <c r="D330" i="1"/>
  <c r="E330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3" i="1"/>
  <c r="B373" i="1"/>
  <c r="C373" i="1"/>
  <c r="D373" i="1"/>
  <c r="E373" i="1"/>
  <c r="A374" i="1"/>
  <c r="B374" i="1"/>
  <c r="C374" i="1"/>
  <c r="D374" i="1"/>
  <c r="E374" i="1"/>
  <c r="A381" i="1"/>
  <c r="B381" i="1"/>
  <c r="C381" i="1"/>
  <c r="D381" i="1"/>
  <c r="E381" i="1"/>
  <c r="A382" i="1"/>
  <c r="B382" i="1"/>
  <c r="C382" i="1"/>
  <c r="D382" i="1"/>
  <c r="E382" i="1"/>
  <c r="A379" i="1"/>
  <c r="B379" i="1"/>
  <c r="C379" i="1"/>
  <c r="D379" i="1"/>
  <c r="E379" i="1"/>
  <c r="A427" i="1"/>
  <c r="B427" i="1"/>
  <c r="C427" i="1"/>
  <c r="D427" i="1"/>
  <c r="E427" i="1"/>
  <c r="A388" i="1"/>
  <c r="B388" i="1"/>
  <c r="C388" i="1"/>
  <c r="D388" i="1"/>
  <c r="E388" i="1"/>
  <c r="A320" i="1"/>
  <c r="B320" i="1"/>
  <c r="C320" i="1"/>
  <c r="D320" i="1"/>
  <c r="E320" i="1"/>
  <c r="A428" i="1"/>
  <c r="B428" i="1"/>
  <c r="C428" i="1"/>
  <c r="D428" i="1"/>
  <c r="E428" i="1"/>
  <c r="A396" i="1"/>
  <c r="B396" i="1"/>
  <c r="C396" i="1"/>
  <c r="D396" i="1"/>
  <c r="E396" i="1"/>
  <c r="A397" i="1"/>
  <c r="B397" i="1"/>
  <c r="C397" i="1"/>
  <c r="D397" i="1"/>
  <c r="E397" i="1"/>
  <c r="A404" i="1"/>
  <c r="B404" i="1"/>
  <c r="C404" i="1"/>
  <c r="D404" i="1"/>
  <c r="E404" i="1"/>
  <c r="A405" i="1"/>
  <c r="B405" i="1"/>
  <c r="C405" i="1"/>
  <c r="D405" i="1"/>
  <c r="E405" i="1"/>
  <c r="A406" i="1"/>
  <c r="B406" i="1"/>
  <c r="C406" i="1"/>
  <c r="D406" i="1"/>
  <c r="E406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419" i="1"/>
  <c r="B419" i="1"/>
  <c r="C419" i="1"/>
  <c r="D419" i="1"/>
  <c r="E419" i="1"/>
  <c r="A438" i="1"/>
  <c r="B438" i="1"/>
  <c r="C438" i="1"/>
  <c r="D438" i="1"/>
  <c r="E438" i="1"/>
  <c r="A439" i="1"/>
  <c r="B439" i="1"/>
  <c r="C439" i="1"/>
  <c r="D439" i="1"/>
  <c r="E439" i="1"/>
  <c r="A440" i="1"/>
  <c r="B440" i="1"/>
  <c r="C440" i="1"/>
  <c r="D440" i="1"/>
  <c r="E440" i="1"/>
  <c r="A482" i="1"/>
  <c r="B482" i="1"/>
  <c r="C482" i="1"/>
  <c r="D482" i="1"/>
  <c r="E482" i="1"/>
  <c r="A510" i="1"/>
  <c r="B510" i="1"/>
  <c r="C510" i="1"/>
  <c r="D510" i="1"/>
  <c r="E510" i="1"/>
  <c r="A514" i="1"/>
  <c r="B514" i="1"/>
  <c r="C514" i="1"/>
  <c r="D514" i="1"/>
  <c r="E514" i="1"/>
  <c r="A515" i="1"/>
  <c r="B515" i="1"/>
  <c r="C515" i="1"/>
  <c r="D515" i="1"/>
  <c r="E515" i="1"/>
  <c r="A516" i="1"/>
  <c r="B516" i="1"/>
  <c r="C516" i="1"/>
  <c r="D516" i="1"/>
  <c r="E516" i="1"/>
  <c r="A466" i="1"/>
  <c r="B466" i="1"/>
  <c r="C466" i="1"/>
  <c r="D466" i="1"/>
  <c r="E466" i="1"/>
  <c r="A524" i="1"/>
  <c r="B524" i="1"/>
  <c r="C524" i="1"/>
  <c r="D524" i="1"/>
  <c r="E524" i="1"/>
  <c r="A525" i="1"/>
  <c r="B525" i="1"/>
  <c r="C525" i="1"/>
  <c r="D525" i="1"/>
  <c r="E525" i="1"/>
  <c r="A526" i="1"/>
  <c r="B526" i="1"/>
  <c r="C526" i="1"/>
  <c r="D526" i="1"/>
  <c r="E526" i="1"/>
  <c r="A527" i="1"/>
  <c r="B527" i="1"/>
  <c r="C527" i="1"/>
  <c r="D527" i="1"/>
  <c r="E527" i="1"/>
  <c r="A474" i="1"/>
  <c r="B474" i="1"/>
  <c r="C474" i="1"/>
  <c r="D474" i="1"/>
  <c r="E474" i="1"/>
  <c r="A491" i="1"/>
  <c r="B491" i="1"/>
  <c r="C491" i="1"/>
  <c r="D491" i="1"/>
  <c r="E491" i="1"/>
  <c r="A492" i="1"/>
  <c r="B492" i="1"/>
  <c r="C492" i="1"/>
  <c r="D492" i="1"/>
  <c r="E492" i="1"/>
  <c r="A493" i="1"/>
  <c r="B493" i="1"/>
  <c r="C493" i="1"/>
  <c r="D493" i="1"/>
  <c r="E493" i="1"/>
  <c r="A494" i="1"/>
  <c r="B494" i="1"/>
  <c r="C494" i="1"/>
  <c r="D494" i="1"/>
  <c r="E494" i="1"/>
  <c r="A528" i="1"/>
  <c r="B528" i="1"/>
  <c r="C528" i="1"/>
  <c r="D528" i="1"/>
  <c r="E528" i="1"/>
  <c r="A540" i="1"/>
  <c r="B540" i="1"/>
  <c r="C540" i="1"/>
  <c r="D540" i="1"/>
  <c r="E540" i="1"/>
  <c r="A541" i="1"/>
  <c r="B541" i="1"/>
  <c r="C541" i="1"/>
  <c r="D541" i="1"/>
  <c r="E541" i="1"/>
  <c r="A453" i="1"/>
  <c r="B453" i="1"/>
  <c r="C453" i="1"/>
  <c r="D453" i="1"/>
  <c r="E453" i="1"/>
  <c r="A454" i="1"/>
  <c r="B454" i="1"/>
  <c r="C454" i="1"/>
  <c r="D454" i="1"/>
  <c r="E454" i="1"/>
  <c r="A521" i="1"/>
  <c r="B521" i="1"/>
  <c r="C521" i="1"/>
  <c r="D521" i="1"/>
  <c r="E521" i="1"/>
  <c r="A594" i="1"/>
  <c r="B594" i="1"/>
  <c r="C594" i="1"/>
  <c r="D594" i="1"/>
  <c r="E594" i="1"/>
  <c r="A595" i="1"/>
  <c r="B595" i="1"/>
  <c r="C595" i="1"/>
  <c r="D595" i="1"/>
  <c r="E595" i="1"/>
  <c r="A596" i="1"/>
  <c r="B596" i="1"/>
  <c r="C596" i="1"/>
  <c r="D596" i="1"/>
  <c r="E596" i="1"/>
  <c r="A597" i="1"/>
  <c r="B597" i="1"/>
  <c r="C597" i="1"/>
  <c r="D597" i="1"/>
  <c r="E597" i="1"/>
  <c r="A587" i="1"/>
  <c r="B587" i="1"/>
  <c r="C587" i="1"/>
  <c r="D587" i="1"/>
  <c r="E587" i="1"/>
  <c r="A588" i="1"/>
  <c r="B588" i="1"/>
  <c r="C588" i="1"/>
  <c r="D588" i="1"/>
  <c r="E588" i="1"/>
  <c r="A546" i="1"/>
  <c r="B546" i="1"/>
  <c r="C546" i="1"/>
  <c r="D546" i="1"/>
  <c r="E546" i="1"/>
  <c r="A631" i="1"/>
  <c r="B631" i="1"/>
  <c r="A550" i="1"/>
  <c r="B550" i="1"/>
  <c r="C550" i="1"/>
  <c r="E550" i="1"/>
  <c r="A584" i="1"/>
  <c r="B584" i="1"/>
  <c r="C584" i="1"/>
  <c r="D584" i="1"/>
  <c r="E584" i="1"/>
  <c r="A634" i="1"/>
  <c r="B634" i="1"/>
  <c r="A611" i="1"/>
  <c r="B611" i="1"/>
  <c r="C611" i="1"/>
  <c r="D611" i="1"/>
  <c r="E611" i="1"/>
  <c r="A612" i="1"/>
  <c r="B612" i="1"/>
  <c r="C612" i="1"/>
  <c r="D612" i="1"/>
  <c r="E612" i="1"/>
  <c r="A620" i="1"/>
  <c r="B620" i="1"/>
  <c r="C620" i="1"/>
  <c r="D620" i="1"/>
  <c r="E620" i="1"/>
  <c r="A618" i="1"/>
  <c r="B618" i="1"/>
  <c r="C618" i="1"/>
  <c r="D618" i="1"/>
  <c r="E618" i="1"/>
  <c r="A552" i="1"/>
  <c r="B552" i="1"/>
  <c r="C552" i="1"/>
  <c r="E552" i="1"/>
  <c r="A628" i="1"/>
  <c r="B628" i="1"/>
  <c r="C628" i="1"/>
  <c r="E628" i="1"/>
  <c r="A629" i="1"/>
  <c r="B629" i="1"/>
  <c r="C629" i="1"/>
  <c r="E629" i="1"/>
  <c r="A641" i="1"/>
  <c r="B641" i="1"/>
  <c r="A569" i="1"/>
  <c r="B569" i="1"/>
  <c r="C569" i="1"/>
  <c r="D569" i="1"/>
  <c r="E569" i="1"/>
  <c r="A570" i="1"/>
  <c r="B570" i="1"/>
  <c r="C570" i="1"/>
  <c r="D570" i="1"/>
  <c r="E570" i="1"/>
  <c r="A571" i="1"/>
  <c r="B571" i="1"/>
  <c r="C571" i="1"/>
  <c r="D571" i="1"/>
  <c r="E571" i="1"/>
  <c r="A572" i="1"/>
  <c r="B572" i="1"/>
  <c r="C572" i="1"/>
  <c r="D572" i="1"/>
  <c r="E572" i="1"/>
  <c r="A642" i="1"/>
  <c r="B642" i="1"/>
  <c r="A663" i="1"/>
  <c r="B663" i="1"/>
  <c r="A665" i="1"/>
  <c r="B665" i="1"/>
  <c r="A645" i="1"/>
  <c r="B645" i="1"/>
  <c r="A653" i="1"/>
  <c r="B653" i="1"/>
  <c r="A678" i="1"/>
  <c r="B678" i="1"/>
  <c r="A685" i="1"/>
  <c r="B685" i="1"/>
  <c r="A682" i="1"/>
  <c r="B682" i="1"/>
  <c r="A695" i="1"/>
  <c r="B695" i="1"/>
  <c r="A701" i="1"/>
  <c r="B701" i="1"/>
  <c r="A697" i="1"/>
  <c r="B697" i="1"/>
  <c r="A712" i="1"/>
  <c r="B712" i="1"/>
  <c r="A703" i="1"/>
  <c r="B703" i="1"/>
  <c r="A729" i="1"/>
  <c r="B729" i="1"/>
  <c r="A740" i="1"/>
  <c r="B740" i="1"/>
  <c r="A730" i="1"/>
  <c r="B730" i="1"/>
  <c r="A699" i="1"/>
  <c r="B699" i="1"/>
  <c r="A738" i="1"/>
  <c r="B738" i="1"/>
  <c r="A755" i="1"/>
  <c r="B755" i="1"/>
  <c r="A768" i="1"/>
  <c r="B768" i="1"/>
  <c r="A757" i="1"/>
  <c r="B757" i="1"/>
  <c r="A770" i="1"/>
  <c r="B770" i="1"/>
  <c r="A759" i="1"/>
  <c r="B759" i="1"/>
  <c r="A741" i="1"/>
  <c r="B741" i="1"/>
  <c r="A773" i="1"/>
  <c r="B773" i="1"/>
  <c r="A779" i="1"/>
  <c r="B779" i="1"/>
  <c r="A766" i="1"/>
  <c r="B766" i="1"/>
  <c r="A786" i="1"/>
  <c r="B786" i="1"/>
  <c r="A791" i="1"/>
  <c r="B791" i="1"/>
  <c r="A796" i="1"/>
  <c r="B796" i="1"/>
  <c r="A810" i="1"/>
  <c r="B810" i="1"/>
  <c r="A811" i="1"/>
  <c r="B811" i="1"/>
  <c r="A820" i="1"/>
  <c r="B820" i="1"/>
  <c r="A813" i="1"/>
  <c r="B813" i="1"/>
  <c r="A817" i="1"/>
  <c r="B817" i="1"/>
  <c r="A458" i="1"/>
  <c r="B458" i="1"/>
  <c r="C458" i="1"/>
  <c r="D458" i="1"/>
  <c r="E458" i="1"/>
  <c r="A462" i="1"/>
  <c r="C462" i="1"/>
  <c r="D462" i="1"/>
  <c r="E462" i="1"/>
  <c r="A54" i="1"/>
  <c r="B54" i="1"/>
  <c r="C54" i="1"/>
  <c r="D54" i="1"/>
  <c r="E54" i="1"/>
  <c r="A795" i="1"/>
  <c r="B795" i="1"/>
  <c r="A800" i="1"/>
  <c r="B800" i="1"/>
  <c r="A26" i="1"/>
  <c r="B26" i="1"/>
  <c r="C26" i="1"/>
  <c r="D26" i="1"/>
  <c r="E26" i="1"/>
  <c r="A63" i="1"/>
  <c r="B63" i="1"/>
  <c r="C63" i="1"/>
  <c r="D63" i="1"/>
  <c r="E63" i="1"/>
  <c r="A126" i="1"/>
  <c r="B126" i="1"/>
  <c r="C126" i="1"/>
  <c r="D126" i="1"/>
  <c r="E126" i="1"/>
  <c r="A127" i="1"/>
  <c r="B127" i="1"/>
  <c r="C127" i="1"/>
  <c r="D127" i="1"/>
  <c r="E127" i="1"/>
  <c r="A112" i="1"/>
  <c r="B112" i="1"/>
  <c r="C112" i="1"/>
  <c r="D112" i="1"/>
  <c r="E112" i="1"/>
  <c r="A47" i="1"/>
  <c r="B47" i="1"/>
  <c r="C47" i="1"/>
  <c r="D47" i="1"/>
  <c r="E47" i="1"/>
  <c r="A119" i="1"/>
  <c r="B119" i="1"/>
  <c r="C119" i="1"/>
  <c r="D119" i="1"/>
  <c r="E119" i="1"/>
  <c r="A151" i="1"/>
  <c r="B151" i="1"/>
  <c r="C151" i="1"/>
  <c r="D151" i="1"/>
  <c r="E151" i="1"/>
  <c r="A161" i="1"/>
  <c r="B161" i="1"/>
  <c r="A70" i="1"/>
  <c r="B70" i="1"/>
  <c r="C70" i="1"/>
  <c r="D70" i="1"/>
  <c r="E70" i="1"/>
  <c r="A168" i="1"/>
  <c r="B168" i="1"/>
  <c r="A144" i="1"/>
  <c r="B144" i="1"/>
  <c r="C144" i="1"/>
  <c r="D144" i="1"/>
  <c r="E144" i="1"/>
  <c r="A145" i="1"/>
  <c r="B145" i="1"/>
  <c r="C145" i="1"/>
  <c r="D145" i="1"/>
  <c r="E145" i="1"/>
  <c r="A135" i="1"/>
  <c r="B135" i="1"/>
  <c r="C135" i="1"/>
  <c r="D135" i="1"/>
  <c r="E135" i="1"/>
  <c r="A180" i="1"/>
  <c r="B180" i="1"/>
  <c r="C180" i="1"/>
  <c r="D180" i="1"/>
  <c r="E180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58" i="1"/>
  <c r="B158" i="1"/>
  <c r="A239" i="1"/>
  <c r="B239" i="1"/>
  <c r="C239" i="1"/>
  <c r="E239" i="1"/>
  <c r="A159" i="1"/>
  <c r="B159" i="1"/>
  <c r="C159" i="1"/>
  <c r="A311" i="1"/>
  <c r="B311" i="1"/>
  <c r="C311" i="1"/>
  <c r="D311" i="1"/>
  <c r="E311" i="1"/>
  <c r="A316" i="1"/>
  <c r="B316" i="1"/>
  <c r="C316" i="1"/>
  <c r="D316" i="1"/>
  <c r="E316" i="1"/>
  <c r="A302" i="1"/>
  <c r="B302" i="1"/>
  <c r="C302" i="1"/>
  <c r="D302" i="1"/>
  <c r="E302" i="1"/>
  <c r="A356" i="1"/>
  <c r="B356" i="1"/>
  <c r="C356" i="1"/>
  <c r="D356" i="1"/>
  <c r="E356" i="1"/>
  <c r="A386" i="1"/>
  <c r="B386" i="1"/>
  <c r="C386" i="1"/>
  <c r="D386" i="1"/>
  <c r="E386" i="1"/>
  <c r="A407" i="1"/>
  <c r="B407" i="1"/>
  <c r="C407" i="1"/>
  <c r="D407" i="1"/>
  <c r="E407" i="1"/>
  <c r="A408" i="1"/>
  <c r="B408" i="1"/>
  <c r="C408" i="1"/>
  <c r="D408" i="1"/>
  <c r="E408" i="1"/>
  <c r="A361" i="1"/>
  <c r="B361" i="1"/>
  <c r="C361" i="1"/>
  <c r="D361" i="1"/>
  <c r="E361" i="1"/>
  <c r="A441" i="1"/>
  <c r="B441" i="1"/>
  <c r="C441" i="1"/>
  <c r="D441" i="1"/>
  <c r="E441" i="1"/>
  <c r="A442" i="1"/>
  <c r="B442" i="1"/>
  <c r="C442" i="1"/>
  <c r="D442" i="1"/>
  <c r="E442" i="1"/>
  <c r="A443" i="1"/>
  <c r="B443" i="1"/>
  <c r="C443" i="1"/>
  <c r="D443" i="1"/>
  <c r="E443" i="1"/>
  <c r="A483" i="1"/>
  <c r="B483" i="1"/>
  <c r="C483" i="1"/>
  <c r="D483" i="1"/>
  <c r="E483" i="1"/>
  <c r="A484" i="1"/>
  <c r="B484" i="1"/>
  <c r="C484" i="1"/>
  <c r="D484" i="1"/>
  <c r="E484" i="1"/>
  <c r="A464" i="1"/>
  <c r="B464" i="1"/>
  <c r="C464" i="1"/>
  <c r="D464" i="1"/>
  <c r="E464" i="1"/>
  <c r="A475" i="1"/>
  <c r="B475" i="1"/>
  <c r="C475" i="1"/>
  <c r="D475" i="1"/>
  <c r="E475" i="1"/>
  <c r="A495" i="1"/>
  <c r="B495" i="1"/>
  <c r="C495" i="1"/>
  <c r="D495" i="1"/>
  <c r="E495" i="1"/>
  <c r="A496" i="1"/>
  <c r="B496" i="1"/>
  <c r="C496" i="1"/>
  <c r="D496" i="1"/>
  <c r="E496" i="1"/>
  <c r="A558" i="1"/>
  <c r="B558" i="1"/>
  <c r="C558" i="1"/>
  <c r="E558" i="1"/>
  <c r="A557" i="1"/>
  <c r="B557" i="1"/>
  <c r="C557" i="1"/>
  <c r="E557" i="1"/>
  <c r="A532" i="1"/>
  <c r="B532" i="1"/>
  <c r="C532" i="1"/>
  <c r="D532" i="1"/>
  <c r="E532" i="1"/>
  <c r="A533" i="1"/>
  <c r="B533" i="1"/>
  <c r="C533" i="1"/>
  <c r="D533" i="1"/>
  <c r="E533" i="1"/>
  <c r="A534" i="1"/>
  <c r="B534" i="1"/>
  <c r="C534" i="1"/>
  <c r="D534" i="1"/>
  <c r="E534" i="1"/>
  <c r="A542" i="1"/>
  <c r="B542" i="1"/>
  <c r="C542" i="1"/>
  <c r="D542" i="1"/>
  <c r="E542" i="1"/>
  <c r="A455" i="1"/>
  <c r="B455" i="1"/>
  <c r="C455" i="1"/>
  <c r="D455" i="1"/>
  <c r="E455" i="1"/>
  <c r="A468" i="1"/>
  <c r="B468" i="1"/>
  <c r="C468" i="1"/>
  <c r="D468" i="1"/>
  <c r="E468" i="1"/>
  <c r="A598" i="1"/>
  <c r="B598" i="1"/>
  <c r="C598" i="1"/>
  <c r="D598" i="1"/>
  <c r="E598" i="1"/>
  <c r="A599" i="1"/>
  <c r="B599" i="1"/>
  <c r="C599" i="1"/>
  <c r="D599" i="1"/>
  <c r="E599" i="1"/>
  <c r="A630" i="1"/>
  <c r="B630" i="1"/>
  <c r="A613" i="1"/>
  <c r="B613" i="1"/>
  <c r="C613" i="1"/>
  <c r="D613" i="1"/>
  <c r="E613" i="1"/>
  <c r="A621" i="1"/>
  <c r="B621" i="1"/>
  <c r="C621" i="1"/>
  <c r="D621" i="1"/>
  <c r="E621" i="1"/>
  <c r="A649" i="1"/>
  <c r="B649" i="1"/>
  <c r="A648" i="1"/>
  <c r="B648" i="1"/>
  <c r="A573" i="1"/>
  <c r="B573" i="1"/>
  <c r="C573" i="1"/>
  <c r="D573" i="1"/>
  <c r="E573" i="1"/>
  <c r="A574" i="1"/>
  <c r="B574" i="1"/>
  <c r="C574" i="1"/>
  <c r="D574" i="1"/>
  <c r="E574" i="1"/>
  <c r="A606" i="1"/>
  <c r="B606" i="1"/>
  <c r="C606" i="1"/>
  <c r="E606" i="1"/>
  <c r="A654" i="1"/>
  <c r="B654" i="1"/>
  <c r="A643" i="1"/>
  <c r="B643" i="1"/>
  <c r="A659" i="1"/>
  <c r="B659" i="1"/>
  <c r="A672" i="1"/>
  <c r="B672" i="1"/>
  <c r="A638" i="1"/>
  <c r="B638" i="1"/>
  <c r="A714" i="1"/>
  <c r="B714" i="1"/>
  <c r="A715" i="1"/>
  <c r="B715" i="1"/>
  <c r="A724" i="1"/>
  <c r="B724" i="1"/>
  <c r="A709" i="1"/>
  <c r="B709" i="1"/>
  <c r="A731" i="1"/>
  <c r="B731" i="1"/>
  <c r="A735" i="1"/>
  <c r="B735" i="1"/>
  <c r="A753" i="1"/>
  <c r="B753" i="1"/>
  <c r="A754" i="1"/>
  <c r="B754" i="1"/>
  <c r="A742" i="1"/>
  <c r="B742" i="1"/>
  <c r="A762" i="1"/>
  <c r="B762" i="1"/>
  <c r="A746" i="1"/>
  <c r="B746" i="1"/>
  <c r="A743" i="1"/>
  <c r="B743" i="1"/>
  <c r="A775" i="1"/>
  <c r="B775" i="1"/>
  <c r="A765" i="1"/>
  <c r="B765" i="1"/>
  <c r="A767" i="1"/>
  <c r="B767" i="1"/>
  <c r="A784" i="1"/>
  <c r="B784" i="1"/>
  <c r="A750" i="1"/>
  <c r="B750" i="1"/>
  <c r="A783" i="1"/>
  <c r="B783" i="1"/>
  <c r="A789" i="1"/>
  <c r="B789" i="1"/>
  <c r="A797" i="1"/>
  <c r="B797" i="1"/>
  <c r="A798" i="1"/>
  <c r="B798" i="1"/>
  <c r="A818" i="1"/>
  <c r="B818" i="1"/>
  <c r="A803" i="1"/>
  <c r="B803" i="1"/>
  <c r="A647" i="1"/>
  <c r="B647" i="1"/>
  <c r="A27" i="1"/>
  <c r="B27" i="1"/>
  <c r="C27" i="1"/>
  <c r="D27" i="1"/>
  <c r="E27" i="1"/>
  <c r="A28" i="1"/>
  <c r="B28" i="1"/>
  <c r="C28" i="1"/>
  <c r="D28" i="1"/>
  <c r="E28" i="1"/>
  <c r="A12" i="1"/>
  <c r="B12" i="1"/>
  <c r="C12" i="1"/>
  <c r="D12" i="1"/>
  <c r="E12" i="1"/>
  <c r="A64" i="1"/>
  <c r="B64" i="1"/>
  <c r="C64" i="1"/>
  <c r="D64" i="1"/>
  <c r="E64" i="1"/>
  <c r="A113" i="1"/>
  <c r="B113" i="1"/>
  <c r="C113" i="1"/>
  <c r="D113" i="1"/>
  <c r="E113" i="1"/>
  <c r="A82" i="1"/>
  <c r="B82" i="1"/>
  <c r="C82" i="1"/>
  <c r="D82" i="1"/>
  <c r="E82" i="1"/>
  <c r="A19" i="1"/>
  <c r="B19" i="1"/>
  <c r="C19" i="1"/>
  <c r="D19" i="1"/>
  <c r="E19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100" i="1"/>
  <c r="B100" i="1"/>
  <c r="C100" i="1"/>
  <c r="D100" i="1"/>
  <c r="E100" i="1"/>
  <c r="A120" i="1"/>
  <c r="B120" i="1"/>
  <c r="C120" i="1"/>
  <c r="D120" i="1"/>
  <c r="E120" i="1"/>
  <c r="A76" i="1"/>
  <c r="B76" i="1"/>
  <c r="C76" i="1"/>
  <c r="D76" i="1"/>
  <c r="E76" i="1"/>
  <c r="A77" i="1"/>
  <c r="B77" i="1"/>
  <c r="C77" i="1"/>
  <c r="D77" i="1"/>
  <c r="E77" i="1"/>
  <c r="A152" i="1"/>
  <c r="B152" i="1"/>
  <c r="C152" i="1"/>
  <c r="D152" i="1"/>
  <c r="E152" i="1"/>
  <c r="A107" i="1"/>
  <c r="B107" i="1"/>
  <c r="C107" i="1"/>
  <c r="D107" i="1"/>
  <c r="E107" i="1"/>
  <c r="A163" i="1"/>
  <c r="B163" i="1"/>
  <c r="A164" i="1"/>
  <c r="B164" i="1"/>
  <c r="A160" i="1"/>
  <c r="B160" i="1"/>
  <c r="C160" i="1"/>
  <c r="A201" i="1"/>
  <c r="B201" i="1"/>
  <c r="C201" i="1"/>
  <c r="D201" i="1"/>
  <c r="E201" i="1"/>
  <c r="A202" i="1"/>
  <c r="B202" i="1"/>
  <c r="C202" i="1"/>
  <c r="D202" i="1"/>
  <c r="E202" i="1"/>
  <c r="A146" i="1"/>
  <c r="B146" i="1"/>
  <c r="C146" i="1"/>
  <c r="D146" i="1"/>
  <c r="E146" i="1"/>
  <c r="A193" i="1"/>
  <c r="B193" i="1"/>
  <c r="C193" i="1"/>
  <c r="D193" i="1"/>
  <c r="E193" i="1"/>
  <c r="A210" i="1"/>
  <c r="B210" i="1"/>
  <c r="C210" i="1"/>
  <c r="D210" i="1"/>
  <c r="E210" i="1"/>
  <c r="A218" i="1"/>
  <c r="B218" i="1"/>
  <c r="C218" i="1"/>
  <c r="D218" i="1"/>
  <c r="E218" i="1"/>
  <c r="A178" i="1"/>
  <c r="B178" i="1"/>
  <c r="C178" i="1"/>
  <c r="D178" i="1"/>
  <c r="E178" i="1"/>
  <c r="A170" i="1"/>
  <c r="B170" i="1"/>
  <c r="A236" i="1"/>
  <c r="B236" i="1"/>
  <c r="C236" i="1"/>
  <c r="E236" i="1"/>
  <c r="A241" i="1"/>
  <c r="B241" i="1"/>
  <c r="C241" i="1"/>
  <c r="E241" i="1"/>
  <c r="A251" i="1"/>
  <c r="B251" i="1"/>
  <c r="C251" i="1"/>
  <c r="E251" i="1"/>
  <c r="A238" i="1"/>
  <c r="B238" i="1"/>
  <c r="C238" i="1"/>
  <c r="E238" i="1"/>
  <c r="A243" i="1"/>
  <c r="B243" i="1"/>
  <c r="C243" i="1"/>
  <c r="E243" i="1"/>
  <c r="A244" i="1"/>
  <c r="B244" i="1"/>
  <c r="C244" i="1"/>
  <c r="E244" i="1"/>
  <c r="A309" i="1"/>
  <c r="B309" i="1"/>
  <c r="C309" i="1"/>
  <c r="D309" i="1"/>
  <c r="E309" i="1"/>
  <c r="A312" i="1"/>
  <c r="B312" i="1"/>
  <c r="C312" i="1"/>
  <c r="D312" i="1"/>
  <c r="E312" i="1"/>
  <c r="A280" i="1"/>
  <c r="B280" i="1"/>
  <c r="C280" i="1"/>
  <c r="D280" i="1"/>
  <c r="E280" i="1"/>
  <c r="A271" i="1"/>
  <c r="B271" i="1"/>
  <c r="C271" i="1"/>
  <c r="D271" i="1"/>
  <c r="E271" i="1"/>
  <c r="A272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375" i="1"/>
  <c r="B375" i="1"/>
  <c r="C375" i="1"/>
  <c r="D375" i="1"/>
  <c r="E375" i="1"/>
  <c r="A376" i="1"/>
  <c r="B376" i="1"/>
  <c r="C376" i="1"/>
  <c r="D376" i="1"/>
  <c r="E376" i="1"/>
  <c r="A383" i="1"/>
  <c r="B383" i="1"/>
  <c r="C383" i="1"/>
  <c r="D383" i="1"/>
  <c r="E383" i="1"/>
  <c r="A424" i="1"/>
  <c r="B424" i="1"/>
  <c r="C424" i="1"/>
  <c r="D424" i="1"/>
  <c r="E424" i="1"/>
  <c r="A425" i="1"/>
  <c r="B425" i="1"/>
  <c r="C425" i="1"/>
  <c r="D425" i="1"/>
  <c r="E425" i="1"/>
  <c r="A389" i="1"/>
  <c r="B389" i="1"/>
  <c r="C389" i="1"/>
  <c r="D389" i="1"/>
  <c r="E389" i="1"/>
  <c r="A321" i="1"/>
  <c r="B321" i="1"/>
  <c r="C321" i="1"/>
  <c r="D321" i="1"/>
  <c r="E321" i="1"/>
  <c r="A322" i="1"/>
  <c r="B322" i="1"/>
  <c r="C322" i="1"/>
  <c r="D322" i="1"/>
  <c r="E322" i="1"/>
  <c r="A429" i="1"/>
  <c r="B429" i="1"/>
  <c r="C429" i="1"/>
  <c r="D429" i="1"/>
  <c r="E429" i="1"/>
  <c r="A398" i="1"/>
  <c r="B398" i="1"/>
  <c r="C398" i="1"/>
  <c r="D398" i="1"/>
  <c r="E398" i="1"/>
  <c r="A399" i="1"/>
  <c r="B399" i="1"/>
  <c r="C399" i="1"/>
  <c r="D399" i="1"/>
  <c r="E399" i="1"/>
  <c r="A400" i="1"/>
  <c r="B400" i="1"/>
  <c r="C400" i="1"/>
  <c r="D400" i="1"/>
  <c r="E400" i="1"/>
  <c r="A409" i="1"/>
  <c r="B409" i="1"/>
  <c r="C409" i="1"/>
  <c r="D409" i="1"/>
  <c r="E409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420" i="1"/>
  <c r="B420" i="1"/>
  <c r="C420" i="1"/>
  <c r="D420" i="1"/>
  <c r="E420" i="1"/>
  <c r="A467" i="1"/>
  <c r="B467" i="1"/>
  <c r="C467" i="1"/>
  <c r="D467" i="1"/>
  <c r="E467" i="1"/>
  <c r="A469" i="1"/>
  <c r="B469" i="1"/>
  <c r="C469" i="1"/>
  <c r="D469" i="1"/>
  <c r="E469" i="1"/>
  <c r="A472" i="1"/>
  <c r="B472" i="1"/>
  <c r="C472" i="1"/>
  <c r="D472" i="1"/>
  <c r="E472" i="1"/>
  <c r="A444" i="1"/>
  <c r="B444" i="1"/>
  <c r="C444" i="1"/>
  <c r="D444" i="1"/>
  <c r="E444" i="1"/>
  <c r="A445" i="1"/>
  <c r="B445" i="1"/>
  <c r="C445" i="1"/>
  <c r="D445" i="1"/>
  <c r="E445" i="1"/>
  <c r="A446" i="1"/>
  <c r="B446" i="1"/>
  <c r="C446" i="1"/>
  <c r="D446" i="1"/>
  <c r="E446" i="1"/>
  <c r="A447" i="1"/>
  <c r="B447" i="1"/>
  <c r="C447" i="1"/>
  <c r="D447" i="1"/>
  <c r="E447" i="1"/>
  <c r="A485" i="1"/>
  <c r="B485" i="1"/>
  <c r="C485" i="1"/>
  <c r="D485" i="1"/>
  <c r="E485" i="1"/>
  <c r="A511" i="1"/>
  <c r="B511" i="1"/>
  <c r="C511" i="1"/>
  <c r="D511" i="1"/>
  <c r="E511" i="1"/>
  <c r="A512" i="1"/>
  <c r="B512" i="1"/>
  <c r="C512" i="1"/>
  <c r="D512" i="1"/>
  <c r="E512" i="1"/>
  <c r="A517" i="1"/>
  <c r="B517" i="1"/>
  <c r="C517" i="1"/>
  <c r="D517" i="1"/>
  <c r="E517" i="1"/>
  <c r="A518" i="1"/>
  <c r="B518" i="1"/>
  <c r="C518" i="1"/>
  <c r="D518" i="1"/>
  <c r="E518" i="1"/>
  <c r="A463" i="1"/>
  <c r="B463" i="1"/>
  <c r="C463" i="1"/>
  <c r="D463" i="1"/>
  <c r="E463" i="1"/>
  <c r="A476" i="1"/>
  <c r="B476" i="1"/>
  <c r="C476" i="1"/>
  <c r="D476" i="1"/>
  <c r="E476" i="1"/>
  <c r="A477" i="1"/>
  <c r="B477" i="1"/>
  <c r="C477" i="1"/>
  <c r="D477" i="1"/>
  <c r="E477" i="1"/>
  <c r="A497" i="1"/>
  <c r="B497" i="1"/>
  <c r="C497" i="1"/>
  <c r="D497" i="1"/>
  <c r="E497" i="1"/>
  <c r="A498" i="1"/>
  <c r="B498" i="1"/>
  <c r="C498" i="1"/>
  <c r="D498" i="1"/>
  <c r="E498" i="1"/>
  <c r="A499" i="1"/>
  <c r="B499" i="1"/>
  <c r="C499" i="1"/>
  <c r="D499" i="1"/>
  <c r="E499" i="1"/>
  <c r="A554" i="1"/>
  <c r="B554" i="1"/>
  <c r="C554" i="1"/>
  <c r="E554" i="1"/>
  <c r="A559" i="1"/>
  <c r="B559" i="1"/>
  <c r="C559" i="1"/>
  <c r="E559" i="1"/>
  <c r="A543" i="1"/>
  <c r="B543" i="1"/>
  <c r="C543" i="1"/>
  <c r="D543" i="1"/>
  <c r="E543" i="1"/>
  <c r="A600" i="1"/>
  <c r="B600" i="1"/>
  <c r="C600" i="1"/>
  <c r="D600" i="1"/>
  <c r="E600" i="1"/>
  <c r="A589" i="1"/>
  <c r="B589" i="1"/>
  <c r="C589" i="1"/>
  <c r="D589" i="1"/>
  <c r="E589" i="1"/>
  <c r="A582" i="1"/>
  <c r="B582" i="1"/>
  <c r="A547" i="1"/>
  <c r="B547" i="1"/>
  <c r="C547" i="1"/>
  <c r="D547" i="1"/>
  <c r="E547" i="1"/>
  <c r="A622" i="1"/>
  <c r="B622" i="1"/>
  <c r="A614" i="1"/>
  <c r="B614" i="1"/>
  <c r="C614" i="1"/>
  <c r="D614" i="1"/>
  <c r="E614" i="1"/>
  <c r="A639" i="1"/>
  <c r="B639" i="1"/>
  <c r="A575" i="1"/>
  <c r="B575" i="1"/>
  <c r="C575" i="1"/>
  <c r="D575" i="1"/>
  <c r="E575" i="1"/>
  <c r="A576" i="1"/>
  <c r="B576" i="1"/>
  <c r="C576" i="1"/>
  <c r="D576" i="1"/>
  <c r="E576" i="1"/>
  <c r="A577" i="1"/>
  <c r="B577" i="1"/>
  <c r="C577" i="1"/>
  <c r="D577" i="1"/>
  <c r="E577" i="1"/>
  <c r="A673" i="1"/>
  <c r="B673" i="1"/>
  <c r="A646" i="1"/>
  <c r="B646" i="1"/>
  <c r="A681" i="1"/>
  <c r="B681" i="1"/>
  <c r="A684" i="1"/>
  <c r="B684" i="1"/>
  <c r="A683" i="1"/>
  <c r="B683" i="1"/>
  <c r="A680" i="1"/>
  <c r="B680" i="1"/>
  <c r="A705" i="1"/>
  <c r="B705" i="1"/>
  <c r="A756" i="1"/>
  <c r="B756" i="1"/>
  <c r="A748" i="1"/>
  <c r="B748" i="1"/>
  <c r="A751" i="1"/>
  <c r="B751" i="1"/>
  <c r="A780" i="1"/>
  <c r="B780" i="1"/>
  <c r="A763" i="1"/>
  <c r="B763" i="1"/>
  <c r="A785" i="1"/>
  <c r="B785" i="1"/>
  <c r="A774" i="1"/>
  <c r="B774" i="1"/>
  <c r="A778" i="1"/>
  <c r="B778" i="1"/>
  <c r="A792" i="1"/>
  <c r="B792" i="1"/>
  <c r="A793" i="1"/>
  <c r="B793" i="1"/>
  <c r="A799" i="1"/>
  <c r="B799" i="1"/>
  <c r="A805" i="1"/>
  <c r="B805" i="1"/>
  <c r="A804" i="1"/>
  <c r="B804" i="1"/>
  <c r="A801" i="1"/>
  <c r="B801" i="1"/>
  <c r="A702" i="1"/>
  <c r="B702" i="1"/>
  <c r="A459" i="1"/>
  <c r="B459" i="1"/>
  <c r="C459" i="1"/>
  <c r="D459" i="1"/>
  <c r="E459" i="1"/>
  <c r="A32" i="1"/>
  <c r="B32" i="1"/>
  <c r="C32" i="1"/>
  <c r="D32" i="1"/>
  <c r="E32" i="1"/>
  <c r="A34" i="1"/>
  <c r="B34" i="1"/>
  <c r="C34" i="1"/>
  <c r="D34" i="1"/>
  <c r="E34" i="1"/>
  <c r="A48" i="1"/>
  <c r="B48" i="1"/>
  <c r="C48" i="1"/>
  <c r="D48" i="1"/>
  <c r="E48" i="1"/>
  <c r="A91" i="1"/>
  <c r="B91" i="1"/>
  <c r="C91" i="1"/>
  <c r="D91" i="1"/>
  <c r="E91" i="1"/>
  <c r="A153" i="1"/>
  <c r="B153" i="1"/>
  <c r="C153" i="1"/>
  <c r="D153" i="1"/>
  <c r="E153" i="1"/>
  <c r="A156" i="1"/>
  <c r="B156" i="1"/>
  <c r="C156" i="1"/>
  <c r="D156" i="1"/>
  <c r="E156" i="1"/>
  <c r="A108" i="1"/>
  <c r="B108" i="1"/>
  <c r="C108" i="1"/>
  <c r="D108" i="1"/>
  <c r="E108" i="1"/>
  <c r="A203" i="1"/>
  <c r="B203" i="1"/>
  <c r="C203" i="1"/>
  <c r="D203" i="1"/>
  <c r="E203" i="1"/>
  <c r="A147" i="1"/>
  <c r="B147" i="1"/>
  <c r="C147" i="1"/>
  <c r="D147" i="1"/>
  <c r="E147" i="1"/>
  <c r="A211" i="1"/>
  <c r="B211" i="1"/>
  <c r="C211" i="1"/>
  <c r="D211" i="1"/>
  <c r="E211" i="1"/>
  <c r="A220" i="1"/>
  <c r="B220" i="1"/>
  <c r="C220" i="1"/>
  <c r="E220" i="1"/>
  <c r="A303" i="1"/>
  <c r="B303" i="1"/>
  <c r="C303" i="1"/>
  <c r="D303" i="1"/>
  <c r="E303" i="1"/>
  <c r="A283" i="1"/>
  <c r="B283" i="1"/>
  <c r="C283" i="1"/>
  <c r="D283" i="1"/>
  <c r="E283" i="1"/>
  <c r="A284" i="1"/>
  <c r="B284" i="1"/>
  <c r="C284" i="1"/>
  <c r="D284" i="1"/>
  <c r="E284" i="1"/>
  <c r="A290" i="1"/>
  <c r="B290" i="1"/>
  <c r="C290" i="1"/>
  <c r="D290" i="1"/>
  <c r="E290" i="1"/>
  <c r="A357" i="1"/>
  <c r="B357" i="1"/>
  <c r="C357" i="1"/>
  <c r="D357" i="1"/>
  <c r="E357" i="1"/>
  <c r="A358" i="1"/>
  <c r="B358" i="1"/>
  <c r="C358" i="1"/>
  <c r="D358" i="1"/>
  <c r="E358" i="1"/>
  <c r="A401" i="1"/>
  <c r="B401" i="1"/>
  <c r="C401" i="1"/>
  <c r="D401" i="1"/>
  <c r="E401" i="1"/>
  <c r="A402" i="1"/>
  <c r="B402" i="1"/>
  <c r="C402" i="1"/>
  <c r="D402" i="1"/>
  <c r="E402" i="1"/>
  <c r="A410" i="1"/>
  <c r="B410" i="1"/>
  <c r="C410" i="1"/>
  <c r="D410" i="1"/>
  <c r="E410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A362" i="1"/>
  <c r="B362" i="1"/>
  <c r="C362" i="1"/>
  <c r="D362" i="1"/>
  <c r="E362" i="1"/>
  <c r="A471" i="1"/>
  <c r="B471" i="1"/>
  <c r="C471" i="1"/>
  <c r="D471" i="1"/>
  <c r="E471" i="1"/>
  <c r="A500" i="1"/>
  <c r="B500" i="1"/>
  <c r="C500" i="1"/>
  <c r="D500" i="1"/>
  <c r="E500" i="1"/>
  <c r="A501" i="1"/>
  <c r="B501" i="1"/>
  <c r="C501" i="1"/>
  <c r="D501" i="1"/>
  <c r="E501" i="1"/>
  <c r="A502" i="1"/>
  <c r="B502" i="1"/>
  <c r="C502" i="1"/>
  <c r="D502" i="1"/>
  <c r="E502" i="1"/>
  <c r="A555" i="1"/>
  <c r="B555" i="1"/>
  <c r="C555" i="1"/>
  <c r="E555" i="1"/>
  <c r="A544" i="1"/>
  <c r="B544" i="1"/>
  <c r="C544" i="1"/>
  <c r="D544" i="1"/>
  <c r="E544" i="1"/>
  <c r="A522" i="1"/>
  <c r="B522" i="1"/>
  <c r="C522" i="1"/>
  <c r="D522" i="1"/>
  <c r="E522" i="1"/>
  <c r="A456" i="1"/>
  <c r="B456" i="1"/>
  <c r="C456" i="1"/>
  <c r="D456" i="1"/>
  <c r="E456" i="1"/>
  <c r="A590" i="1"/>
  <c r="B590" i="1"/>
  <c r="C590" i="1"/>
  <c r="D590" i="1"/>
  <c r="E590" i="1"/>
  <c r="A607" i="1"/>
  <c r="B607" i="1"/>
  <c r="C607" i="1"/>
  <c r="E607" i="1"/>
  <c r="A661" i="1"/>
  <c r="B661" i="1"/>
  <c r="A50" i="1"/>
  <c r="B50" i="1"/>
  <c r="C50" i="1"/>
  <c r="D50" i="1"/>
  <c r="E50" i="1"/>
  <c r="A9" i="1"/>
  <c r="B9" i="1"/>
  <c r="C9" i="1"/>
  <c r="D9" i="1"/>
  <c r="E9" i="1"/>
  <c r="A16" i="1"/>
  <c r="B16" i="1"/>
  <c r="A33" i="1"/>
  <c r="B33" i="1"/>
  <c r="C33" i="1"/>
  <c r="D33" i="1"/>
  <c r="E33" i="1"/>
  <c r="A53" i="1"/>
  <c r="B53" i="1"/>
  <c r="C53" i="1"/>
  <c r="D53" i="1"/>
  <c r="E53" i="1"/>
  <c r="A39" i="1"/>
  <c r="B39" i="1"/>
  <c r="C39" i="1"/>
  <c r="D39" i="1"/>
  <c r="E39" i="1"/>
  <c r="A92" i="1"/>
  <c r="B92" i="1"/>
  <c r="C92" i="1"/>
  <c r="D92" i="1"/>
  <c r="E92" i="1"/>
  <c r="A101" i="1"/>
  <c r="B101" i="1"/>
  <c r="C101" i="1"/>
  <c r="D101" i="1"/>
  <c r="E101" i="1"/>
  <c r="A78" i="1"/>
  <c r="B78" i="1"/>
  <c r="C78" i="1"/>
  <c r="D78" i="1"/>
  <c r="E78" i="1"/>
  <c r="A79" i="1"/>
  <c r="B79" i="1"/>
  <c r="C79" i="1"/>
  <c r="D79" i="1"/>
  <c r="E79" i="1"/>
  <c r="A140" i="1"/>
  <c r="B140" i="1"/>
  <c r="C140" i="1"/>
  <c r="D140" i="1"/>
  <c r="E140" i="1"/>
  <c r="A165" i="1"/>
  <c r="B165" i="1"/>
  <c r="A136" i="1"/>
  <c r="B136" i="1"/>
  <c r="C136" i="1"/>
  <c r="D136" i="1"/>
  <c r="E136" i="1"/>
  <c r="A230" i="1"/>
  <c r="B230" i="1"/>
  <c r="C230" i="1"/>
  <c r="E230" i="1"/>
  <c r="A179" i="1"/>
  <c r="B179" i="1"/>
  <c r="C179" i="1"/>
  <c r="D179" i="1"/>
  <c r="E179" i="1"/>
  <c r="A317" i="1"/>
  <c r="B317" i="1"/>
  <c r="C317" i="1"/>
  <c r="D317" i="1"/>
  <c r="E317" i="1"/>
  <c r="A275" i="1"/>
  <c r="B275" i="1"/>
  <c r="C275" i="1"/>
  <c r="D275" i="1"/>
  <c r="E275" i="1"/>
  <c r="A304" i="1"/>
  <c r="B304" i="1"/>
  <c r="C304" i="1"/>
  <c r="D304" i="1"/>
  <c r="E304" i="1"/>
  <c r="A291" i="1"/>
  <c r="B291" i="1"/>
  <c r="C291" i="1"/>
  <c r="D291" i="1"/>
  <c r="E291" i="1"/>
  <c r="A292" i="1"/>
  <c r="B292" i="1"/>
  <c r="C292" i="1"/>
  <c r="D292" i="1"/>
  <c r="E292" i="1"/>
  <c r="A384" i="1"/>
  <c r="B384" i="1"/>
  <c r="C384" i="1"/>
  <c r="D384" i="1"/>
  <c r="E384" i="1"/>
  <c r="A411" i="1"/>
  <c r="B411" i="1"/>
  <c r="C411" i="1"/>
  <c r="D411" i="1"/>
  <c r="E411" i="1"/>
  <c r="A348" i="1"/>
  <c r="B348" i="1"/>
  <c r="C348" i="1"/>
  <c r="D348" i="1"/>
  <c r="E348" i="1"/>
  <c r="A349" i="1"/>
  <c r="B349" i="1"/>
  <c r="C349" i="1"/>
  <c r="D349" i="1"/>
  <c r="E349" i="1"/>
  <c r="A350" i="1"/>
  <c r="B350" i="1"/>
  <c r="C350" i="1"/>
  <c r="D350" i="1"/>
  <c r="E350" i="1"/>
  <c r="A519" i="1"/>
  <c r="B519" i="1"/>
  <c r="C519" i="1"/>
  <c r="D519" i="1"/>
  <c r="E519" i="1"/>
  <c r="A470" i="1"/>
  <c r="B470" i="1"/>
  <c r="C470" i="1"/>
  <c r="D470" i="1"/>
  <c r="E470" i="1"/>
  <c r="A578" i="1"/>
  <c r="B578" i="1"/>
  <c r="C578" i="1"/>
  <c r="D578" i="1"/>
  <c r="E578" i="1"/>
  <c r="A668" i="1"/>
  <c r="B668" i="1"/>
  <c r="A656" i="1"/>
  <c r="B656" i="1"/>
  <c r="A704" i="1"/>
  <c r="B704" i="1"/>
  <c r="A707" i="1"/>
  <c r="B707" i="1"/>
  <c r="A13" i="1"/>
  <c r="B13" i="1"/>
  <c r="C13" i="1"/>
  <c r="D13" i="1"/>
  <c r="E13" i="1"/>
  <c r="A36" i="1"/>
  <c r="B36" i="1"/>
  <c r="C36" i="1"/>
  <c r="D36" i="1"/>
  <c r="E36" i="1"/>
  <c r="A65" i="1"/>
  <c r="B65" i="1"/>
  <c r="C65" i="1"/>
  <c r="D65" i="1"/>
  <c r="E65" i="1"/>
  <c r="A66" i="1"/>
  <c r="B66" i="1"/>
  <c r="C66" i="1"/>
  <c r="D66" i="1"/>
  <c r="E66" i="1"/>
  <c r="A10" i="1"/>
  <c r="B10" i="1"/>
  <c r="C10" i="1"/>
  <c r="D10" i="1"/>
  <c r="E10" i="1"/>
  <c r="A55" i="1"/>
  <c r="B55" i="1"/>
  <c r="C55" i="1"/>
  <c r="D55" i="1"/>
  <c r="E55" i="1"/>
  <c r="A38" i="1"/>
  <c r="B38" i="1"/>
  <c r="C38" i="1"/>
  <c r="D38" i="1"/>
  <c r="E38" i="1"/>
  <c r="A102" i="1"/>
  <c r="B102" i="1"/>
  <c r="C102" i="1"/>
  <c r="D102" i="1"/>
  <c r="E102" i="1"/>
  <c r="A80" i="1"/>
  <c r="B80" i="1"/>
  <c r="C80" i="1"/>
  <c r="D80" i="1"/>
  <c r="E80" i="1"/>
  <c r="A149" i="1"/>
  <c r="B149" i="1"/>
  <c r="C149" i="1"/>
  <c r="D149" i="1"/>
  <c r="E149" i="1"/>
  <c r="A109" i="1"/>
  <c r="B109" i="1"/>
  <c r="C109" i="1"/>
  <c r="D109" i="1"/>
  <c r="E109" i="1"/>
  <c r="A141" i="1"/>
  <c r="B141" i="1"/>
  <c r="C141" i="1"/>
  <c r="D141" i="1"/>
  <c r="E141" i="1"/>
  <c r="A148" i="1"/>
  <c r="B148" i="1"/>
  <c r="C148" i="1"/>
  <c r="D148" i="1"/>
  <c r="E148" i="1"/>
  <c r="A137" i="1"/>
  <c r="B137" i="1"/>
  <c r="C137" i="1"/>
  <c r="D137" i="1"/>
  <c r="E137" i="1"/>
  <c r="A154" i="1"/>
  <c r="B154" i="1"/>
  <c r="C154" i="1"/>
  <c r="D154" i="1"/>
  <c r="E154" i="1"/>
  <c r="A214" i="1"/>
  <c r="B214" i="1"/>
  <c r="C214" i="1"/>
  <c r="D214" i="1"/>
  <c r="E214" i="1"/>
  <c r="A225" i="1"/>
  <c r="B225" i="1"/>
  <c r="C225" i="1"/>
  <c r="E225" i="1"/>
  <c r="A231" i="1"/>
  <c r="B231" i="1"/>
  <c r="C231" i="1"/>
  <c r="E231" i="1"/>
  <c r="A227" i="1"/>
  <c r="B227" i="1"/>
  <c r="C227" i="1"/>
  <c r="E227" i="1"/>
  <c r="A310" i="1"/>
  <c r="B310" i="1"/>
  <c r="C310" i="1"/>
  <c r="D310" i="1"/>
  <c r="E310" i="1"/>
  <c r="A313" i="1"/>
  <c r="B313" i="1"/>
  <c r="C313" i="1"/>
  <c r="D313" i="1"/>
  <c r="E313" i="1"/>
  <c r="A314" i="1"/>
  <c r="B314" i="1"/>
  <c r="C314" i="1"/>
  <c r="D314" i="1"/>
  <c r="E314" i="1"/>
  <c r="A276" i="1"/>
  <c r="B276" i="1"/>
  <c r="C276" i="1"/>
  <c r="D276" i="1"/>
  <c r="E276" i="1"/>
  <c r="A277" i="1"/>
  <c r="B277" i="1"/>
  <c r="C277" i="1"/>
  <c r="D277" i="1"/>
  <c r="E277" i="1"/>
  <c r="A278" i="1"/>
  <c r="B278" i="1"/>
  <c r="C278" i="1"/>
  <c r="D278" i="1"/>
  <c r="E278" i="1"/>
  <c r="A305" i="1"/>
  <c r="B305" i="1"/>
  <c r="C305" i="1"/>
  <c r="D305" i="1"/>
  <c r="E305" i="1"/>
  <c r="A306" i="1"/>
  <c r="B306" i="1"/>
  <c r="C306" i="1"/>
  <c r="D306" i="1"/>
  <c r="E306" i="1"/>
  <c r="A260" i="1"/>
  <c r="B260" i="1"/>
  <c r="A285" i="1"/>
  <c r="B285" i="1"/>
  <c r="C285" i="1"/>
  <c r="D285" i="1"/>
  <c r="E285" i="1"/>
  <c r="A286" i="1"/>
  <c r="B286" i="1"/>
  <c r="C286" i="1"/>
  <c r="D286" i="1"/>
  <c r="E286" i="1"/>
  <c r="A287" i="1"/>
  <c r="B287" i="1"/>
  <c r="C287" i="1"/>
  <c r="D287" i="1"/>
  <c r="E287" i="1"/>
  <c r="A324" i="1"/>
  <c r="B324" i="1"/>
  <c r="C324" i="1"/>
  <c r="D324" i="1"/>
  <c r="E324" i="1"/>
  <c r="A258" i="1"/>
  <c r="B258" i="1"/>
  <c r="C258" i="1"/>
  <c r="D258" i="1"/>
  <c r="E258" i="1"/>
  <c r="A293" i="1"/>
  <c r="B293" i="1"/>
  <c r="C293" i="1"/>
  <c r="D293" i="1"/>
  <c r="E293" i="1"/>
  <c r="A294" i="1"/>
  <c r="B294" i="1"/>
  <c r="C294" i="1"/>
  <c r="D294" i="1"/>
  <c r="E294" i="1"/>
  <c r="A377" i="1"/>
  <c r="B377" i="1"/>
  <c r="C377" i="1"/>
  <c r="D377" i="1"/>
  <c r="E377" i="1"/>
  <c r="A426" i="1"/>
  <c r="B426" i="1"/>
  <c r="C426" i="1"/>
  <c r="D426" i="1"/>
  <c r="E426" i="1"/>
  <c r="A359" i="1"/>
  <c r="B359" i="1"/>
  <c r="C359" i="1"/>
  <c r="D359" i="1"/>
  <c r="E359" i="1"/>
  <c r="A415" i="1"/>
  <c r="B415" i="1"/>
  <c r="C415" i="1"/>
  <c r="D415" i="1"/>
  <c r="E415" i="1"/>
  <c r="A416" i="1"/>
  <c r="B416" i="1"/>
  <c r="C416" i="1"/>
  <c r="D416" i="1"/>
  <c r="E416" i="1"/>
  <c r="A387" i="1"/>
  <c r="B387" i="1"/>
  <c r="C387" i="1"/>
  <c r="D387" i="1"/>
  <c r="E387" i="1"/>
  <c r="A403" i="1"/>
  <c r="B403" i="1"/>
  <c r="C403" i="1"/>
  <c r="D403" i="1"/>
  <c r="E403" i="1"/>
  <c r="A412" i="1"/>
  <c r="B412" i="1"/>
  <c r="C412" i="1"/>
  <c r="D412" i="1"/>
  <c r="E412" i="1"/>
  <c r="A413" i="1"/>
  <c r="B413" i="1"/>
  <c r="C413" i="1"/>
  <c r="D413" i="1"/>
  <c r="E413" i="1"/>
  <c r="A351" i="1"/>
  <c r="B351" i="1"/>
  <c r="C351" i="1"/>
  <c r="D351" i="1"/>
  <c r="E351" i="1"/>
  <c r="A363" i="1"/>
  <c r="B363" i="1"/>
  <c r="C363" i="1"/>
  <c r="D363" i="1"/>
  <c r="E363" i="1"/>
  <c r="A364" i="1"/>
  <c r="B364" i="1"/>
  <c r="C364" i="1"/>
  <c r="D364" i="1"/>
  <c r="E364" i="1"/>
  <c r="A365" i="1"/>
  <c r="B365" i="1"/>
  <c r="C365" i="1"/>
  <c r="D365" i="1"/>
  <c r="E365" i="1"/>
  <c r="A448" i="1"/>
  <c r="B448" i="1"/>
  <c r="C448" i="1"/>
  <c r="D448" i="1"/>
  <c r="E448" i="1"/>
  <c r="A449" i="1"/>
  <c r="B449" i="1"/>
  <c r="C449" i="1"/>
  <c r="D449" i="1"/>
  <c r="E449" i="1"/>
  <c r="A450" i="1"/>
  <c r="B450" i="1"/>
  <c r="C450" i="1"/>
  <c r="D450" i="1"/>
  <c r="E450" i="1"/>
  <c r="A451" i="1"/>
  <c r="B451" i="1"/>
  <c r="C451" i="1"/>
  <c r="D451" i="1"/>
  <c r="E451" i="1"/>
  <c r="A520" i="1"/>
  <c r="B520" i="1"/>
  <c r="C520" i="1"/>
  <c r="D520" i="1"/>
  <c r="E520" i="1"/>
  <c r="A513" i="1"/>
  <c r="B513" i="1"/>
  <c r="C513" i="1"/>
  <c r="D513" i="1"/>
  <c r="E513" i="1"/>
  <c r="A478" i="1"/>
  <c r="B478" i="1"/>
  <c r="C478" i="1"/>
  <c r="D478" i="1"/>
  <c r="E478" i="1"/>
  <c r="A503" i="1"/>
  <c r="B503" i="1"/>
  <c r="C503" i="1"/>
  <c r="D503" i="1"/>
  <c r="E503" i="1"/>
  <c r="A504" i="1"/>
  <c r="B504" i="1"/>
  <c r="C504" i="1"/>
  <c r="D504" i="1"/>
  <c r="E504" i="1"/>
  <c r="A505" i="1"/>
  <c r="B505" i="1"/>
  <c r="C505" i="1"/>
  <c r="D505" i="1"/>
  <c r="E505" i="1"/>
  <c r="A506" i="1"/>
  <c r="B506" i="1"/>
  <c r="C506" i="1"/>
  <c r="D506" i="1"/>
  <c r="E506" i="1"/>
  <c r="A556" i="1"/>
  <c r="B556" i="1"/>
  <c r="C556" i="1"/>
  <c r="E556" i="1"/>
  <c r="A535" i="1"/>
  <c r="B535" i="1"/>
  <c r="C535" i="1"/>
  <c r="D535" i="1"/>
  <c r="E535" i="1"/>
  <c r="A545" i="1"/>
  <c r="B545" i="1"/>
  <c r="C545" i="1"/>
  <c r="D545" i="1"/>
  <c r="E545" i="1"/>
  <c r="A457" i="1"/>
  <c r="B457" i="1"/>
  <c r="C457" i="1"/>
  <c r="D457" i="1"/>
  <c r="E457" i="1"/>
  <c r="A601" i="1"/>
  <c r="B601" i="1"/>
  <c r="C601" i="1"/>
  <c r="D601" i="1"/>
  <c r="E601" i="1"/>
  <c r="A602" i="1"/>
  <c r="B602" i="1"/>
  <c r="C602" i="1"/>
  <c r="D602" i="1"/>
  <c r="E602" i="1"/>
  <c r="A560" i="1"/>
  <c r="B560" i="1"/>
  <c r="C560" i="1"/>
  <c r="E560" i="1"/>
  <c r="A591" i="1"/>
  <c r="B591" i="1"/>
  <c r="C591" i="1"/>
  <c r="D591" i="1"/>
  <c r="E591" i="1"/>
  <c r="A551" i="1"/>
  <c r="B551" i="1"/>
  <c r="C551" i="1"/>
  <c r="E551" i="1"/>
  <c r="A585" i="1"/>
  <c r="B585" i="1"/>
  <c r="C585" i="1"/>
  <c r="D585" i="1"/>
  <c r="E585" i="1"/>
  <c r="A632" i="1"/>
  <c r="B632" i="1"/>
  <c r="A623" i="1"/>
  <c r="B623" i="1"/>
  <c r="A619" i="1"/>
  <c r="B619" i="1"/>
  <c r="C619" i="1"/>
  <c r="D619" i="1"/>
  <c r="E619" i="1"/>
  <c r="A616" i="1"/>
  <c r="B616" i="1"/>
  <c r="C616" i="1"/>
  <c r="D616" i="1"/>
  <c r="E616" i="1"/>
  <c r="A579" i="1"/>
  <c r="B579" i="1"/>
  <c r="C579" i="1"/>
  <c r="D579" i="1"/>
  <c r="E579" i="1"/>
  <c r="A580" i="1"/>
  <c r="B580" i="1"/>
  <c r="C580" i="1"/>
  <c r="D580" i="1"/>
  <c r="E580" i="1"/>
  <c r="A644" i="1"/>
  <c r="B644" i="1"/>
  <c r="A655" i="1"/>
  <c r="B655" i="1"/>
  <c r="A666" i="1"/>
  <c r="B666" i="1"/>
  <c r="A674" i="1"/>
  <c r="B674" i="1"/>
  <c r="A669" i="1"/>
  <c r="B669" i="1"/>
  <c r="A687" i="1"/>
  <c r="B687" i="1"/>
  <c r="A693" i="1"/>
  <c r="A690" i="1"/>
  <c r="B690" i="1"/>
  <c r="A694" i="1"/>
  <c r="B694" i="1"/>
  <c r="A713" i="1"/>
  <c r="B713" i="1"/>
  <c r="A706" i="1"/>
  <c r="B706" i="1"/>
  <c r="A732" i="1"/>
  <c r="B732" i="1"/>
  <c r="A725" i="1"/>
  <c r="B725" i="1"/>
  <c r="A726" i="1"/>
  <c r="B726" i="1"/>
  <c r="A717" i="1"/>
  <c r="B717" i="1"/>
  <c r="A736" i="1"/>
  <c r="B736" i="1"/>
  <c r="A781" i="1"/>
  <c r="B781" i="1"/>
  <c r="A777" i="1"/>
  <c r="B777" i="1"/>
  <c r="A782" i="1"/>
  <c r="B782" i="1"/>
  <c r="A806" i="1"/>
  <c r="B806" i="1"/>
  <c r="A802" i="1"/>
  <c r="B802" i="1"/>
  <c r="A809" i="1"/>
  <c r="B809" i="1"/>
  <c r="A29" i="1"/>
  <c r="B29" i="1"/>
  <c r="C29" i="1"/>
  <c r="D29" i="1"/>
  <c r="E29" i="1"/>
  <c r="A15" i="1"/>
  <c r="B15" i="1"/>
  <c r="C15" i="1"/>
  <c r="D15" i="1"/>
  <c r="E15" i="1"/>
  <c r="A81" i="1"/>
  <c r="B81" i="1"/>
  <c r="C81" i="1"/>
  <c r="D81" i="1"/>
  <c r="E81" i="1"/>
  <c r="A142" i="1"/>
  <c r="B142" i="1"/>
  <c r="C142" i="1"/>
  <c r="D142" i="1"/>
  <c r="E142" i="1"/>
  <c r="A204" i="1"/>
  <c r="B204" i="1"/>
  <c r="C204" i="1"/>
  <c r="D204" i="1"/>
  <c r="E204" i="1"/>
  <c r="A205" i="1"/>
  <c r="B205" i="1"/>
  <c r="C205" i="1"/>
  <c r="D205" i="1"/>
  <c r="E205" i="1"/>
  <c r="A212" i="1"/>
  <c r="B212" i="1"/>
  <c r="C212" i="1"/>
  <c r="D212" i="1"/>
  <c r="E212" i="1"/>
  <c r="A318" i="1"/>
  <c r="B318" i="1"/>
  <c r="C318" i="1"/>
  <c r="D318" i="1"/>
  <c r="E318" i="1"/>
  <c r="A279" i="1"/>
  <c r="B279" i="1"/>
  <c r="C279" i="1"/>
  <c r="D279" i="1"/>
  <c r="E279" i="1"/>
  <c r="A307" i="1"/>
  <c r="B307" i="1"/>
  <c r="C307" i="1"/>
  <c r="D307" i="1"/>
  <c r="E307" i="1"/>
  <c r="A259" i="1"/>
  <c r="B259" i="1"/>
  <c r="C259" i="1"/>
  <c r="D259" i="1"/>
  <c r="E259" i="1"/>
  <c r="A371" i="1"/>
  <c r="B371" i="1"/>
  <c r="C371" i="1"/>
  <c r="D371" i="1"/>
  <c r="E371" i="1"/>
  <c r="A323" i="1"/>
  <c r="B323" i="1"/>
  <c r="C323" i="1"/>
  <c r="D323" i="1"/>
  <c r="E323" i="1"/>
  <c r="A414" i="1"/>
  <c r="B414" i="1"/>
  <c r="C414" i="1"/>
  <c r="D414" i="1"/>
  <c r="E414" i="1"/>
  <c r="A352" i="1"/>
  <c r="B352" i="1"/>
  <c r="C352" i="1"/>
  <c r="D352" i="1"/>
  <c r="E352" i="1"/>
  <c r="A353" i="1"/>
  <c r="B353" i="1"/>
  <c r="C353" i="1"/>
  <c r="D353" i="1"/>
  <c r="E353" i="1"/>
  <c r="A486" i="1"/>
  <c r="B486" i="1"/>
  <c r="C486" i="1"/>
  <c r="D486" i="1"/>
  <c r="E486" i="1"/>
  <c r="A537" i="1"/>
  <c r="B537" i="1"/>
  <c r="C537" i="1"/>
  <c r="D537" i="1"/>
  <c r="E537" i="1"/>
  <c r="A603" i="1"/>
  <c r="B603" i="1"/>
  <c r="C603" i="1"/>
  <c r="D603" i="1"/>
  <c r="E603" i="1"/>
  <c r="A581" i="1"/>
  <c r="B581" i="1"/>
  <c r="C581" i="1"/>
  <c r="D581" i="1"/>
  <c r="E581" i="1"/>
  <c r="A627" i="1"/>
  <c r="B627" i="1"/>
  <c r="C627" i="1"/>
  <c r="E627" i="1"/>
  <c r="A652" i="1"/>
  <c r="B652" i="1"/>
  <c r="A615" i="1"/>
  <c r="B615" i="1"/>
  <c r="C615" i="1"/>
  <c r="E615" i="1"/>
  <c r="A691" i="1"/>
  <c r="B691" i="1"/>
  <c r="A671" i="1"/>
  <c r="B671" i="1"/>
  <c r="A711" i="1"/>
  <c r="B711" i="1"/>
  <c r="A720" i="1"/>
  <c r="B720" i="1"/>
  <c r="A733" i="1"/>
  <c r="B733" i="1"/>
  <c r="A718" i="1"/>
  <c r="B718" i="1"/>
  <c r="A727" i="1"/>
  <c r="B727" i="1"/>
  <c r="A728" i="1"/>
  <c r="B728" i="1"/>
  <c r="A822" i="1"/>
  <c r="B822" i="1"/>
  <c r="A808" i="1"/>
  <c r="B808" i="1"/>
</calcChain>
</file>

<file path=xl/sharedStrings.xml><?xml version="1.0" encoding="utf-8"?>
<sst xmlns="http://schemas.openxmlformats.org/spreadsheetml/2006/main" count="14" uniqueCount="12">
  <si>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</si>
  <si>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</si>
  <si>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</si>
  <si>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</si>
  <si>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</si>
  <si>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</si>
  <si>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</si>
  <si>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регулированию финансовых услуг, открытых банками"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</si>
  <si>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</si>
  <si>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Отчет об остатках на балансовых и внебалансовых счетах</t>
  </si>
  <si>
    <t>АО "Евразийский Банк"</t>
  </si>
  <si>
    <t>по состоянию на 01.01.2024 (за 29.12.2023)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</si>
</sst>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" fontId="0" fillId="0" borderId="0" xfId="0" applyNumberFormat="1"/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2"/>
  <sheetViews>
    <sheetView tabSelected="1" workbookViewId="0">
      <selection activeCell="F1" sqref="F1"/>
    </sheetView>
  </sheetViews>
  <sheetFormatPr defaultRowHeight="15" x14ac:dyDescent="0.25"/>
  <cols>
    <col min="2" max="2" width="25.28515625" customWidth="1"/>
    <col min="6" max="6" width="18.7109375" style="1" customWidth="1"/>
  </cols>
  <sheetData>
    <row r="1" spans="1:6" x14ac:dyDescent="0.25">
      <c r="B1" t="s">
        <v>9</v>
      </c>
    </row>
    <row r="2" spans="1:6" x14ac:dyDescent="0.25">
      <c r="B2" t="s">
        <v>11</v>
      </c>
    </row>
    <row r="3" spans="1:6" x14ac:dyDescent="0.25">
      <c r="B3" t="s">
        <v>10</v>
      </c>
    </row>
    <row r="7" spans="1:6" ht="60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 t="s">
        <v>5</v>
      </c>
    </row>
    <row r="8" spans="1:6" x14ac:dyDescent="0.25">
      <c r="A8" s="4" t="str">
        <f>"1001"</f>
        <v>1001</v>
      </c>
      <c r="B8" s="4" t="str">
        <f>"Наличность в кассе"</f>
        <v>Наличность в кассе</v>
      </c>
      <c r="C8" s="4" t="str">
        <f>"1"</f>
        <v>1</v>
      </c>
      <c r="D8" s="4" t="str">
        <f t="shared" ref="D8:D15" si="0">"3"</f>
        <v>3</v>
      </c>
      <c r="E8" s="4" t="str">
        <f>"1"</f>
        <v>1</v>
      </c>
      <c r="F8" s="5">
        <v>5247064444</v>
      </c>
    </row>
    <row r="9" spans="1:6" x14ac:dyDescent="0.25">
      <c r="A9" s="4" t="str">
        <f>"1001"</f>
        <v>1001</v>
      </c>
      <c r="B9" s="4" t="str">
        <f>"Наличность в кассе"</f>
        <v>Наличность в кассе</v>
      </c>
      <c r="C9" s="4" t="str">
        <f>"2"</f>
        <v>2</v>
      </c>
      <c r="D9" s="4" t="str">
        <f t="shared" si="0"/>
        <v>3</v>
      </c>
      <c r="E9" s="4" t="str">
        <f>"3"</f>
        <v>3</v>
      </c>
      <c r="F9" s="5">
        <v>1246664839.54</v>
      </c>
    </row>
    <row r="10" spans="1:6" x14ac:dyDescent="0.25">
      <c r="A10" s="4" t="str">
        <f>"1001"</f>
        <v>1001</v>
      </c>
      <c r="B10" s="4" t="str">
        <f>"Наличность в кассе"</f>
        <v>Наличность в кассе</v>
      </c>
      <c r="C10" s="4" t="str">
        <f>"2"</f>
        <v>2</v>
      </c>
      <c r="D10" s="4" t="str">
        <f t="shared" si="0"/>
        <v>3</v>
      </c>
      <c r="E10" s="4" t="str">
        <f>"2"</f>
        <v>2</v>
      </c>
      <c r="F10" s="5">
        <v>27880404368.939999</v>
      </c>
    </row>
    <row r="11" spans="1:6" x14ac:dyDescent="0.25">
      <c r="A11" s="4" t="str">
        <f>"1002"</f>
        <v>1002</v>
      </c>
      <c r="B11" s="4" t="str">
        <f>"Банкноты и монеты в пути"</f>
        <v>Банкноты и монеты в пути</v>
      </c>
      <c r="C11" s="4" t="str">
        <f>"1"</f>
        <v>1</v>
      </c>
      <c r="D11" s="4" t="str">
        <f t="shared" si="0"/>
        <v>3</v>
      </c>
      <c r="E11" s="4" t="str">
        <f>"1"</f>
        <v>1</v>
      </c>
      <c r="F11" s="5">
        <v>4912826050</v>
      </c>
    </row>
    <row r="12" spans="1:6" x14ac:dyDescent="0.25">
      <c r="A12" s="4" t="str">
        <f>"1002"</f>
        <v>1002</v>
      </c>
      <c r="B12" s="4" t="str">
        <f>"Банкноты и монеты в пути"</f>
        <v>Банкноты и монеты в пути</v>
      </c>
      <c r="C12" s="4" t="str">
        <f>"2"</f>
        <v>2</v>
      </c>
      <c r="D12" s="4" t="str">
        <f t="shared" si="0"/>
        <v>3</v>
      </c>
      <c r="E12" s="4" t="str">
        <f>"2"</f>
        <v>2</v>
      </c>
      <c r="F12" s="5">
        <v>3092975983.6799998</v>
      </c>
    </row>
    <row r="13" spans="1:6" x14ac:dyDescent="0.25">
      <c r="A13" s="4" t="str">
        <f>"1002"</f>
        <v>1002</v>
      </c>
      <c r="B13" s="4" t="str">
        <f>"Банкноты и монеты в пути"</f>
        <v>Банкноты и монеты в пути</v>
      </c>
      <c r="C13" s="4" t="str">
        <f>"2"</f>
        <v>2</v>
      </c>
      <c r="D13" s="4" t="str">
        <f t="shared" si="0"/>
        <v>3</v>
      </c>
      <c r="E13" s="4" t="str">
        <f>"3"</f>
        <v>3</v>
      </c>
      <c r="F13" s="5">
        <v>41326082.600000001</v>
      </c>
    </row>
    <row r="14" spans="1:6" x14ac:dyDescent="0.25">
      <c r="A14" s="4" t="str">
        <f>"1005"</f>
        <v>1005</v>
      </c>
      <c r="B14" s="4" t="str">
        <f>"Наличность в банкоматах и электронных терминалах"</f>
        <v>Наличность в банкоматах и электронных терминалах</v>
      </c>
      <c r="C14" s="4" t="str">
        <f>"2"</f>
        <v>2</v>
      </c>
      <c r="D14" s="4" t="str">
        <f t="shared" si="0"/>
        <v>3</v>
      </c>
      <c r="E14" s="4" t="str">
        <f>"2"</f>
        <v>2</v>
      </c>
      <c r="F14" s="5">
        <v>3687845.28</v>
      </c>
    </row>
    <row r="15" spans="1:6" x14ac:dyDescent="0.25">
      <c r="A15" s="4" t="str">
        <f>"1005"</f>
        <v>1005</v>
      </c>
      <c r="B15" s="4" t="str">
        <f>"Наличность в банкоматах и электронных терминалах"</f>
        <v>Наличность в банкоматах и электронных терминалах</v>
      </c>
      <c r="C15" s="4" t="str">
        <f>"1"</f>
        <v>1</v>
      </c>
      <c r="D15" s="4" t="str">
        <f t="shared" si="0"/>
        <v>3</v>
      </c>
      <c r="E15" s="4" t="str">
        <f>"1"</f>
        <v>1</v>
      </c>
      <c r="F15" s="5">
        <v>10621258047.940001</v>
      </c>
    </row>
    <row r="16" spans="1:6" x14ac:dyDescent="0.25">
      <c r="A16" s="4" t="str">
        <f>"1011"</f>
        <v>1011</v>
      </c>
      <c r="B16" s="4" t="str">
        <f>"Аффинированные драгоценные металлы"</f>
        <v>Аффинированные драгоценные металлы</v>
      </c>
      <c r="C16" s="6">
        <v>0</v>
      </c>
      <c r="D16" s="6">
        <v>0</v>
      </c>
      <c r="E16" s="6">
        <v>0</v>
      </c>
      <c r="F16" s="5">
        <v>253591809.22</v>
      </c>
    </row>
    <row r="17" spans="1:6" x14ac:dyDescent="0.25">
      <c r="A17" s="4" t="str">
        <f>"1051"</f>
        <v>1051</v>
      </c>
      <c r="B17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7" s="4" t="str">
        <f>"1"</f>
        <v>1</v>
      </c>
      <c r="D17" s="4" t="str">
        <f>"3"</f>
        <v>3</v>
      </c>
      <c r="E17" s="4" t="str">
        <f>"2"</f>
        <v>2</v>
      </c>
      <c r="F17" s="5">
        <v>24692369598.099998</v>
      </c>
    </row>
    <row r="18" spans="1:6" x14ac:dyDescent="0.25">
      <c r="A18" s="4" t="str">
        <f>"1051"</f>
        <v>1051</v>
      </c>
      <c r="B18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8" s="4" t="str">
        <f>"1"</f>
        <v>1</v>
      </c>
      <c r="D18" s="4" t="str">
        <f>"3"</f>
        <v>3</v>
      </c>
      <c r="E18" s="4" t="str">
        <f>"3"</f>
        <v>3</v>
      </c>
      <c r="F18" s="5">
        <v>65647770056.459999</v>
      </c>
    </row>
    <row r="19" spans="1:6" x14ac:dyDescent="0.25">
      <c r="A19" s="4" t="str">
        <f>"1051"</f>
        <v>1051</v>
      </c>
      <c r="B19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9" s="4" t="str">
        <f>"1"</f>
        <v>1</v>
      </c>
      <c r="D19" s="4" t="str">
        <f>"3"</f>
        <v>3</v>
      </c>
      <c r="E19" s="4" t="str">
        <f>"1"</f>
        <v>1</v>
      </c>
      <c r="F19" s="5">
        <v>18910356366.310001</v>
      </c>
    </row>
    <row r="20" spans="1:6" x14ac:dyDescent="0.25">
      <c r="A20" s="4" t="str">
        <f t="shared" ref="A20:A29" si="1">"1052"</f>
        <v>1052</v>
      </c>
      <c r="B20" s="4" t="str">
        <f t="shared" ref="B20:B29" si="2">"Корреспондентские счета в других банках"</f>
        <v>Корреспондентские счета в других банках</v>
      </c>
      <c r="C20" s="4" t="str">
        <f>"1"</f>
        <v>1</v>
      </c>
      <c r="D20" s="4" t="str">
        <f>"4"</f>
        <v>4</v>
      </c>
      <c r="E20" s="4" t="str">
        <f>"1"</f>
        <v>1</v>
      </c>
      <c r="F20" s="5">
        <v>5401535112.79</v>
      </c>
    </row>
    <row r="21" spans="1:6" x14ac:dyDescent="0.25">
      <c r="A21" s="4" t="str">
        <f t="shared" si="1"/>
        <v>1052</v>
      </c>
      <c r="B21" s="4" t="str">
        <f t="shared" si="2"/>
        <v>Корреспондентские счета в других банках</v>
      </c>
      <c r="C21" s="4" t="str">
        <f>"2"</f>
        <v>2</v>
      </c>
      <c r="D21" s="4" t="str">
        <f>"3"</f>
        <v>3</v>
      </c>
      <c r="E21" s="4" t="str">
        <f>"1"</f>
        <v>1</v>
      </c>
      <c r="F21" s="5">
        <v>343209.1</v>
      </c>
    </row>
    <row r="22" spans="1:6" x14ac:dyDescent="0.25">
      <c r="A22" s="4" t="str">
        <f t="shared" si="1"/>
        <v>1052</v>
      </c>
      <c r="B22" s="4" t="str">
        <f t="shared" si="2"/>
        <v>Корреспондентские счета в других банках</v>
      </c>
      <c r="C22" s="4" t="str">
        <f>"2"</f>
        <v>2</v>
      </c>
      <c r="D22" s="4" t="str">
        <f>"4"</f>
        <v>4</v>
      </c>
      <c r="E22" s="4" t="str">
        <f>"3"</f>
        <v>3</v>
      </c>
      <c r="F22" s="5">
        <v>43525470269.559998</v>
      </c>
    </row>
    <row r="23" spans="1:6" x14ac:dyDescent="0.25">
      <c r="A23" s="4" t="str">
        <f t="shared" si="1"/>
        <v>1052</v>
      </c>
      <c r="B23" s="4" t="str">
        <f t="shared" si="2"/>
        <v>Корреспондентские счета в других банках</v>
      </c>
      <c r="C23" s="4" t="str">
        <f>"1"</f>
        <v>1</v>
      </c>
      <c r="D23" s="4" t="str">
        <f>"4"</f>
        <v>4</v>
      </c>
      <c r="E23" s="4" t="str">
        <f>"3"</f>
        <v>3</v>
      </c>
      <c r="F23" s="5">
        <v>2657995.9500000002</v>
      </c>
    </row>
    <row r="24" spans="1:6" x14ac:dyDescent="0.25">
      <c r="A24" s="4" t="str">
        <f t="shared" si="1"/>
        <v>1052</v>
      </c>
      <c r="B24" s="4" t="str">
        <f t="shared" si="2"/>
        <v>Корреспондентские счета в других банках</v>
      </c>
      <c r="C24" s="4" t="str">
        <f>"2"</f>
        <v>2</v>
      </c>
      <c r="D24" s="4" t="str">
        <f>"5"</f>
        <v>5</v>
      </c>
      <c r="E24" s="4" t="str">
        <f>"3"</f>
        <v>3</v>
      </c>
      <c r="F24" s="5">
        <v>76229493.590000004</v>
      </c>
    </row>
    <row r="25" spans="1:6" x14ac:dyDescent="0.25">
      <c r="A25" s="4" t="str">
        <f t="shared" si="1"/>
        <v>1052</v>
      </c>
      <c r="B25" s="4" t="str">
        <f t="shared" si="2"/>
        <v>Корреспондентские счета в других банках</v>
      </c>
      <c r="C25" s="4" t="str">
        <f>"2"</f>
        <v>2</v>
      </c>
      <c r="D25" s="4" t="str">
        <f>"4"</f>
        <v>4</v>
      </c>
      <c r="E25" s="4" t="str">
        <f>"2"</f>
        <v>2</v>
      </c>
      <c r="F25" s="5">
        <v>136535028834.91</v>
      </c>
    </row>
    <row r="26" spans="1:6" x14ac:dyDescent="0.25">
      <c r="A26" s="4" t="str">
        <f t="shared" si="1"/>
        <v>1052</v>
      </c>
      <c r="B26" s="4" t="str">
        <f t="shared" si="2"/>
        <v>Корреспондентские счета в других банках</v>
      </c>
      <c r="C26" s="4" t="str">
        <f>"1"</f>
        <v>1</v>
      </c>
      <c r="D26" s="4" t="str">
        <f>"5"</f>
        <v>5</v>
      </c>
      <c r="E26" s="4" t="str">
        <f>"2"</f>
        <v>2</v>
      </c>
      <c r="F26" s="5">
        <v>1206036723.76</v>
      </c>
    </row>
    <row r="27" spans="1:6" x14ac:dyDescent="0.25">
      <c r="A27" s="4" t="str">
        <f t="shared" si="1"/>
        <v>1052</v>
      </c>
      <c r="B27" s="4" t="str">
        <f t="shared" si="2"/>
        <v>Корреспондентские счета в других банках</v>
      </c>
      <c r="C27" s="4" t="str">
        <f>"2"</f>
        <v>2</v>
      </c>
      <c r="D27" s="4" t="str">
        <f>"5"</f>
        <v>5</v>
      </c>
      <c r="E27" s="4" t="str">
        <f>"2"</f>
        <v>2</v>
      </c>
      <c r="F27" s="5">
        <v>344272755.26999998</v>
      </c>
    </row>
    <row r="28" spans="1:6" x14ac:dyDescent="0.25">
      <c r="A28" s="4" t="str">
        <f t="shared" si="1"/>
        <v>1052</v>
      </c>
      <c r="B28" s="4" t="str">
        <f t="shared" si="2"/>
        <v>Корреспондентские счета в других банках</v>
      </c>
      <c r="C28" s="4" t="str">
        <f>"2"</f>
        <v>2</v>
      </c>
      <c r="D28" s="4" t="str">
        <f>"3"</f>
        <v>3</v>
      </c>
      <c r="E28" s="4" t="str">
        <f>"3"</f>
        <v>3</v>
      </c>
      <c r="F28" s="5">
        <v>3231.27</v>
      </c>
    </row>
    <row r="29" spans="1:6" x14ac:dyDescent="0.25">
      <c r="A29" s="4" t="str">
        <f t="shared" si="1"/>
        <v>1052</v>
      </c>
      <c r="B29" s="4" t="str">
        <f t="shared" si="2"/>
        <v>Корреспондентские счета в других банках</v>
      </c>
      <c r="C29" s="4" t="str">
        <f>"1"</f>
        <v>1</v>
      </c>
      <c r="D29" s="4" t="str">
        <f>"4"</f>
        <v>4</v>
      </c>
      <c r="E29" s="4" t="str">
        <f>"2"</f>
        <v>2</v>
      </c>
      <c r="F29" s="5">
        <v>12039489339.34</v>
      </c>
    </row>
    <row r="30" spans="1:6" x14ac:dyDescent="0.25">
      <c r="A30" s="4" t="str">
        <f>"1054"</f>
        <v>1054</v>
      </c>
      <c r="B30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0" s="4" t="str">
        <f>"2"</f>
        <v>2</v>
      </c>
      <c r="D30" s="4" t="str">
        <f>"5"</f>
        <v>5</v>
      </c>
      <c r="E30" s="4" t="str">
        <f>"3"</f>
        <v>3</v>
      </c>
      <c r="F30" s="5">
        <v>-27962.57</v>
      </c>
    </row>
    <row r="31" spans="1:6" x14ac:dyDescent="0.25">
      <c r="A31" s="4" t="str">
        <f>"1054"</f>
        <v>1054</v>
      </c>
      <c r="B31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1" s="4" t="str">
        <f>"2"</f>
        <v>2</v>
      </c>
      <c r="D31" s="4" t="str">
        <f>"5"</f>
        <v>5</v>
      </c>
      <c r="E31" s="4" t="str">
        <f>"2"</f>
        <v>2</v>
      </c>
      <c r="F31" s="5">
        <v>-159424.26999999999</v>
      </c>
    </row>
    <row r="32" spans="1:6" x14ac:dyDescent="0.25">
      <c r="A32" s="4" t="str">
        <f>"1054"</f>
        <v>1054</v>
      </c>
      <c r="B32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2" s="4" t="str">
        <f>"2"</f>
        <v>2</v>
      </c>
      <c r="D32" s="4" t="str">
        <f>"4"</f>
        <v>4</v>
      </c>
      <c r="E32" s="4" t="str">
        <f>"3"</f>
        <v>3</v>
      </c>
      <c r="F32" s="5">
        <v>-38849396.789999999</v>
      </c>
    </row>
    <row r="33" spans="1:6" x14ac:dyDescent="0.25">
      <c r="A33" s="4" t="str">
        <f>"1055"</f>
        <v>1055</v>
      </c>
      <c r="B33" s="4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C33" s="4" t="str">
        <f t="shared" ref="C33:C38" si="3">"1"</f>
        <v>1</v>
      </c>
      <c r="D33" s="4" t="str">
        <f>"3"</f>
        <v>3</v>
      </c>
      <c r="E33" s="4" t="str">
        <f>"1"</f>
        <v>1</v>
      </c>
      <c r="F33" s="5">
        <v>2526936604.6700001</v>
      </c>
    </row>
    <row r="34" spans="1:6" x14ac:dyDescent="0.25">
      <c r="A34" s="4" t="str">
        <f>"1101"</f>
        <v>1101</v>
      </c>
      <c r="B34" s="4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C34" s="4" t="str">
        <f t="shared" si="3"/>
        <v>1</v>
      </c>
      <c r="D34" s="4" t="str">
        <f>"3"</f>
        <v>3</v>
      </c>
      <c r="E34" s="4" t="str">
        <f>"1"</f>
        <v>1</v>
      </c>
      <c r="F34" s="5">
        <v>8000000000</v>
      </c>
    </row>
    <row r="35" spans="1:6" x14ac:dyDescent="0.25">
      <c r="A35" s="4" t="str">
        <f>"1103"</f>
        <v>1103</v>
      </c>
      <c r="B35" s="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C35" s="4" t="str">
        <f t="shared" si="3"/>
        <v>1</v>
      </c>
      <c r="D35" s="4" t="str">
        <f>"3"</f>
        <v>3</v>
      </c>
      <c r="E35" s="4" t="str">
        <f>"2"</f>
        <v>2</v>
      </c>
      <c r="F35" s="5">
        <v>72729600000</v>
      </c>
    </row>
    <row r="36" spans="1:6" x14ac:dyDescent="0.25">
      <c r="A36" s="4" t="str">
        <f>"1201"</f>
        <v>1201</v>
      </c>
      <c r="B36" s="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C36" s="4" t="str">
        <f t="shared" si="3"/>
        <v>1</v>
      </c>
      <c r="D36" s="4" t="str">
        <f>"6"</f>
        <v>6</v>
      </c>
      <c r="E36" s="4" t="str">
        <f>"1"</f>
        <v>1</v>
      </c>
      <c r="F36" s="5">
        <v>193197403.69</v>
      </c>
    </row>
    <row r="37" spans="1:6" x14ac:dyDescent="0.25">
      <c r="A37" s="4" t="str">
        <f>"1208"</f>
        <v>1208</v>
      </c>
      <c r="B37" s="4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C37" s="4" t="str">
        <f t="shared" si="3"/>
        <v>1</v>
      </c>
      <c r="D37" s="4" t="str">
        <f>"6"</f>
        <v>6</v>
      </c>
      <c r="E37" s="4" t="str">
        <f>"1"</f>
        <v>1</v>
      </c>
      <c r="F37" s="5">
        <v>2899792.09</v>
      </c>
    </row>
    <row r="38" spans="1:6" x14ac:dyDescent="0.25">
      <c r="A38" s="4" t="str">
        <f>"1209"</f>
        <v>1209</v>
      </c>
      <c r="B38" s="4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C38" s="4" t="str">
        <f t="shared" si="3"/>
        <v>1</v>
      </c>
      <c r="D38" s="4" t="str">
        <f>"6"</f>
        <v>6</v>
      </c>
      <c r="E38" s="4" t="str">
        <f>"1"</f>
        <v>1</v>
      </c>
      <c r="F38" s="5">
        <v>-3897859.16</v>
      </c>
    </row>
    <row r="39" spans="1:6" x14ac:dyDescent="0.25">
      <c r="A39" s="4" t="str">
        <f>"1252"</f>
        <v>1252</v>
      </c>
      <c r="B39" s="4" t="str">
        <f>"Вклады до востребования, размещенные в других банках"</f>
        <v>Вклады до востребования, размещенные в других банках</v>
      </c>
      <c r="C39" s="4" t="str">
        <f>"2"</f>
        <v>2</v>
      </c>
      <c r="D39" s="4" t="str">
        <f>"4"</f>
        <v>4</v>
      </c>
      <c r="E39" s="4" t="str">
        <f>"3"</f>
        <v>3</v>
      </c>
      <c r="F39" s="5">
        <v>7380000000</v>
      </c>
    </row>
    <row r="40" spans="1:6" x14ac:dyDescent="0.25">
      <c r="A40" s="4" t="str">
        <f>"1254"</f>
        <v>1254</v>
      </c>
      <c r="B40" s="4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C40" s="4" t="str">
        <f>"1"</f>
        <v>1</v>
      </c>
      <c r="D40" s="4" t="str">
        <f>"4"</f>
        <v>4</v>
      </c>
      <c r="E40" s="4" t="str">
        <f>"2"</f>
        <v>2</v>
      </c>
      <c r="F40" s="5">
        <v>113640000000</v>
      </c>
    </row>
    <row r="41" spans="1:6" x14ac:dyDescent="0.25">
      <c r="A41" s="4" t="str">
        <f>"1259"</f>
        <v>1259</v>
      </c>
      <c r="B41" s="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41" s="4" t="str">
        <f>"2"</f>
        <v>2</v>
      </c>
      <c r="D41" s="4" t="str">
        <f>"5"</f>
        <v>5</v>
      </c>
      <c r="E41" s="4" t="str">
        <f>"2"</f>
        <v>2</v>
      </c>
      <c r="F41" s="5">
        <v>-2765924.87</v>
      </c>
    </row>
    <row r="42" spans="1:6" x14ac:dyDescent="0.25">
      <c r="A42" s="4" t="str">
        <f>"1259"</f>
        <v>1259</v>
      </c>
      <c r="B42" s="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42" s="4" t="str">
        <f>"2"</f>
        <v>2</v>
      </c>
      <c r="D42" s="4" t="str">
        <f>"4"</f>
        <v>4</v>
      </c>
      <c r="E42" s="4" t="str">
        <f>"3"</f>
        <v>3</v>
      </c>
      <c r="F42" s="5">
        <v>-73800</v>
      </c>
    </row>
    <row r="43" spans="1:6" x14ac:dyDescent="0.25">
      <c r="A43" s="4" t="str">
        <f>"1259"</f>
        <v>1259</v>
      </c>
      <c r="B43" s="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43" s="4" t="str">
        <f>"1"</f>
        <v>1</v>
      </c>
      <c r="D43" s="4" t="str">
        <f>"4"</f>
        <v>4</v>
      </c>
      <c r="E43" s="4" t="str">
        <f>"2"</f>
        <v>2</v>
      </c>
      <c r="F43" s="5">
        <v>-35350526.640000001</v>
      </c>
    </row>
    <row r="44" spans="1:6" x14ac:dyDescent="0.25">
      <c r="A44" s="4" t="str">
        <f>"1267"</f>
        <v>1267</v>
      </c>
      <c r="B44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4" s="4" t="str">
        <f>"2"</f>
        <v>2</v>
      </c>
      <c r="D44" s="4" t="str">
        <f>"5"</f>
        <v>5</v>
      </c>
      <c r="E44" s="4" t="str">
        <f>"3"</f>
        <v>3</v>
      </c>
      <c r="F44" s="5">
        <v>751745942.25999999</v>
      </c>
    </row>
    <row r="45" spans="1:6" x14ac:dyDescent="0.25">
      <c r="A45" s="4" t="str">
        <f>"1267"</f>
        <v>1267</v>
      </c>
      <c r="B45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5" s="4" t="str">
        <f>"1"</f>
        <v>1</v>
      </c>
      <c r="D45" s="4" t="str">
        <f>"5"</f>
        <v>5</v>
      </c>
      <c r="E45" s="4" t="str">
        <f>"1"</f>
        <v>1</v>
      </c>
      <c r="F45" s="5">
        <v>60000000</v>
      </c>
    </row>
    <row r="46" spans="1:6" x14ac:dyDescent="0.25">
      <c r="A46" s="4" t="str">
        <f>"1267"</f>
        <v>1267</v>
      </c>
      <c r="B46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6" s="4" t="str">
        <f>"2"</f>
        <v>2</v>
      </c>
      <c r="D46" s="4" t="str">
        <f>"5"</f>
        <v>5</v>
      </c>
      <c r="E46" s="4" t="str">
        <f>"1"</f>
        <v>1</v>
      </c>
      <c r="F46" s="5">
        <v>7854650</v>
      </c>
    </row>
    <row r="47" spans="1:6" x14ac:dyDescent="0.25">
      <c r="A47" s="4" t="str">
        <f>"1267"</f>
        <v>1267</v>
      </c>
      <c r="B47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7" s="4" t="str">
        <f>"2"</f>
        <v>2</v>
      </c>
      <c r="D47" s="4" t="str">
        <f>"5"</f>
        <v>5</v>
      </c>
      <c r="E47" s="4" t="str">
        <f>"2"</f>
        <v>2</v>
      </c>
      <c r="F47" s="5">
        <v>11014811999.07</v>
      </c>
    </row>
    <row r="48" spans="1:6" x14ac:dyDescent="0.25">
      <c r="A48" s="4" t="str">
        <f>"1267"</f>
        <v>1267</v>
      </c>
      <c r="B48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8" s="4" t="str">
        <f>"1"</f>
        <v>1</v>
      </c>
      <c r="D48" s="4" t="str">
        <f>"7"</f>
        <v>7</v>
      </c>
      <c r="E48" s="4" t="str">
        <f>"1"</f>
        <v>1</v>
      </c>
      <c r="F48" s="5">
        <v>20000000</v>
      </c>
    </row>
    <row r="49" spans="1:6" x14ac:dyDescent="0.25">
      <c r="A49" s="4" t="str">
        <f>"1302"</f>
        <v>1302</v>
      </c>
      <c r="B49" s="4" t="str">
        <f>"Краткосрочные займы, предоставленные другим банкам"</f>
        <v>Краткосрочные займы, предоставленные другим банкам</v>
      </c>
      <c r="C49" s="4" t="str">
        <f>"2"</f>
        <v>2</v>
      </c>
      <c r="D49" s="4" t="str">
        <f>"4"</f>
        <v>4</v>
      </c>
      <c r="E49" s="4" t="str">
        <f>"2"</f>
        <v>2</v>
      </c>
      <c r="F49" s="5">
        <v>630575832.33000004</v>
      </c>
    </row>
    <row r="50" spans="1:6" x14ac:dyDescent="0.25">
      <c r="A50" s="4" t="str">
        <f>"1304"</f>
        <v>1304</v>
      </c>
      <c r="B50" s="4" t="str">
        <f>"Долгосрочные займы, предоставленные другим банкам"</f>
        <v>Долгосрочные займы, предоставленные другим банкам</v>
      </c>
      <c r="C50" s="4" t="str">
        <f>"2"</f>
        <v>2</v>
      </c>
      <c r="D50" s="4" t="str">
        <f>"4"</f>
        <v>4</v>
      </c>
      <c r="E50" s="4" t="str">
        <f>"2"</f>
        <v>2</v>
      </c>
      <c r="F50" s="5">
        <v>553048001.51999998</v>
      </c>
    </row>
    <row r="51" spans="1:6" x14ac:dyDescent="0.25">
      <c r="A51" s="4" t="str">
        <f>"1319"</f>
        <v>1319</v>
      </c>
      <c r="B51" s="4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C51" s="4" t="str">
        <f>"2"</f>
        <v>2</v>
      </c>
      <c r="D51" s="4" t="str">
        <f>"4"</f>
        <v>4</v>
      </c>
      <c r="E51" s="4" t="str">
        <f>"2"</f>
        <v>2</v>
      </c>
      <c r="F51" s="5">
        <v>-3131641.12</v>
      </c>
    </row>
    <row r="52" spans="1:6" x14ac:dyDescent="0.25">
      <c r="A52" s="4" t="str">
        <f>"1403"</f>
        <v>1403</v>
      </c>
      <c r="B52" s="4" t="str">
        <f>"Счета по кредитным карточкам клиентов"</f>
        <v>Счета по кредитным карточкам клиентов</v>
      </c>
      <c r="C52" s="4" t="str">
        <f>"1"</f>
        <v>1</v>
      </c>
      <c r="D52" s="4" t="str">
        <f>"9"</f>
        <v>9</v>
      </c>
      <c r="E52" s="4" t="str">
        <f t="shared" ref="E52:E57" si="4">"1"</f>
        <v>1</v>
      </c>
      <c r="F52" s="5">
        <v>2884770941.48</v>
      </c>
    </row>
    <row r="53" spans="1:6" x14ac:dyDescent="0.25">
      <c r="A53" s="4" t="str">
        <f>"1403"</f>
        <v>1403</v>
      </c>
      <c r="B53" s="4" t="str">
        <f>"Счета по кредитным карточкам клиентов"</f>
        <v>Счета по кредитным карточкам клиентов</v>
      </c>
      <c r="C53" s="4" t="str">
        <f>"2"</f>
        <v>2</v>
      </c>
      <c r="D53" s="4" t="str">
        <f>"9"</f>
        <v>9</v>
      </c>
      <c r="E53" s="4" t="str">
        <f t="shared" si="4"/>
        <v>1</v>
      </c>
      <c r="F53" s="5">
        <v>2878346.66</v>
      </c>
    </row>
    <row r="54" spans="1:6" x14ac:dyDescent="0.25">
      <c r="A54" s="4" t="str">
        <f>"1411"</f>
        <v>1411</v>
      </c>
      <c r="B54" s="4" t="str">
        <f>"Краткосрочные займы, предоставленные клиентам"</f>
        <v>Краткосрочные займы, предоставленные клиентам</v>
      </c>
      <c r="C54" s="4" t="str">
        <f>"1"</f>
        <v>1</v>
      </c>
      <c r="D54" s="4" t="str">
        <f>"9"</f>
        <v>9</v>
      </c>
      <c r="E54" s="4" t="str">
        <f t="shared" si="4"/>
        <v>1</v>
      </c>
      <c r="F54" s="5">
        <v>3579307188.3699999</v>
      </c>
    </row>
    <row r="55" spans="1:6" x14ac:dyDescent="0.25">
      <c r="A55" s="4" t="str">
        <f>"1411"</f>
        <v>1411</v>
      </c>
      <c r="B55" s="4" t="str">
        <f>"Краткосрочные займы, предоставленные клиентам"</f>
        <v>Краткосрочные займы, предоставленные клиентам</v>
      </c>
      <c r="C55" s="4" t="str">
        <f>"1"</f>
        <v>1</v>
      </c>
      <c r="D55" s="4" t="str">
        <f>"7"</f>
        <v>7</v>
      </c>
      <c r="E55" s="4" t="str">
        <f t="shared" si="4"/>
        <v>1</v>
      </c>
      <c r="F55" s="5">
        <v>2631589782.4699998</v>
      </c>
    </row>
    <row r="56" spans="1:6" x14ac:dyDescent="0.25">
      <c r="A56" s="4" t="str">
        <f t="shared" ref="A56:A66" si="5">"1417"</f>
        <v>1417</v>
      </c>
      <c r="B56" s="4" t="str">
        <f t="shared" ref="B56:B66" si="6">"Долгосрочные займы, предоставленные клиентам"</f>
        <v>Долгосрочные займы, предоставленные клиентам</v>
      </c>
      <c r="C56" s="4" t="str">
        <f>"1"</f>
        <v>1</v>
      </c>
      <c r="D56" s="4" t="str">
        <f>"6"</f>
        <v>6</v>
      </c>
      <c r="E56" s="4" t="str">
        <f t="shared" si="4"/>
        <v>1</v>
      </c>
      <c r="F56" s="5">
        <v>5000000000</v>
      </c>
    </row>
    <row r="57" spans="1:6" x14ac:dyDescent="0.25">
      <c r="A57" s="4" t="str">
        <f t="shared" si="5"/>
        <v>1417</v>
      </c>
      <c r="B57" s="4" t="str">
        <f t="shared" si="6"/>
        <v>Долгосрочные займы, предоставленные клиентам</v>
      </c>
      <c r="C57" s="4" t="str">
        <f>"1"</f>
        <v>1</v>
      </c>
      <c r="D57" s="4" t="str">
        <f>"9"</f>
        <v>9</v>
      </c>
      <c r="E57" s="4" t="str">
        <f t="shared" si="4"/>
        <v>1</v>
      </c>
      <c r="F57" s="5">
        <v>986338142714.07996</v>
      </c>
    </row>
    <row r="58" spans="1:6" x14ac:dyDescent="0.25">
      <c r="A58" s="4" t="str">
        <f t="shared" si="5"/>
        <v>1417</v>
      </c>
      <c r="B58" s="4" t="str">
        <f t="shared" si="6"/>
        <v>Долгосрочные займы, предоставленные клиентам</v>
      </c>
      <c r="C58" s="4" t="str">
        <f>"2"</f>
        <v>2</v>
      </c>
      <c r="D58" s="4" t="str">
        <f>"9"</f>
        <v>9</v>
      </c>
      <c r="E58" s="4" t="str">
        <f>"2"</f>
        <v>2</v>
      </c>
      <c r="F58" s="5">
        <v>5795640000</v>
      </c>
    </row>
    <row r="59" spans="1:6" x14ac:dyDescent="0.25">
      <c r="A59" s="4" t="str">
        <f t="shared" si="5"/>
        <v>1417</v>
      </c>
      <c r="B59" s="4" t="str">
        <f t="shared" si="6"/>
        <v>Долгосрочные займы, предоставленные клиентам</v>
      </c>
      <c r="C59" s="4" t="str">
        <f>"1"</f>
        <v>1</v>
      </c>
      <c r="D59" s="4" t="str">
        <f>"7"</f>
        <v>7</v>
      </c>
      <c r="E59" s="4" t="str">
        <f>"1"</f>
        <v>1</v>
      </c>
      <c r="F59" s="5">
        <v>301028539802.88</v>
      </c>
    </row>
    <row r="60" spans="1:6" x14ac:dyDescent="0.25">
      <c r="A60" s="4" t="str">
        <f t="shared" si="5"/>
        <v>1417</v>
      </c>
      <c r="B60" s="4" t="str">
        <f t="shared" si="6"/>
        <v>Долгосрочные займы, предоставленные клиентам</v>
      </c>
      <c r="C60" s="4" t="str">
        <f>"2"</f>
        <v>2</v>
      </c>
      <c r="D60" s="4" t="str">
        <f>"7"</f>
        <v>7</v>
      </c>
      <c r="E60" s="4" t="str">
        <f>"1"</f>
        <v>1</v>
      </c>
      <c r="F60" s="5">
        <v>4092000000</v>
      </c>
    </row>
    <row r="61" spans="1:6" x14ac:dyDescent="0.25">
      <c r="A61" s="4" t="str">
        <f t="shared" si="5"/>
        <v>1417</v>
      </c>
      <c r="B61" s="4" t="str">
        <f t="shared" si="6"/>
        <v>Долгосрочные займы, предоставленные клиентам</v>
      </c>
      <c r="C61" s="4" t="str">
        <f>"1"</f>
        <v>1</v>
      </c>
      <c r="D61" s="4" t="str">
        <f>"5"</f>
        <v>5</v>
      </c>
      <c r="E61" s="4" t="str">
        <f>"2"</f>
        <v>2</v>
      </c>
      <c r="F61" s="5">
        <v>20334639405.82</v>
      </c>
    </row>
    <row r="62" spans="1:6" x14ac:dyDescent="0.25">
      <c r="A62" s="4" t="str">
        <f t="shared" si="5"/>
        <v>1417</v>
      </c>
      <c r="B62" s="4" t="str">
        <f t="shared" si="6"/>
        <v>Долгосрочные займы, предоставленные клиентам</v>
      </c>
      <c r="C62" s="4" t="str">
        <f>"2"</f>
        <v>2</v>
      </c>
      <c r="D62" s="4" t="str">
        <f>"9"</f>
        <v>9</v>
      </c>
      <c r="E62" s="4" t="str">
        <f>"1"</f>
        <v>1</v>
      </c>
      <c r="F62" s="5">
        <v>10221816.82</v>
      </c>
    </row>
    <row r="63" spans="1:6" x14ac:dyDescent="0.25">
      <c r="A63" s="4" t="str">
        <f t="shared" si="5"/>
        <v>1417</v>
      </c>
      <c r="B63" s="4" t="str">
        <f t="shared" si="6"/>
        <v>Долгосрочные займы, предоставленные клиентам</v>
      </c>
      <c r="C63" s="4" t="str">
        <f>"2"</f>
        <v>2</v>
      </c>
      <c r="D63" s="4" t="str">
        <f>"7"</f>
        <v>7</v>
      </c>
      <c r="E63" s="4" t="str">
        <f>"3"</f>
        <v>3</v>
      </c>
      <c r="F63" s="5">
        <v>763216983.75999999</v>
      </c>
    </row>
    <row r="64" spans="1:6" x14ac:dyDescent="0.25">
      <c r="A64" s="4" t="str">
        <f t="shared" si="5"/>
        <v>1417</v>
      </c>
      <c r="B64" s="4" t="str">
        <f t="shared" si="6"/>
        <v>Долгосрочные займы, предоставленные клиентам</v>
      </c>
      <c r="C64" s="4" t="str">
        <f>"1"</f>
        <v>1</v>
      </c>
      <c r="D64" s="4" t="str">
        <f>"7"</f>
        <v>7</v>
      </c>
      <c r="E64" s="4" t="str">
        <f>"2"</f>
        <v>2</v>
      </c>
      <c r="F64" s="5">
        <v>64536448134.050003</v>
      </c>
    </row>
    <row r="65" spans="1:6" x14ac:dyDescent="0.25">
      <c r="A65" s="4" t="str">
        <f t="shared" si="5"/>
        <v>1417</v>
      </c>
      <c r="B65" s="4" t="str">
        <f t="shared" si="6"/>
        <v>Долгосрочные займы, предоставленные клиентам</v>
      </c>
      <c r="C65" s="4" t="str">
        <f>"2"</f>
        <v>2</v>
      </c>
      <c r="D65" s="4" t="str">
        <f>"7"</f>
        <v>7</v>
      </c>
      <c r="E65" s="4" t="str">
        <f>"2"</f>
        <v>2</v>
      </c>
      <c r="F65" s="5">
        <v>10419086711.84</v>
      </c>
    </row>
    <row r="66" spans="1:6" x14ac:dyDescent="0.25">
      <c r="A66" s="4" t="str">
        <f t="shared" si="5"/>
        <v>1417</v>
      </c>
      <c r="B66" s="4" t="str">
        <f t="shared" si="6"/>
        <v>Долгосрочные займы, предоставленные клиентам</v>
      </c>
      <c r="C66" s="4" t="str">
        <f>"1"</f>
        <v>1</v>
      </c>
      <c r="D66" s="4" t="str">
        <f>"5"</f>
        <v>5</v>
      </c>
      <c r="E66" s="4" t="str">
        <f>"1"</f>
        <v>1</v>
      </c>
      <c r="F66" s="5">
        <v>20463775977.68</v>
      </c>
    </row>
    <row r="67" spans="1:6" x14ac:dyDescent="0.25">
      <c r="A67" s="4" t="str">
        <f>"1424"</f>
        <v>1424</v>
      </c>
      <c r="B67" s="4" t="str">
        <f>"Просроченная задолженность клиентов по займам"</f>
        <v>Просроченная задолженность клиентов по займам</v>
      </c>
      <c r="C67" s="4" t="str">
        <f>"1"</f>
        <v>1</v>
      </c>
      <c r="D67" s="4" t="str">
        <f>"9"</f>
        <v>9</v>
      </c>
      <c r="E67" s="4" t="str">
        <f>"1"</f>
        <v>1</v>
      </c>
      <c r="F67" s="5">
        <v>23400091102.060001</v>
      </c>
    </row>
    <row r="68" spans="1:6" x14ac:dyDescent="0.25">
      <c r="A68" s="4" t="str">
        <f>"1424"</f>
        <v>1424</v>
      </c>
      <c r="B68" s="4" t="str">
        <f>"Просроченная задолженность клиентов по займам"</f>
        <v>Просроченная задолженность клиентов по займам</v>
      </c>
      <c r="C68" s="4" t="str">
        <f>"1"</f>
        <v>1</v>
      </c>
      <c r="D68" s="4" t="str">
        <f>"7"</f>
        <v>7</v>
      </c>
      <c r="E68" s="4" t="str">
        <f>"1"</f>
        <v>1</v>
      </c>
      <c r="F68" s="5">
        <v>625360794.20000005</v>
      </c>
    </row>
    <row r="69" spans="1:6" x14ac:dyDescent="0.25">
      <c r="A69" s="4" t="str">
        <f>"1424"</f>
        <v>1424</v>
      </c>
      <c r="B69" s="4" t="str">
        <f>"Просроченная задолженность клиентов по займам"</f>
        <v>Просроченная задолженность клиентов по займам</v>
      </c>
      <c r="C69" s="4" t="str">
        <f>"2"</f>
        <v>2</v>
      </c>
      <c r="D69" s="4" t="str">
        <f>"9"</f>
        <v>9</v>
      </c>
      <c r="E69" s="4" t="str">
        <f>"1"</f>
        <v>1</v>
      </c>
      <c r="F69" s="5">
        <v>7901324.21</v>
      </c>
    </row>
    <row r="70" spans="1:6" x14ac:dyDescent="0.25">
      <c r="A70" s="4" t="str">
        <f>"1424"</f>
        <v>1424</v>
      </c>
      <c r="B70" s="4" t="str">
        <f>"Просроченная задолженность клиентов по займам"</f>
        <v>Просроченная задолженность клиентов по займам</v>
      </c>
      <c r="C70" s="4" t="str">
        <f>"1"</f>
        <v>1</v>
      </c>
      <c r="D70" s="4" t="str">
        <f>"9"</f>
        <v>9</v>
      </c>
      <c r="E70" s="4" t="str">
        <f>"2"</f>
        <v>2</v>
      </c>
      <c r="F70" s="5">
        <v>71717067.609999999</v>
      </c>
    </row>
    <row r="71" spans="1:6" x14ac:dyDescent="0.25">
      <c r="A71" s="4" t="str">
        <f t="shared" ref="A71:A81" si="7">"1428"</f>
        <v>1428</v>
      </c>
      <c r="B71" s="4" t="str">
        <f t="shared" ref="B71:B81" si="8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71" s="4" t="str">
        <f>"1"</f>
        <v>1</v>
      </c>
      <c r="D71" s="4" t="str">
        <f>"7"</f>
        <v>7</v>
      </c>
      <c r="E71" s="4" t="str">
        <f>"1"</f>
        <v>1</v>
      </c>
      <c r="F71" s="5">
        <v>-13266574043.620001</v>
      </c>
    </row>
    <row r="72" spans="1:6" x14ac:dyDescent="0.25">
      <c r="A72" s="4" t="str">
        <f t="shared" si="7"/>
        <v>1428</v>
      </c>
      <c r="B72" s="4" t="str">
        <f t="shared" si="8"/>
        <v>Резервы (провизии) по займам и финансовому лизингу, предоставленным клиентам</v>
      </c>
      <c r="C72" s="4" t="str">
        <f>"1"</f>
        <v>1</v>
      </c>
      <c r="D72" s="4" t="str">
        <f>"5"</f>
        <v>5</v>
      </c>
      <c r="E72" s="4" t="str">
        <f>"2"</f>
        <v>2</v>
      </c>
      <c r="F72" s="5">
        <v>-266861612.03</v>
      </c>
    </row>
    <row r="73" spans="1:6" x14ac:dyDescent="0.25">
      <c r="A73" s="4" t="str">
        <f t="shared" si="7"/>
        <v>1428</v>
      </c>
      <c r="B73" s="4" t="str">
        <f t="shared" si="8"/>
        <v>Резервы (провизии) по займам и финансовому лизингу, предоставленным клиентам</v>
      </c>
      <c r="C73" s="4" t="str">
        <f>"1"</f>
        <v>1</v>
      </c>
      <c r="D73" s="4" t="str">
        <f>"9"</f>
        <v>9</v>
      </c>
      <c r="E73" s="4" t="str">
        <f>"1"</f>
        <v>1</v>
      </c>
      <c r="F73" s="5">
        <v>-115011703891.53999</v>
      </c>
    </row>
    <row r="74" spans="1:6" x14ac:dyDescent="0.25">
      <c r="A74" s="4" t="str">
        <f t="shared" si="7"/>
        <v>1428</v>
      </c>
      <c r="B74" s="4" t="str">
        <f t="shared" si="8"/>
        <v>Резервы (провизии) по займам и финансовому лизингу, предоставленным клиентам</v>
      </c>
      <c r="C74" s="4" t="str">
        <f>"1"</f>
        <v>1</v>
      </c>
      <c r="D74" s="4" t="str">
        <f>"9"</f>
        <v>9</v>
      </c>
      <c r="E74" s="4" t="str">
        <f>"2"</f>
        <v>2</v>
      </c>
      <c r="F74" s="5">
        <v>-137988323.06</v>
      </c>
    </row>
    <row r="75" spans="1:6" x14ac:dyDescent="0.25">
      <c r="A75" s="4" t="str">
        <f t="shared" si="7"/>
        <v>1428</v>
      </c>
      <c r="B75" s="4" t="str">
        <f t="shared" si="8"/>
        <v>Резервы (провизии) по займам и финансовому лизингу, предоставленным клиентам</v>
      </c>
      <c r="C75" s="4" t="str">
        <f>"2"</f>
        <v>2</v>
      </c>
      <c r="D75" s="4" t="str">
        <f>"9"</f>
        <v>9</v>
      </c>
      <c r="E75" s="4" t="str">
        <f>"2"</f>
        <v>2</v>
      </c>
      <c r="F75" s="5">
        <v>-87840.29</v>
      </c>
    </row>
    <row r="76" spans="1:6" x14ac:dyDescent="0.25">
      <c r="A76" s="4" t="str">
        <f t="shared" si="7"/>
        <v>1428</v>
      </c>
      <c r="B76" s="4" t="str">
        <f t="shared" si="8"/>
        <v>Резервы (провизии) по займам и финансовому лизингу, предоставленным клиентам</v>
      </c>
      <c r="C76" s="4" t="str">
        <f>"2"</f>
        <v>2</v>
      </c>
      <c r="D76" s="4" t="str">
        <f>"9"</f>
        <v>9</v>
      </c>
      <c r="E76" s="4" t="str">
        <f>"1"</f>
        <v>1</v>
      </c>
      <c r="F76" s="5">
        <v>-9057570.9100000001</v>
      </c>
    </row>
    <row r="77" spans="1:6" x14ac:dyDescent="0.25">
      <c r="A77" s="4" t="str">
        <f t="shared" si="7"/>
        <v>1428</v>
      </c>
      <c r="B77" s="4" t="str">
        <f t="shared" si="8"/>
        <v>Резервы (провизии) по займам и финансовому лизингу, предоставленным клиентам</v>
      </c>
      <c r="C77" s="4" t="str">
        <f>"1"</f>
        <v>1</v>
      </c>
      <c r="D77" s="4" t="str">
        <f>"5"</f>
        <v>5</v>
      </c>
      <c r="E77" s="4" t="str">
        <f>"1"</f>
        <v>1</v>
      </c>
      <c r="F77" s="5">
        <v>-114508168.95999999</v>
      </c>
    </row>
    <row r="78" spans="1:6" x14ac:dyDescent="0.25">
      <c r="A78" s="4" t="str">
        <f t="shared" si="7"/>
        <v>1428</v>
      </c>
      <c r="B78" s="4" t="str">
        <f t="shared" si="8"/>
        <v>Резервы (провизии) по займам и финансовому лизингу, предоставленным клиентам</v>
      </c>
      <c r="C78" s="4" t="str">
        <f>"2"</f>
        <v>2</v>
      </c>
      <c r="D78" s="4" t="str">
        <f t="shared" ref="D78:D83" si="9">"7"</f>
        <v>7</v>
      </c>
      <c r="E78" s="4" t="str">
        <f>"2"</f>
        <v>2</v>
      </c>
      <c r="F78" s="5">
        <v>-39357206.350000001</v>
      </c>
    </row>
    <row r="79" spans="1:6" x14ac:dyDescent="0.25">
      <c r="A79" s="4" t="str">
        <f t="shared" si="7"/>
        <v>1428</v>
      </c>
      <c r="B79" s="4" t="str">
        <f t="shared" si="8"/>
        <v>Резервы (провизии) по займам и финансовому лизингу, предоставленным клиентам</v>
      </c>
      <c r="C79" s="4" t="str">
        <f>"2"</f>
        <v>2</v>
      </c>
      <c r="D79" s="4" t="str">
        <f t="shared" si="9"/>
        <v>7</v>
      </c>
      <c r="E79" s="4" t="str">
        <f>"1"</f>
        <v>1</v>
      </c>
      <c r="F79" s="5">
        <v>-98251442.930000007</v>
      </c>
    </row>
    <row r="80" spans="1:6" x14ac:dyDescent="0.25">
      <c r="A80" s="4" t="str">
        <f t="shared" si="7"/>
        <v>1428</v>
      </c>
      <c r="B80" s="4" t="str">
        <f t="shared" si="8"/>
        <v>Резервы (провизии) по займам и финансовому лизингу, предоставленным клиентам</v>
      </c>
      <c r="C80" s="4" t="str">
        <f>"1"</f>
        <v>1</v>
      </c>
      <c r="D80" s="4" t="str">
        <f t="shared" si="9"/>
        <v>7</v>
      </c>
      <c r="E80" s="4" t="str">
        <f>"2"</f>
        <v>2</v>
      </c>
      <c r="F80" s="5">
        <v>-16739263587.780001</v>
      </c>
    </row>
    <row r="81" spans="1:6" x14ac:dyDescent="0.25">
      <c r="A81" s="4" t="str">
        <f t="shared" si="7"/>
        <v>1428</v>
      </c>
      <c r="B81" s="4" t="str">
        <f t="shared" si="8"/>
        <v>Резервы (провизии) по займам и финансовому лизингу, предоставленным клиентам</v>
      </c>
      <c r="C81" s="4" t="str">
        <f>"2"</f>
        <v>2</v>
      </c>
      <c r="D81" s="4" t="str">
        <f t="shared" si="9"/>
        <v>7</v>
      </c>
      <c r="E81" s="4" t="str">
        <f>"3"</f>
        <v>3</v>
      </c>
      <c r="F81" s="5">
        <v>-2706035.63</v>
      </c>
    </row>
    <row r="82" spans="1:6" x14ac:dyDescent="0.25">
      <c r="A82" s="4" t="str">
        <f>"1431"</f>
        <v>1431</v>
      </c>
      <c r="B82" s="4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C82" s="4" t="str">
        <f>"1"</f>
        <v>1</v>
      </c>
      <c r="D82" s="4" t="str">
        <f t="shared" si="9"/>
        <v>7</v>
      </c>
      <c r="E82" s="4" t="str">
        <f>"1"</f>
        <v>1</v>
      </c>
      <c r="F82" s="5">
        <v>-8449218.5099999998</v>
      </c>
    </row>
    <row r="83" spans="1:6" x14ac:dyDescent="0.25">
      <c r="A83" s="4" t="str">
        <f t="shared" ref="A83:A92" si="10">"1434"</f>
        <v>1434</v>
      </c>
      <c r="B83" s="4" t="str">
        <f t="shared" ref="B83:B92" si="11">"Дисконт по займам, предоставленным клиентам"</f>
        <v>Дисконт по займам, предоставленным клиентам</v>
      </c>
      <c r="C83" s="4" t="str">
        <f>"1"</f>
        <v>1</v>
      </c>
      <c r="D83" s="4" t="str">
        <f t="shared" si="9"/>
        <v>7</v>
      </c>
      <c r="E83" s="4" t="str">
        <f>"1"</f>
        <v>1</v>
      </c>
      <c r="F83" s="5">
        <v>-9718272317.2900009</v>
      </c>
    </row>
    <row r="84" spans="1:6" x14ac:dyDescent="0.25">
      <c r="A84" s="4" t="str">
        <f t="shared" si="10"/>
        <v>1434</v>
      </c>
      <c r="B84" s="4" t="str">
        <f t="shared" si="11"/>
        <v>Дисконт по займам, предоставленным клиентам</v>
      </c>
      <c r="C84" s="4" t="str">
        <f>"2"</f>
        <v>2</v>
      </c>
      <c r="D84" s="4" t="str">
        <f>"9"</f>
        <v>9</v>
      </c>
      <c r="E84" s="4" t="str">
        <f>"1"</f>
        <v>1</v>
      </c>
      <c r="F84" s="5">
        <v>-328848.68</v>
      </c>
    </row>
    <row r="85" spans="1:6" x14ac:dyDescent="0.25">
      <c r="A85" s="4" t="str">
        <f t="shared" si="10"/>
        <v>1434</v>
      </c>
      <c r="B85" s="4" t="str">
        <f t="shared" si="11"/>
        <v>Дисконт по займам, предоставленным клиентам</v>
      </c>
      <c r="C85" s="4" t="str">
        <f>"1"</f>
        <v>1</v>
      </c>
      <c r="D85" s="4" t="str">
        <f>"9"</f>
        <v>9</v>
      </c>
      <c r="E85" s="4" t="str">
        <f>"2"</f>
        <v>2</v>
      </c>
      <c r="F85" s="5">
        <v>-7696628.0999999996</v>
      </c>
    </row>
    <row r="86" spans="1:6" x14ac:dyDescent="0.25">
      <c r="A86" s="4" t="str">
        <f t="shared" si="10"/>
        <v>1434</v>
      </c>
      <c r="B86" s="4" t="str">
        <f t="shared" si="11"/>
        <v>Дисконт по займам, предоставленным клиентам</v>
      </c>
      <c r="C86" s="4" t="str">
        <f>"1"</f>
        <v>1</v>
      </c>
      <c r="D86" s="4" t="str">
        <f>"7"</f>
        <v>7</v>
      </c>
      <c r="E86" s="4" t="str">
        <f>"2"</f>
        <v>2</v>
      </c>
      <c r="F86" s="5">
        <v>-1693659827.2</v>
      </c>
    </row>
    <row r="87" spans="1:6" x14ac:dyDescent="0.25">
      <c r="A87" s="4" t="str">
        <f t="shared" si="10"/>
        <v>1434</v>
      </c>
      <c r="B87" s="4" t="str">
        <f t="shared" si="11"/>
        <v>Дисконт по займам, предоставленным клиентам</v>
      </c>
      <c r="C87" s="4" t="str">
        <f>"2"</f>
        <v>2</v>
      </c>
      <c r="D87" s="4" t="str">
        <f>"7"</f>
        <v>7</v>
      </c>
      <c r="E87" s="4" t="str">
        <f>"3"</f>
        <v>3</v>
      </c>
      <c r="F87" s="5">
        <v>-10394319.050000001</v>
      </c>
    </row>
    <row r="88" spans="1:6" x14ac:dyDescent="0.25">
      <c r="A88" s="4" t="str">
        <f t="shared" si="10"/>
        <v>1434</v>
      </c>
      <c r="B88" s="4" t="str">
        <f t="shared" si="11"/>
        <v>Дисконт по займам, предоставленным клиентам</v>
      </c>
      <c r="C88" s="4" t="str">
        <f>"1"</f>
        <v>1</v>
      </c>
      <c r="D88" s="4" t="str">
        <f>"5"</f>
        <v>5</v>
      </c>
      <c r="E88" s="4" t="str">
        <f>"2"</f>
        <v>2</v>
      </c>
      <c r="F88" s="5">
        <v>-117031863.08</v>
      </c>
    </row>
    <row r="89" spans="1:6" x14ac:dyDescent="0.25">
      <c r="A89" s="4" t="str">
        <f t="shared" si="10"/>
        <v>1434</v>
      </c>
      <c r="B89" s="4" t="str">
        <f t="shared" si="11"/>
        <v>Дисконт по займам, предоставленным клиентам</v>
      </c>
      <c r="C89" s="4" t="str">
        <f>"1"</f>
        <v>1</v>
      </c>
      <c r="D89" s="4" t="str">
        <f>"9"</f>
        <v>9</v>
      </c>
      <c r="E89" s="4" t="str">
        <f>"1"</f>
        <v>1</v>
      </c>
      <c r="F89" s="5">
        <v>-16716331475.6</v>
      </c>
    </row>
    <row r="90" spans="1:6" x14ac:dyDescent="0.25">
      <c r="A90" s="4" t="str">
        <f t="shared" si="10"/>
        <v>1434</v>
      </c>
      <c r="B90" s="4" t="str">
        <f t="shared" si="11"/>
        <v>Дисконт по займам, предоставленным клиентам</v>
      </c>
      <c r="C90" s="4" t="str">
        <f>"2"</f>
        <v>2</v>
      </c>
      <c r="D90" s="4" t="str">
        <f>"7"</f>
        <v>7</v>
      </c>
      <c r="E90" s="4" t="str">
        <f>"2"</f>
        <v>2</v>
      </c>
      <c r="F90" s="5">
        <v>-39686001.420000002</v>
      </c>
    </row>
    <row r="91" spans="1:6" x14ac:dyDescent="0.25">
      <c r="A91" s="4" t="str">
        <f t="shared" si="10"/>
        <v>1434</v>
      </c>
      <c r="B91" s="4" t="str">
        <f t="shared" si="11"/>
        <v>Дисконт по займам, предоставленным клиентам</v>
      </c>
      <c r="C91" s="4" t="str">
        <f>"2"</f>
        <v>2</v>
      </c>
      <c r="D91" s="4" t="str">
        <f>"9"</f>
        <v>9</v>
      </c>
      <c r="E91" s="4" t="str">
        <f>"2"</f>
        <v>2</v>
      </c>
      <c r="F91" s="5">
        <v>-46365120</v>
      </c>
    </row>
    <row r="92" spans="1:6" x14ac:dyDescent="0.25">
      <c r="A92" s="4" t="str">
        <f t="shared" si="10"/>
        <v>1434</v>
      </c>
      <c r="B92" s="4" t="str">
        <f t="shared" si="11"/>
        <v>Дисконт по займам, предоставленным клиентам</v>
      </c>
      <c r="C92" s="4" t="str">
        <f>"1"</f>
        <v>1</v>
      </c>
      <c r="D92" s="4" t="str">
        <f>"5"</f>
        <v>5</v>
      </c>
      <c r="E92" s="4" t="str">
        <f>"1"</f>
        <v>1</v>
      </c>
      <c r="F92" s="5">
        <v>-36692810.310000002</v>
      </c>
    </row>
    <row r="93" spans="1:6" x14ac:dyDescent="0.25">
      <c r="A93" s="4" t="str">
        <f>"1435"</f>
        <v>1435</v>
      </c>
      <c r="B93" s="4" t="str">
        <f>"Премия по займам, предоставленным клиентам"</f>
        <v>Премия по займам, предоставленным клиентам</v>
      </c>
      <c r="C93" s="4" t="str">
        <f>"1"</f>
        <v>1</v>
      </c>
      <c r="D93" s="4" t="str">
        <f>"7"</f>
        <v>7</v>
      </c>
      <c r="E93" s="4" t="str">
        <f>"1"</f>
        <v>1</v>
      </c>
      <c r="F93" s="5">
        <v>11665572.24</v>
      </c>
    </row>
    <row r="94" spans="1:6" x14ac:dyDescent="0.25">
      <c r="A94" s="4" t="str">
        <f>"1435"</f>
        <v>1435</v>
      </c>
      <c r="B94" s="4" t="str">
        <f>"Премия по займам, предоставленным клиентам"</f>
        <v>Премия по займам, предоставленным клиентам</v>
      </c>
      <c r="C94" s="4" t="str">
        <f>"1"</f>
        <v>1</v>
      </c>
      <c r="D94" s="4" t="str">
        <f>"9"</f>
        <v>9</v>
      </c>
      <c r="E94" s="4" t="str">
        <f>"2"</f>
        <v>2</v>
      </c>
      <c r="F94" s="5">
        <v>363320.71</v>
      </c>
    </row>
    <row r="95" spans="1:6" x14ac:dyDescent="0.25">
      <c r="A95" s="4" t="str">
        <f>"1435"</f>
        <v>1435</v>
      </c>
      <c r="B95" s="4" t="str">
        <f>"Премия по займам, предоставленным клиентам"</f>
        <v>Премия по займам, предоставленным клиентам</v>
      </c>
      <c r="C95" s="4" t="str">
        <f>"1"</f>
        <v>1</v>
      </c>
      <c r="D95" s="4" t="str">
        <f>"9"</f>
        <v>9</v>
      </c>
      <c r="E95" s="4" t="str">
        <f>"1"</f>
        <v>1</v>
      </c>
      <c r="F95" s="5">
        <v>9052455577.1399994</v>
      </c>
    </row>
    <row r="96" spans="1:6" x14ac:dyDescent="0.25">
      <c r="A96" s="4" t="str">
        <f t="shared" ref="A96:A102" si="12">"1452"</f>
        <v>1452</v>
      </c>
      <c r="B96" s="4" t="str">
        <f t="shared" ref="B96:B102" si="13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C96" s="4" t="str">
        <f>"2"</f>
        <v>2</v>
      </c>
      <c r="D96" s="4" t="str">
        <f>"4"</f>
        <v>4</v>
      </c>
      <c r="E96" s="4" t="str">
        <f>"2"</f>
        <v>2</v>
      </c>
      <c r="F96" s="5">
        <v>909120000</v>
      </c>
    </row>
    <row r="97" spans="1:6" x14ac:dyDescent="0.25">
      <c r="A97" s="4" t="str">
        <f t="shared" si="12"/>
        <v>1452</v>
      </c>
      <c r="B97" s="4" t="str">
        <f t="shared" si="13"/>
        <v>Ценные бумаги, учитываемые по справедливой стоимости через прочий совокупный доход</v>
      </c>
      <c r="C97" s="4" t="str">
        <f>"2"</f>
        <v>2</v>
      </c>
      <c r="D97" s="4" t="str">
        <f>"5"</f>
        <v>5</v>
      </c>
      <c r="E97" s="4" t="str">
        <f>"2"</f>
        <v>2</v>
      </c>
      <c r="F97" s="5">
        <v>9678491520</v>
      </c>
    </row>
    <row r="98" spans="1:6" x14ac:dyDescent="0.25">
      <c r="A98" s="4" t="str">
        <f t="shared" si="12"/>
        <v>1452</v>
      </c>
      <c r="B98" s="4" t="str">
        <f t="shared" si="13"/>
        <v>Ценные бумаги, учитываемые по справедливой стоимости через прочий совокупный доход</v>
      </c>
      <c r="C98" s="4" t="str">
        <f>"2"</f>
        <v>2</v>
      </c>
      <c r="D98" s="4" t="str">
        <f>"1"</f>
        <v>1</v>
      </c>
      <c r="E98" s="4" t="str">
        <f>"2"</f>
        <v>2</v>
      </c>
      <c r="F98" s="5">
        <v>185563980000</v>
      </c>
    </row>
    <row r="99" spans="1:6" x14ac:dyDescent="0.25">
      <c r="A99" s="4" t="str">
        <f t="shared" si="12"/>
        <v>1452</v>
      </c>
      <c r="B99" s="4" t="str">
        <f t="shared" si="13"/>
        <v>Ценные бумаги, учитываемые по справедливой стоимости через прочий совокупный доход</v>
      </c>
      <c r="C99" s="4" t="str">
        <f>"1"</f>
        <v>1</v>
      </c>
      <c r="D99" s="4" t="str">
        <f>"6"</f>
        <v>6</v>
      </c>
      <c r="E99" s="4" t="str">
        <f>"2"</f>
        <v>2</v>
      </c>
      <c r="F99" s="5">
        <v>20587022400</v>
      </c>
    </row>
    <row r="100" spans="1:6" x14ac:dyDescent="0.25">
      <c r="A100" s="4" t="str">
        <f t="shared" si="12"/>
        <v>1452</v>
      </c>
      <c r="B100" s="4" t="str">
        <f t="shared" si="13"/>
        <v>Ценные бумаги, учитываемые по справедливой стоимости через прочий совокупный доход</v>
      </c>
      <c r="C100" s="4" t="str">
        <f>"1"</f>
        <v>1</v>
      </c>
      <c r="D100" s="4" t="str">
        <f>"1"</f>
        <v>1</v>
      </c>
      <c r="E100" s="4" t="str">
        <f>"2"</f>
        <v>2</v>
      </c>
      <c r="F100" s="5">
        <v>19566938807.360001</v>
      </c>
    </row>
    <row r="101" spans="1:6" x14ac:dyDescent="0.25">
      <c r="A101" s="4" t="str">
        <f t="shared" si="12"/>
        <v>1452</v>
      </c>
      <c r="B101" s="4" t="str">
        <f t="shared" si="13"/>
        <v>Ценные бумаги, учитываемые по справедливой стоимости через прочий совокупный доход</v>
      </c>
      <c r="C101" s="4" t="str">
        <f>"1"</f>
        <v>1</v>
      </c>
      <c r="D101" s="4" t="str">
        <f>"1"</f>
        <v>1</v>
      </c>
      <c r="E101" s="4" t="str">
        <f>"1"</f>
        <v>1</v>
      </c>
      <c r="F101" s="5">
        <v>210361996800</v>
      </c>
    </row>
    <row r="102" spans="1:6" x14ac:dyDescent="0.25">
      <c r="A102" s="4" t="str">
        <f t="shared" si="12"/>
        <v>1452</v>
      </c>
      <c r="B102" s="4" t="str">
        <f t="shared" si="13"/>
        <v>Ценные бумаги, учитываемые по справедливой стоимости через прочий совокупный доход</v>
      </c>
      <c r="C102" s="4" t="str">
        <f>"2"</f>
        <v>2</v>
      </c>
      <c r="D102" s="4" t="str">
        <f>"3"</f>
        <v>3</v>
      </c>
      <c r="E102" s="4" t="str">
        <f>"2"</f>
        <v>2</v>
      </c>
      <c r="F102" s="5">
        <v>23791524000</v>
      </c>
    </row>
    <row r="103" spans="1:6" x14ac:dyDescent="0.25">
      <c r="A103" s="4" t="str">
        <f t="shared" ref="A103:A109" si="14">"1453"</f>
        <v>1453</v>
      </c>
      <c r="B103" s="4" t="str">
        <f t="shared" ref="B103:B109" si="15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C103" s="4" t="str">
        <f>"2"</f>
        <v>2</v>
      </c>
      <c r="D103" s="4" t="str">
        <f>"4"</f>
        <v>4</v>
      </c>
      <c r="E103" s="4" t="str">
        <f>"2"</f>
        <v>2</v>
      </c>
      <c r="F103" s="5">
        <v>-9564256.0500000007</v>
      </c>
    </row>
    <row r="104" spans="1:6" x14ac:dyDescent="0.25">
      <c r="A104" s="4" t="str">
        <f t="shared" si="14"/>
        <v>1453</v>
      </c>
      <c r="B104" s="4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C104" s="4" t="str">
        <f>"2"</f>
        <v>2</v>
      </c>
      <c r="D104" s="4" t="str">
        <f>"5"</f>
        <v>5</v>
      </c>
      <c r="E104" s="4" t="str">
        <f>"2"</f>
        <v>2</v>
      </c>
      <c r="F104" s="5">
        <v>-34222763.270000003</v>
      </c>
    </row>
    <row r="105" spans="1:6" x14ac:dyDescent="0.25">
      <c r="A105" s="4" t="str">
        <f t="shared" si="14"/>
        <v>1453</v>
      </c>
      <c r="B105" s="4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C105" s="4" t="str">
        <f>"1"</f>
        <v>1</v>
      </c>
      <c r="D105" s="4" t="str">
        <f>"6"</f>
        <v>6</v>
      </c>
      <c r="E105" s="4" t="str">
        <f>"2"</f>
        <v>2</v>
      </c>
      <c r="F105" s="5">
        <v>-331716864.60000002</v>
      </c>
    </row>
    <row r="106" spans="1:6" x14ac:dyDescent="0.25">
      <c r="A106" s="4" t="str">
        <f t="shared" si="14"/>
        <v>1453</v>
      </c>
      <c r="B106" s="4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C106" s="4" t="str">
        <f>"2"</f>
        <v>2</v>
      </c>
      <c r="D106" s="4" t="str">
        <f>"1"</f>
        <v>1</v>
      </c>
      <c r="E106" s="4" t="str">
        <f>"2"</f>
        <v>2</v>
      </c>
      <c r="F106" s="5">
        <v>-1196428358.97</v>
      </c>
    </row>
    <row r="107" spans="1:6" x14ac:dyDescent="0.25">
      <c r="A107" s="4" t="str">
        <f t="shared" si="14"/>
        <v>1453</v>
      </c>
      <c r="B107" s="4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C107" s="4" t="str">
        <f>"1"</f>
        <v>1</v>
      </c>
      <c r="D107" s="4" t="str">
        <f>"1"</f>
        <v>1</v>
      </c>
      <c r="E107" s="4" t="str">
        <f>"1"</f>
        <v>1</v>
      </c>
      <c r="F107" s="5">
        <v>-19526781026.459999</v>
      </c>
    </row>
    <row r="108" spans="1:6" x14ac:dyDescent="0.25">
      <c r="A108" s="4" t="str">
        <f t="shared" si="14"/>
        <v>1453</v>
      </c>
      <c r="B108" s="4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C108" s="4" t="str">
        <f>"2"</f>
        <v>2</v>
      </c>
      <c r="D108" s="4" t="str">
        <f>"3"</f>
        <v>3</v>
      </c>
      <c r="E108" s="4" t="str">
        <f>"2"</f>
        <v>2</v>
      </c>
      <c r="F108" s="5">
        <v>-5332447.82</v>
      </c>
    </row>
    <row r="109" spans="1:6" x14ac:dyDescent="0.25">
      <c r="A109" s="4" t="str">
        <f t="shared" si="14"/>
        <v>1453</v>
      </c>
      <c r="B109" s="4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C109" s="4" t="str">
        <f>"1"</f>
        <v>1</v>
      </c>
      <c r="D109" s="4" t="str">
        <f>"1"</f>
        <v>1</v>
      </c>
      <c r="E109" s="4" t="str">
        <f>"2"</f>
        <v>2</v>
      </c>
      <c r="F109" s="5">
        <v>-15624252.369999999</v>
      </c>
    </row>
    <row r="110" spans="1:6" x14ac:dyDescent="0.25">
      <c r="A110" s="4" t="str">
        <f>"1454"</f>
        <v>1454</v>
      </c>
      <c r="B110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0" s="4" t="str">
        <f>"1"</f>
        <v>1</v>
      </c>
      <c r="D110" s="4" t="str">
        <f>"1"</f>
        <v>1</v>
      </c>
      <c r="E110" s="4" t="str">
        <f>"2"</f>
        <v>2</v>
      </c>
      <c r="F110" s="5">
        <v>669683733.74000001</v>
      </c>
    </row>
    <row r="111" spans="1:6" x14ac:dyDescent="0.25">
      <c r="A111" s="4" t="str">
        <f>"1454"</f>
        <v>1454</v>
      </c>
      <c r="B111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1" s="4" t="str">
        <f>"2"</f>
        <v>2</v>
      </c>
      <c r="D111" s="4" t="str">
        <f>"5"</f>
        <v>5</v>
      </c>
      <c r="E111" s="4" t="str">
        <f>"2"</f>
        <v>2</v>
      </c>
      <c r="F111" s="5">
        <v>472422657.94999999</v>
      </c>
    </row>
    <row r="112" spans="1:6" x14ac:dyDescent="0.25">
      <c r="A112" s="4" t="str">
        <f>"1454"</f>
        <v>1454</v>
      </c>
      <c r="B112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2" s="4" t="str">
        <f>"2"</f>
        <v>2</v>
      </c>
      <c r="D112" s="4" t="str">
        <f>"1"</f>
        <v>1</v>
      </c>
      <c r="E112" s="4" t="str">
        <f>"2"</f>
        <v>2</v>
      </c>
      <c r="F112" s="5">
        <v>102313464.84</v>
      </c>
    </row>
    <row r="113" spans="1:6" x14ac:dyDescent="0.25">
      <c r="A113" s="4" t="str">
        <f>"1454"</f>
        <v>1454</v>
      </c>
      <c r="B113" s="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13" s="4" t="str">
        <f>"1"</f>
        <v>1</v>
      </c>
      <c r="D113" s="4" t="str">
        <f>"1"</f>
        <v>1</v>
      </c>
      <c r="E113" s="4" t="str">
        <f>"1"</f>
        <v>1</v>
      </c>
      <c r="F113" s="5">
        <v>728164590.04999995</v>
      </c>
    </row>
    <row r="114" spans="1:6" x14ac:dyDescent="0.25">
      <c r="A114" s="4" t="str">
        <f t="shared" ref="A114:A120" si="16">"1456"</f>
        <v>1456</v>
      </c>
      <c r="B114" s="4" t="str">
        <f t="shared" ref="B114:B120" si="17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4" s="4" t="str">
        <f>"1"</f>
        <v>1</v>
      </c>
      <c r="D114" s="4" t="str">
        <f>"6"</f>
        <v>6</v>
      </c>
      <c r="E114" s="4" t="str">
        <f t="shared" ref="E114:E119" si="18">"2"</f>
        <v>2</v>
      </c>
      <c r="F114" s="5">
        <v>2312318155.4499998</v>
      </c>
    </row>
    <row r="115" spans="1:6" x14ac:dyDescent="0.25">
      <c r="A115" s="4" t="str">
        <f t="shared" si="16"/>
        <v>1456</v>
      </c>
      <c r="B115" s="4" t="str">
        <f t="shared" si="1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5" s="4" t="str">
        <f>"1"</f>
        <v>1</v>
      </c>
      <c r="D115" s="4" t="str">
        <f>"1"</f>
        <v>1</v>
      </c>
      <c r="E115" s="4" t="str">
        <f t="shared" si="18"/>
        <v>2</v>
      </c>
      <c r="F115" s="5">
        <v>778595236.58000004</v>
      </c>
    </row>
    <row r="116" spans="1:6" x14ac:dyDescent="0.25">
      <c r="A116" s="4" t="str">
        <f t="shared" si="16"/>
        <v>1456</v>
      </c>
      <c r="B116" s="4" t="str">
        <f t="shared" si="1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6" s="4" t="str">
        <f>"2"</f>
        <v>2</v>
      </c>
      <c r="D116" s="4" t="str">
        <f>"4"</f>
        <v>4</v>
      </c>
      <c r="E116" s="4" t="str">
        <f t="shared" si="18"/>
        <v>2</v>
      </c>
      <c r="F116" s="5">
        <v>228140723</v>
      </c>
    </row>
    <row r="117" spans="1:6" x14ac:dyDescent="0.25">
      <c r="A117" s="4" t="str">
        <f t="shared" si="16"/>
        <v>1456</v>
      </c>
      <c r="B117" s="4" t="str">
        <f t="shared" si="1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7" s="4" t="str">
        <f>"2"</f>
        <v>2</v>
      </c>
      <c r="D117" s="4" t="str">
        <f>"1"</f>
        <v>1</v>
      </c>
      <c r="E117" s="4" t="str">
        <f t="shared" si="18"/>
        <v>2</v>
      </c>
      <c r="F117" s="5">
        <v>2093361966.3</v>
      </c>
    </row>
    <row r="118" spans="1:6" x14ac:dyDescent="0.25">
      <c r="A118" s="4" t="str">
        <f t="shared" si="16"/>
        <v>1456</v>
      </c>
      <c r="B118" s="4" t="str">
        <f t="shared" si="1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8" s="4" t="str">
        <f>"2"</f>
        <v>2</v>
      </c>
      <c r="D118" s="4" t="str">
        <f>"5"</f>
        <v>5</v>
      </c>
      <c r="E118" s="4" t="str">
        <f t="shared" si="18"/>
        <v>2</v>
      </c>
      <c r="F118" s="5">
        <v>1762096408.01</v>
      </c>
    </row>
    <row r="119" spans="1:6" x14ac:dyDescent="0.25">
      <c r="A119" s="4" t="str">
        <f t="shared" si="16"/>
        <v>1456</v>
      </c>
      <c r="B119" s="4" t="str">
        <f t="shared" si="1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9" s="4" t="str">
        <f>"2"</f>
        <v>2</v>
      </c>
      <c r="D119" s="4" t="str">
        <f>"3"</f>
        <v>3</v>
      </c>
      <c r="E119" s="4" t="str">
        <f t="shared" si="18"/>
        <v>2</v>
      </c>
      <c r="F119" s="5">
        <v>299065106.08999997</v>
      </c>
    </row>
    <row r="120" spans="1:6" x14ac:dyDescent="0.25">
      <c r="A120" s="4" t="str">
        <f t="shared" si="16"/>
        <v>1456</v>
      </c>
      <c r="B120" s="4" t="str">
        <f t="shared" si="17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20" s="4" t="str">
        <f t="shared" ref="C120:E121" si="19">"1"</f>
        <v>1</v>
      </c>
      <c r="D120" s="4" t="str">
        <f t="shared" si="19"/>
        <v>1</v>
      </c>
      <c r="E120" s="4" t="str">
        <f t="shared" si="19"/>
        <v>1</v>
      </c>
      <c r="F120" s="5">
        <v>36992574614.739998</v>
      </c>
    </row>
    <row r="121" spans="1:6" x14ac:dyDescent="0.25">
      <c r="A121" s="4" t="str">
        <f t="shared" ref="A121:A127" si="20">"1457"</f>
        <v>1457</v>
      </c>
      <c r="B121" s="4" t="str">
        <f t="shared" ref="B121:B127" si="21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1" s="4" t="str">
        <f t="shared" si="19"/>
        <v>1</v>
      </c>
      <c r="D121" s="4" t="str">
        <f t="shared" si="19"/>
        <v>1</v>
      </c>
      <c r="E121" s="4" t="str">
        <f t="shared" si="19"/>
        <v>1</v>
      </c>
      <c r="F121" s="5">
        <v>-30689016220.23</v>
      </c>
    </row>
    <row r="122" spans="1:6" x14ac:dyDescent="0.25">
      <c r="A122" s="4" t="str">
        <f t="shared" si="20"/>
        <v>1457</v>
      </c>
      <c r="B122" s="4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2" s="4" t="str">
        <f>"2"</f>
        <v>2</v>
      </c>
      <c r="D122" s="4" t="str">
        <f>"4"</f>
        <v>4</v>
      </c>
      <c r="E122" s="4" t="str">
        <f t="shared" ref="E122:E128" si="22">"2"</f>
        <v>2</v>
      </c>
      <c r="F122" s="5">
        <v>-577860690.95000005</v>
      </c>
    </row>
    <row r="123" spans="1:6" x14ac:dyDescent="0.25">
      <c r="A123" s="4" t="str">
        <f t="shared" si="20"/>
        <v>1457</v>
      </c>
      <c r="B123" s="4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3" s="4" t="str">
        <f>"2"</f>
        <v>2</v>
      </c>
      <c r="D123" s="4" t="str">
        <f>"1"</f>
        <v>1</v>
      </c>
      <c r="E123" s="4" t="str">
        <f t="shared" si="22"/>
        <v>2</v>
      </c>
      <c r="F123" s="5">
        <v>-2215454664.1700001</v>
      </c>
    </row>
    <row r="124" spans="1:6" x14ac:dyDescent="0.25">
      <c r="A124" s="4" t="str">
        <f t="shared" si="20"/>
        <v>1457</v>
      </c>
      <c r="B124" s="4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4" s="4" t="str">
        <f>"2"</f>
        <v>2</v>
      </c>
      <c r="D124" s="4" t="str">
        <f>"3"</f>
        <v>3</v>
      </c>
      <c r="E124" s="4" t="str">
        <f t="shared" si="22"/>
        <v>2</v>
      </c>
      <c r="F124" s="5">
        <v>-549573714.26999998</v>
      </c>
    </row>
    <row r="125" spans="1:6" x14ac:dyDescent="0.25">
      <c r="A125" s="4" t="str">
        <f t="shared" si="20"/>
        <v>1457</v>
      </c>
      <c r="B125" s="4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5" s="4" t="str">
        <f>"1"</f>
        <v>1</v>
      </c>
      <c r="D125" s="4" t="str">
        <f>"1"</f>
        <v>1</v>
      </c>
      <c r="E125" s="4" t="str">
        <f t="shared" si="22"/>
        <v>2</v>
      </c>
      <c r="F125" s="5">
        <v>-1195196559.03</v>
      </c>
    </row>
    <row r="126" spans="1:6" x14ac:dyDescent="0.25">
      <c r="A126" s="4" t="str">
        <f t="shared" si="20"/>
        <v>1457</v>
      </c>
      <c r="B126" s="4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6" s="4" t="str">
        <f>"1"</f>
        <v>1</v>
      </c>
      <c r="D126" s="4" t="str">
        <f>"6"</f>
        <v>6</v>
      </c>
      <c r="E126" s="4" t="str">
        <f t="shared" si="22"/>
        <v>2</v>
      </c>
      <c r="F126" s="5">
        <v>-3499938089.8899999</v>
      </c>
    </row>
    <row r="127" spans="1:6" x14ac:dyDescent="0.25">
      <c r="A127" s="4" t="str">
        <f t="shared" si="20"/>
        <v>1457</v>
      </c>
      <c r="B127" s="4" t="str">
        <f t="shared" si="21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7" s="4" t="str">
        <f>"2"</f>
        <v>2</v>
      </c>
      <c r="D127" s="4" t="str">
        <f>"5"</f>
        <v>5</v>
      </c>
      <c r="E127" s="4" t="str">
        <f t="shared" si="22"/>
        <v>2</v>
      </c>
      <c r="F127" s="5">
        <v>-4652138259.1199999</v>
      </c>
    </row>
    <row r="128" spans="1:6" x14ac:dyDescent="0.25">
      <c r="A128" s="4" t="str">
        <f>"1459"</f>
        <v>1459</v>
      </c>
      <c r="B128" s="4" t="str">
        <f>"Просроченная задолженность по ценным бумагам, учитываемым по справедливой стоимости через прочий совокупный доход"</f>
        <v>Просроченная задолженность по ценным бумагам, учитываемым по справедливой стоимости через прочий совокупный доход</v>
      </c>
      <c r="C128" s="4" t="str">
        <f>"2"</f>
        <v>2</v>
      </c>
      <c r="D128" s="4" t="str">
        <f>"5"</f>
        <v>5</v>
      </c>
      <c r="E128" s="4" t="str">
        <f t="shared" si="22"/>
        <v>2</v>
      </c>
      <c r="F128" s="5">
        <v>4273318560</v>
      </c>
    </row>
    <row r="129" spans="1:6" x14ac:dyDescent="0.25">
      <c r="A129" s="4" t="str">
        <f>"1471"</f>
        <v>1471</v>
      </c>
      <c r="B129" s="4" t="str">
        <f>"Инвестиции в дочерние организации"</f>
        <v>Инвестиции в дочерние организации</v>
      </c>
      <c r="C129" s="4" t="str">
        <f>"1"</f>
        <v>1</v>
      </c>
      <c r="D129" s="4" t="str">
        <f>"7"</f>
        <v>7</v>
      </c>
      <c r="E129" s="4" t="str">
        <f>"1"</f>
        <v>1</v>
      </c>
      <c r="F129" s="5">
        <v>1536169622.47</v>
      </c>
    </row>
    <row r="130" spans="1:6" x14ac:dyDescent="0.25">
      <c r="A130" s="4" t="str">
        <f>"1474"</f>
        <v>1474</v>
      </c>
      <c r="B130" s="4" t="str">
        <f>"Обесценение инвестиций в дочерние организации"</f>
        <v>Обесценение инвестиций в дочерние организации</v>
      </c>
      <c r="C130" s="4" t="str">
        <f>"1"</f>
        <v>1</v>
      </c>
      <c r="D130" s="4" t="str">
        <f>"7"</f>
        <v>7</v>
      </c>
      <c r="E130" s="4" t="str">
        <f>"1"</f>
        <v>1</v>
      </c>
      <c r="F130" s="5">
        <v>-1536169622.47</v>
      </c>
    </row>
    <row r="131" spans="1:6" x14ac:dyDescent="0.25">
      <c r="A131" s="4" t="str">
        <f t="shared" ref="A131:A137" si="23">"1481"</f>
        <v>1481</v>
      </c>
      <c r="B131" s="4" t="str">
        <f t="shared" ref="B131:B137" si="24">"Ценные бумаги, учитываемые по амортизированной стоимости"</f>
        <v>Ценные бумаги, учитываемые по амортизированной стоимости</v>
      </c>
      <c r="C131" s="4" t="str">
        <f>"1"</f>
        <v>1</v>
      </c>
      <c r="D131" s="4" t="str">
        <f>"6"</f>
        <v>6</v>
      </c>
      <c r="E131" s="4" t="str">
        <f>"2"</f>
        <v>2</v>
      </c>
      <c r="F131" s="5">
        <v>2272800000</v>
      </c>
    </row>
    <row r="132" spans="1:6" x14ac:dyDescent="0.25">
      <c r="A132" s="4" t="str">
        <f t="shared" si="23"/>
        <v>1481</v>
      </c>
      <c r="B132" s="4" t="str">
        <f t="shared" si="24"/>
        <v>Ценные бумаги, учитываемые по амортизированной стоимости</v>
      </c>
      <c r="C132" s="4" t="str">
        <f>"1"</f>
        <v>1</v>
      </c>
      <c r="D132" s="4" t="str">
        <f>"4"</f>
        <v>4</v>
      </c>
      <c r="E132" s="4" t="str">
        <f>"2"</f>
        <v>2</v>
      </c>
      <c r="F132" s="5">
        <v>4545600000</v>
      </c>
    </row>
    <row r="133" spans="1:6" x14ac:dyDescent="0.25">
      <c r="A133" s="4" t="str">
        <f t="shared" si="23"/>
        <v>1481</v>
      </c>
      <c r="B133" s="4" t="str">
        <f t="shared" si="24"/>
        <v>Ценные бумаги, учитываемые по амортизированной стоимости</v>
      </c>
      <c r="C133" s="4" t="str">
        <f>"2"</f>
        <v>2</v>
      </c>
      <c r="D133" s="4" t="str">
        <f>"5"</f>
        <v>5</v>
      </c>
      <c r="E133" s="4" t="str">
        <f>"2"</f>
        <v>2</v>
      </c>
      <c r="F133" s="5">
        <v>454560000</v>
      </c>
    </row>
    <row r="134" spans="1:6" x14ac:dyDescent="0.25">
      <c r="A134" s="4" t="str">
        <f t="shared" si="23"/>
        <v>1481</v>
      </c>
      <c r="B134" s="4" t="str">
        <f t="shared" si="24"/>
        <v>Ценные бумаги, учитываемые по амортизированной стоимости</v>
      </c>
      <c r="C134" s="4" t="str">
        <f>"2"</f>
        <v>2</v>
      </c>
      <c r="D134" s="4" t="str">
        <f>"1"</f>
        <v>1</v>
      </c>
      <c r="E134" s="4" t="str">
        <f>"2"</f>
        <v>2</v>
      </c>
      <c r="F134" s="5">
        <v>50001600000</v>
      </c>
    </row>
    <row r="135" spans="1:6" x14ac:dyDescent="0.25">
      <c r="A135" s="4" t="str">
        <f t="shared" si="23"/>
        <v>1481</v>
      </c>
      <c r="B135" s="4" t="str">
        <f t="shared" si="24"/>
        <v>Ценные бумаги, учитываемые по амортизированной стоимости</v>
      </c>
      <c r="C135" s="4" t="str">
        <f>"1"</f>
        <v>1</v>
      </c>
      <c r="D135" s="4" t="str">
        <f>"1"</f>
        <v>1</v>
      </c>
      <c r="E135" s="4" t="str">
        <f>"1"</f>
        <v>1</v>
      </c>
      <c r="F135" s="5">
        <v>32705932000</v>
      </c>
    </row>
    <row r="136" spans="1:6" x14ac:dyDescent="0.25">
      <c r="A136" s="4" t="str">
        <f t="shared" si="23"/>
        <v>1481</v>
      </c>
      <c r="B136" s="4" t="str">
        <f t="shared" si="24"/>
        <v>Ценные бумаги, учитываемые по амортизированной стоимости</v>
      </c>
      <c r="C136" s="4" t="str">
        <f>"1"</f>
        <v>1</v>
      </c>
      <c r="D136" s="4" t="str">
        <f>"1"</f>
        <v>1</v>
      </c>
      <c r="E136" s="4" t="str">
        <f>"2"</f>
        <v>2</v>
      </c>
      <c r="F136" s="5">
        <v>67554888960</v>
      </c>
    </row>
    <row r="137" spans="1:6" x14ac:dyDescent="0.25">
      <c r="A137" s="4" t="str">
        <f t="shared" si="23"/>
        <v>1481</v>
      </c>
      <c r="B137" s="4" t="str">
        <f t="shared" si="24"/>
        <v>Ценные бумаги, учитываемые по амортизированной стоимости</v>
      </c>
      <c r="C137" s="4" t="str">
        <f>"2"</f>
        <v>2</v>
      </c>
      <c r="D137" s="4" t="str">
        <f>"4"</f>
        <v>4</v>
      </c>
      <c r="E137" s="4" t="str">
        <f>"2"</f>
        <v>2</v>
      </c>
      <c r="F137" s="5">
        <v>3168283200</v>
      </c>
    </row>
    <row r="138" spans="1:6" x14ac:dyDescent="0.25">
      <c r="A138" s="4" t="str">
        <f>"1482"</f>
        <v>1482</v>
      </c>
      <c r="B138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8" s="4" t="str">
        <f>"1"</f>
        <v>1</v>
      </c>
      <c r="D138" s="4" t="str">
        <f>"1"</f>
        <v>1</v>
      </c>
      <c r="E138" s="4" t="str">
        <f>"1"</f>
        <v>1</v>
      </c>
      <c r="F138" s="5">
        <v>-634439158.01999998</v>
      </c>
    </row>
    <row r="139" spans="1:6" x14ac:dyDescent="0.25">
      <c r="A139" s="4" t="str">
        <f>"1482"</f>
        <v>1482</v>
      </c>
      <c r="B139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9" s="4" t="str">
        <f>"2"</f>
        <v>2</v>
      </c>
      <c r="D139" s="4" t="str">
        <f>"4"</f>
        <v>4</v>
      </c>
      <c r="E139" s="4" t="str">
        <f t="shared" ref="E139:E144" si="25">"2"</f>
        <v>2</v>
      </c>
      <c r="F139" s="5">
        <v>-42098833.479999997</v>
      </c>
    </row>
    <row r="140" spans="1:6" x14ac:dyDescent="0.25">
      <c r="A140" s="4" t="str">
        <f>"1482"</f>
        <v>1482</v>
      </c>
      <c r="B140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40" s="4" t="str">
        <f>"1"</f>
        <v>1</v>
      </c>
      <c r="D140" s="4" t="str">
        <f>"4"</f>
        <v>4</v>
      </c>
      <c r="E140" s="4" t="str">
        <f t="shared" si="25"/>
        <v>2</v>
      </c>
      <c r="F140" s="5">
        <v>-9534600.5500000007</v>
      </c>
    </row>
    <row r="141" spans="1:6" x14ac:dyDescent="0.25">
      <c r="A141" s="4" t="str">
        <f>"1482"</f>
        <v>1482</v>
      </c>
      <c r="B141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41" s="4" t="str">
        <f>"2"</f>
        <v>2</v>
      </c>
      <c r="D141" s="4" t="str">
        <f>"1"</f>
        <v>1</v>
      </c>
      <c r="E141" s="4" t="str">
        <f t="shared" si="25"/>
        <v>2</v>
      </c>
      <c r="F141" s="5">
        <v>-164875362.21000001</v>
      </c>
    </row>
    <row r="142" spans="1:6" x14ac:dyDescent="0.25">
      <c r="A142" s="4" t="str">
        <f>"1482"</f>
        <v>1482</v>
      </c>
      <c r="B142" s="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42" s="4" t="str">
        <f>"1"</f>
        <v>1</v>
      </c>
      <c r="D142" s="4" t="str">
        <f>"1"</f>
        <v>1</v>
      </c>
      <c r="E142" s="4" t="str">
        <f t="shared" si="25"/>
        <v>2</v>
      </c>
      <c r="F142" s="5">
        <v>-63296070.859999999</v>
      </c>
    </row>
    <row r="143" spans="1:6" x14ac:dyDescent="0.25">
      <c r="A143" s="4" t="str">
        <f t="shared" ref="A143:A148" si="26">"1483"</f>
        <v>1483</v>
      </c>
      <c r="B143" s="4" t="str">
        <f t="shared" ref="B143:B148" si="27"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143" s="4" t="str">
        <f>"2"</f>
        <v>2</v>
      </c>
      <c r="D143" s="4" t="str">
        <f>"1"</f>
        <v>1</v>
      </c>
      <c r="E143" s="4" t="str">
        <f t="shared" si="25"/>
        <v>2</v>
      </c>
      <c r="F143" s="5">
        <v>82919748.799999997</v>
      </c>
    </row>
    <row r="144" spans="1:6" x14ac:dyDescent="0.25">
      <c r="A144" s="4" t="str">
        <f t="shared" si="26"/>
        <v>1483</v>
      </c>
      <c r="B144" s="4" t="str">
        <f t="shared" si="27"/>
        <v>Премия по ценным бумагам, учитываемым по амортизированной стоимости</v>
      </c>
      <c r="C144" s="4" t="str">
        <f>"2"</f>
        <v>2</v>
      </c>
      <c r="D144" s="4" t="str">
        <f>"5"</f>
        <v>5</v>
      </c>
      <c r="E144" s="4" t="str">
        <f t="shared" si="25"/>
        <v>2</v>
      </c>
      <c r="F144" s="5">
        <v>34424887.920000002</v>
      </c>
    </row>
    <row r="145" spans="1:6" x14ac:dyDescent="0.25">
      <c r="A145" s="4" t="str">
        <f t="shared" si="26"/>
        <v>1483</v>
      </c>
      <c r="B145" s="4" t="str">
        <f t="shared" si="27"/>
        <v>Премия по ценным бумагам, учитываемым по амортизированной стоимости</v>
      </c>
      <c r="C145" s="4" t="str">
        <f>"1"</f>
        <v>1</v>
      </c>
      <c r="D145" s="4" t="str">
        <f>"1"</f>
        <v>1</v>
      </c>
      <c r="E145" s="4" t="str">
        <f>"1"</f>
        <v>1</v>
      </c>
      <c r="F145" s="5">
        <v>55501929.549999997</v>
      </c>
    </row>
    <row r="146" spans="1:6" x14ac:dyDescent="0.25">
      <c r="A146" s="4" t="str">
        <f t="shared" si="26"/>
        <v>1483</v>
      </c>
      <c r="B146" s="4" t="str">
        <f t="shared" si="27"/>
        <v>Премия по ценным бумагам, учитываемым по амортизированной стоимости</v>
      </c>
      <c r="C146" s="4" t="str">
        <f>"1"</f>
        <v>1</v>
      </c>
      <c r="D146" s="4" t="str">
        <f>"6"</f>
        <v>6</v>
      </c>
      <c r="E146" s="4" t="str">
        <f t="shared" ref="E146:E153" si="28">"2"</f>
        <v>2</v>
      </c>
      <c r="F146" s="5">
        <v>38204958.880000003</v>
      </c>
    </row>
    <row r="147" spans="1:6" x14ac:dyDescent="0.25">
      <c r="A147" s="4" t="str">
        <f t="shared" si="26"/>
        <v>1483</v>
      </c>
      <c r="B147" s="4" t="str">
        <f t="shared" si="27"/>
        <v>Премия по ценным бумагам, учитываемым по амортизированной стоимости</v>
      </c>
      <c r="C147" s="4" t="str">
        <f>"1"</f>
        <v>1</v>
      </c>
      <c r="D147" s="4" t="str">
        <f>"1"</f>
        <v>1</v>
      </c>
      <c r="E147" s="4" t="str">
        <f t="shared" si="28"/>
        <v>2</v>
      </c>
      <c r="F147" s="5">
        <v>1464380372.3099999</v>
      </c>
    </row>
    <row r="148" spans="1:6" x14ac:dyDescent="0.25">
      <c r="A148" s="4" t="str">
        <f t="shared" si="26"/>
        <v>1483</v>
      </c>
      <c r="B148" s="4" t="str">
        <f t="shared" si="27"/>
        <v>Премия по ценным бумагам, учитываемым по амортизированной стоимости</v>
      </c>
      <c r="C148" s="4" t="str">
        <f>"1"</f>
        <v>1</v>
      </c>
      <c r="D148" s="4" t="str">
        <f>"4"</f>
        <v>4</v>
      </c>
      <c r="E148" s="4" t="str">
        <f t="shared" si="28"/>
        <v>2</v>
      </c>
      <c r="F148" s="5">
        <v>75267063.010000005</v>
      </c>
    </row>
    <row r="149" spans="1:6" x14ac:dyDescent="0.25">
      <c r="A149" s="4" t="str">
        <f>"1485"</f>
        <v>1485</v>
      </c>
      <c r="B149" s="4" t="str">
        <f>"Просроченная задолженность по ценным бумагам, учитываемым по амортизированной стоимости"</f>
        <v>Просроченная задолженность по ценным бумагам, учитываемым по амортизированной стоимости</v>
      </c>
      <c r="C149" s="4" t="str">
        <f>"2"</f>
        <v>2</v>
      </c>
      <c r="D149" s="4" t="str">
        <f>"5"</f>
        <v>5</v>
      </c>
      <c r="E149" s="4" t="str">
        <f t="shared" si="28"/>
        <v>2</v>
      </c>
      <c r="F149" s="5">
        <v>9227568000</v>
      </c>
    </row>
    <row r="150" spans="1:6" x14ac:dyDescent="0.25">
      <c r="A150" s="4" t="str">
        <f>"1486"</f>
        <v>1486</v>
      </c>
      <c r="B150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0" s="4" t="str">
        <f>"1"</f>
        <v>1</v>
      </c>
      <c r="D150" s="4" t="str">
        <f>"6"</f>
        <v>6</v>
      </c>
      <c r="E150" s="4" t="str">
        <f t="shared" si="28"/>
        <v>2</v>
      </c>
      <c r="F150" s="5">
        <v>-3505453.08</v>
      </c>
    </row>
    <row r="151" spans="1:6" x14ac:dyDescent="0.25">
      <c r="A151" s="4" t="str">
        <f>"1486"</f>
        <v>1486</v>
      </c>
      <c r="B151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1" s="4" t="str">
        <f>"2"</f>
        <v>2</v>
      </c>
      <c r="D151" s="4" t="str">
        <f>"5"</f>
        <v>5</v>
      </c>
      <c r="E151" s="4" t="str">
        <f t="shared" si="28"/>
        <v>2</v>
      </c>
      <c r="F151" s="5">
        <v>-10483078679.6</v>
      </c>
    </row>
    <row r="152" spans="1:6" x14ac:dyDescent="0.25">
      <c r="A152" s="4" t="str">
        <f>"1486"</f>
        <v>1486</v>
      </c>
      <c r="B152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2" s="4" t="str">
        <f>"1"</f>
        <v>1</v>
      </c>
      <c r="D152" s="4" t="str">
        <f>"4"</f>
        <v>4</v>
      </c>
      <c r="E152" s="4" t="str">
        <f t="shared" si="28"/>
        <v>2</v>
      </c>
      <c r="F152" s="5">
        <v>-6880956.5499999998</v>
      </c>
    </row>
    <row r="153" spans="1:6" x14ac:dyDescent="0.25">
      <c r="A153" s="4" t="str">
        <f>"1486"</f>
        <v>1486</v>
      </c>
      <c r="B153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53" s="4" t="str">
        <f>"2"</f>
        <v>2</v>
      </c>
      <c r="D153" s="4" t="str">
        <f>"4"</f>
        <v>4</v>
      </c>
      <c r="E153" s="4" t="str">
        <f t="shared" si="28"/>
        <v>2</v>
      </c>
      <c r="F153" s="5">
        <v>-3333847729.71</v>
      </c>
    </row>
    <row r="154" spans="1:6" x14ac:dyDescent="0.25">
      <c r="A154" s="4" t="str">
        <f>"1491"</f>
        <v>1491</v>
      </c>
      <c r="B154" s="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C154" s="4" t="str">
        <f>"1"</f>
        <v>1</v>
      </c>
      <c r="D154" s="4" t="str">
        <f>"9"</f>
        <v>9</v>
      </c>
      <c r="E154" s="4" t="str">
        <f>"1"</f>
        <v>1</v>
      </c>
      <c r="F154" s="5">
        <v>164829000</v>
      </c>
    </row>
    <row r="155" spans="1:6" x14ac:dyDescent="0.25">
      <c r="A155" s="4" t="str">
        <f>"1492"</f>
        <v>1492</v>
      </c>
      <c r="B155" s="4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C155" s="4" t="str">
        <f>"1"</f>
        <v>1</v>
      </c>
      <c r="D155" s="4" t="str">
        <f>"9"</f>
        <v>9</v>
      </c>
      <c r="E155" s="4" t="str">
        <f>"1"</f>
        <v>1</v>
      </c>
      <c r="F155" s="5">
        <v>-39210038.109999999</v>
      </c>
    </row>
    <row r="156" spans="1:6" x14ac:dyDescent="0.25">
      <c r="A156" s="4" t="str">
        <f>"1551"</f>
        <v>1551</v>
      </c>
      <c r="B156" s="4" t="str">
        <f>"Расчеты с другими банками"</f>
        <v>Расчеты с другими банками</v>
      </c>
      <c r="C156" s="4" t="str">
        <f>"1"</f>
        <v>1</v>
      </c>
      <c r="D156" s="4" t="str">
        <f>"4"</f>
        <v>4</v>
      </c>
      <c r="E156" s="4" t="str">
        <f>"1"</f>
        <v>1</v>
      </c>
      <c r="F156" s="5">
        <v>7021419.0099999998</v>
      </c>
    </row>
    <row r="157" spans="1:6" x14ac:dyDescent="0.25">
      <c r="A157" s="4" t="str">
        <f>"1552"</f>
        <v>1552</v>
      </c>
      <c r="B157" s="4" t="str">
        <f>"Расчеты с клиентами"</f>
        <v>Расчеты с клиентами</v>
      </c>
      <c r="C157" s="4" t="str">
        <f>"1"</f>
        <v>1</v>
      </c>
      <c r="D157" s="4" t="str">
        <f>"6"</f>
        <v>6</v>
      </c>
      <c r="E157" s="4" t="str">
        <f>"1"</f>
        <v>1</v>
      </c>
      <c r="F157" s="5">
        <v>6023341.5</v>
      </c>
    </row>
    <row r="158" spans="1:6" x14ac:dyDescent="0.25">
      <c r="A158" s="4" t="str">
        <f>"1602"</f>
        <v>1602</v>
      </c>
      <c r="B158" s="4" t="str">
        <f>"Прочие запасы"</f>
        <v>Прочие запасы</v>
      </c>
      <c r="C158" s="6">
        <v>0</v>
      </c>
      <c r="D158" s="6">
        <v>0</v>
      </c>
      <c r="E158" s="6">
        <v>0</v>
      </c>
      <c r="F158" s="5">
        <v>303078411.82999998</v>
      </c>
    </row>
    <row r="159" spans="1:6" x14ac:dyDescent="0.25">
      <c r="A159" s="4" t="str">
        <f>"1603"</f>
        <v>1603</v>
      </c>
      <c r="B159" s="4" t="str">
        <f>"Монеты, изготовленные из драгоценных металлов, на складе"</f>
        <v>Монеты, изготовленные из драгоценных металлов, на складе</v>
      </c>
      <c r="C159" s="4" t="str">
        <f>"2"</f>
        <v>2</v>
      </c>
      <c r="D159" s="6">
        <v>0</v>
      </c>
      <c r="E159" s="6">
        <v>0</v>
      </c>
      <c r="F159" s="5">
        <v>1237417.53</v>
      </c>
    </row>
    <row r="160" spans="1:6" x14ac:dyDescent="0.25">
      <c r="A160" s="4" t="str">
        <f>"1604"</f>
        <v>1604</v>
      </c>
      <c r="B160" s="4" t="str">
        <f>"Коллекционные монеты, изготовленные из недрагоценных металлов, на складе"</f>
        <v>Коллекционные монеты, изготовленные из недрагоценных металлов, на складе</v>
      </c>
      <c r="C160" s="4" t="str">
        <f>"2"</f>
        <v>2</v>
      </c>
      <c r="D160" s="6">
        <v>0</v>
      </c>
      <c r="E160" s="6">
        <v>0</v>
      </c>
      <c r="F160" s="5">
        <v>101534.55</v>
      </c>
    </row>
    <row r="161" spans="1:6" x14ac:dyDescent="0.25">
      <c r="A161" s="4" t="str">
        <f>"1610"</f>
        <v>1610</v>
      </c>
      <c r="B161" s="4" t="str">
        <f>"Долгосрочные активы, предназначенные для продажи"</f>
        <v>Долгосрочные активы, предназначенные для продажи</v>
      </c>
      <c r="C161" s="6">
        <v>0</v>
      </c>
      <c r="D161" s="6">
        <v>0</v>
      </c>
      <c r="E161" s="6">
        <v>0</v>
      </c>
      <c r="F161" s="5">
        <v>12364488176.67</v>
      </c>
    </row>
    <row r="162" spans="1:6" x14ac:dyDescent="0.25">
      <c r="A162" s="4" t="str">
        <f>"1651"</f>
        <v>1651</v>
      </c>
      <c r="B162" s="4" t="str">
        <f>"Строящиеся (устанавливаемые) основные средства"</f>
        <v>Строящиеся (устанавливаемые) основные средства</v>
      </c>
      <c r="C162" s="6">
        <v>0</v>
      </c>
      <c r="D162" s="6">
        <v>0</v>
      </c>
      <c r="E162" s="6">
        <v>0</v>
      </c>
      <c r="F162" s="5">
        <v>475000</v>
      </c>
    </row>
    <row r="163" spans="1:6" x14ac:dyDescent="0.25">
      <c r="A163" s="4" t="str">
        <f>"1652"</f>
        <v>1652</v>
      </c>
      <c r="B163" s="4" t="str">
        <f>"Земля, здания и сооружения"</f>
        <v>Земля, здания и сооружения</v>
      </c>
      <c r="C163" s="6">
        <v>0</v>
      </c>
      <c r="D163" s="6">
        <v>0</v>
      </c>
      <c r="E163" s="6">
        <v>0</v>
      </c>
      <c r="F163" s="5">
        <v>11727789405.780001</v>
      </c>
    </row>
    <row r="164" spans="1:6" x14ac:dyDescent="0.25">
      <c r="A164" s="4" t="str">
        <f>"1653"</f>
        <v>1653</v>
      </c>
      <c r="B164" s="4" t="str">
        <f>"Компьютерное оборудование"</f>
        <v>Компьютерное оборудование</v>
      </c>
      <c r="C164" s="6">
        <v>0</v>
      </c>
      <c r="D164" s="6">
        <v>0</v>
      </c>
      <c r="E164" s="6">
        <v>0</v>
      </c>
      <c r="F164" s="5">
        <v>7008334534.3299999</v>
      </c>
    </row>
    <row r="165" spans="1:6" x14ac:dyDescent="0.25">
      <c r="A165" s="4" t="str">
        <f>"1654"</f>
        <v>1654</v>
      </c>
      <c r="B165" s="4" t="str">
        <f>"Прочие основные средства"</f>
        <v>Прочие основные средства</v>
      </c>
      <c r="C165" s="6">
        <v>0</v>
      </c>
      <c r="D165" s="6">
        <v>0</v>
      </c>
      <c r="E165" s="6">
        <v>0</v>
      </c>
      <c r="F165" s="5">
        <v>13984201430.440001</v>
      </c>
    </row>
    <row r="166" spans="1:6" x14ac:dyDescent="0.25">
      <c r="A166" s="4" t="str">
        <f>"1655"</f>
        <v>1655</v>
      </c>
      <c r="B166" s="4" t="str">
        <f>"Активы в форме права пользования"</f>
        <v>Активы в форме права пользования</v>
      </c>
      <c r="C166" s="6">
        <v>0</v>
      </c>
      <c r="D166" s="6">
        <v>0</v>
      </c>
      <c r="E166" s="6">
        <v>0</v>
      </c>
      <c r="F166" s="5">
        <v>5398625002.0699997</v>
      </c>
    </row>
    <row r="167" spans="1:6" x14ac:dyDescent="0.25">
      <c r="A167" s="4" t="str">
        <f>"1657"</f>
        <v>1657</v>
      </c>
      <c r="B167" s="4" t="str">
        <f>"Капитальные затраты по активам в форме права пользования"</f>
        <v>Капитальные затраты по активам в форме права пользования</v>
      </c>
      <c r="C167" s="6">
        <v>0</v>
      </c>
      <c r="D167" s="6">
        <v>0</v>
      </c>
      <c r="E167" s="6">
        <v>0</v>
      </c>
      <c r="F167" s="5">
        <v>785468360.02999997</v>
      </c>
    </row>
    <row r="168" spans="1:6" x14ac:dyDescent="0.25">
      <c r="A168" s="4" t="str">
        <f>"1658"</f>
        <v>1658</v>
      </c>
      <c r="B168" s="4" t="str">
        <f>"Транспортные средства"</f>
        <v>Транспортные средства</v>
      </c>
      <c r="C168" s="6">
        <v>0</v>
      </c>
      <c r="D168" s="6">
        <v>0</v>
      </c>
      <c r="E168" s="6">
        <v>0</v>
      </c>
      <c r="F168" s="5">
        <v>1352925090.1700001</v>
      </c>
    </row>
    <row r="169" spans="1:6" x14ac:dyDescent="0.25">
      <c r="A169" s="4" t="str">
        <f>"1659"</f>
        <v>1659</v>
      </c>
      <c r="B169" s="4" t="str">
        <f>"Нематериальные активы"</f>
        <v>Нематериальные активы</v>
      </c>
      <c r="C169" s="6">
        <v>0</v>
      </c>
      <c r="D169" s="6">
        <v>0</v>
      </c>
      <c r="E169" s="6">
        <v>0</v>
      </c>
      <c r="F169" s="5">
        <v>25141399059.84</v>
      </c>
    </row>
    <row r="170" spans="1:6" x14ac:dyDescent="0.25">
      <c r="A170" s="4" t="str">
        <f>"1692"</f>
        <v>1692</v>
      </c>
      <c r="B170" s="4" t="str">
        <f>"Начисленная амортизация по зданиям и сооружениям"</f>
        <v>Начисленная амортизация по зданиям и сооружениям</v>
      </c>
      <c r="C170" s="6">
        <v>0</v>
      </c>
      <c r="D170" s="6">
        <v>0</v>
      </c>
      <c r="E170" s="6">
        <v>0</v>
      </c>
      <c r="F170" s="5">
        <v>-2861618256</v>
      </c>
    </row>
    <row r="171" spans="1:6" x14ac:dyDescent="0.25">
      <c r="A171" s="4" t="str">
        <f>"1693"</f>
        <v>1693</v>
      </c>
      <c r="B171" s="4" t="str">
        <f>"Начисленная амортизация по компьютерному оборудованию"</f>
        <v>Начисленная амортизация по компьютерному оборудованию</v>
      </c>
      <c r="C171" s="6">
        <v>0</v>
      </c>
      <c r="D171" s="6">
        <v>0</v>
      </c>
      <c r="E171" s="6">
        <v>0</v>
      </c>
      <c r="F171" s="5">
        <v>-3939170902.1399999</v>
      </c>
    </row>
    <row r="172" spans="1:6" x14ac:dyDescent="0.25">
      <c r="A172" s="4" t="str">
        <f>"1694"</f>
        <v>1694</v>
      </c>
      <c r="B172" s="4" t="str">
        <f>"Начисленная амортизация по прочим основным средствам"</f>
        <v>Начисленная амортизация по прочим основным средствам</v>
      </c>
      <c r="C172" s="6">
        <v>0</v>
      </c>
      <c r="D172" s="6">
        <v>0</v>
      </c>
      <c r="E172" s="6">
        <v>0</v>
      </c>
      <c r="F172" s="5">
        <v>-9165238307.5799999</v>
      </c>
    </row>
    <row r="173" spans="1:6" x14ac:dyDescent="0.25">
      <c r="A173" s="4" t="str">
        <f>"1695"</f>
        <v>1695</v>
      </c>
      <c r="B173" s="4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C173" s="6">
        <v>0</v>
      </c>
      <c r="D173" s="6">
        <v>0</v>
      </c>
      <c r="E173" s="6">
        <v>0</v>
      </c>
      <c r="F173" s="5">
        <v>-3281775596.8699999</v>
      </c>
    </row>
    <row r="174" spans="1:6" x14ac:dyDescent="0.25">
      <c r="A174" s="4" t="str">
        <f>"1697"</f>
        <v>1697</v>
      </c>
      <c r="B174" s="4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C174" s="6">
        <v>0</v>
      </c>
      <c r="D174" s="6">
        <v>0</v>
      </c>
      <c r="E174" s="6">
        <v>0</v>
      </c>
      <c r="F174" s="5">
        <v>-785223768.02999997</v>
      </c>
    </row>
    <row r="175" spans="1:6" x14ac:dyDescent="0.25">
      <c r="A175" s="4" t="str">
        <f>"1698"</f>
        <v>1698</v>
      </c>
      <c r="B175" s="4" t="str">
        <f>"Начисленная амортизация по транспортным средствам"</f>
        <v>Начисленная амортизация по транспортным средствам</v>
      </c>
      <c r="C175" s="6">
        <v>0</v>
      </c>
      <c r="D175" s="6">
        <v>0</v>
      </c>
      <c r="E175" s="6">
        <v>0</v>
      </c>
      <c r="F175" s="5">
        <v>-576402740.58000004</v>
      </c>
    </row>
    <row r="176" spans="1:6" x14ac:dyDescent="0.25">
      <c r="A176" s="4" t="str">
        <f>"1699"</f>
        <v>1699</v>
      </c>
      <c r="B176" s="4" t="str">
        <f>"Начисленная амортизация по нематериальным активам"</f>
        <v>Начисленная амортизация по нематериальным активам</v>
      </c>
      <c r="C176" s="6">
        <v>0</v>
      </c>
      <c r="D176" s="6">
        <v>0</v>
      </c>
      <c r="E176" s="6">
        <v>0</v>
      </c>
      <c r="F176" s="5">
        <v>-16160851037.68</v>
      </c>
    </row>
    <row r="177" spans="1:6" x14ac:dyDescent="0.25">
      <c r="A177" s="4" t="str">
        <f>"1710"</f>
        <v>1710</v>
      </c>
      <c r="B177" s="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177" s="4" t="str">
        <f>"1"</f>
        <v>1</v>
      </c>
      <c r="D177" s="4" t="str">
        <f>"3"</f>
        <v>3</v>
      </c>
      <c r="E177" s="4" t="str">
        <f>"2"</f>
        <v>2</v>
      </c>
      <c r="F177" s="5">
        <v>2058327655.28</v>
      </c>
    </row>
    <row r="178" spans="1:6" x14ac:dyDescent="0.25">
      <c r="A178" s="4" t="str">
        <f>"1710"</f>
        <v>1710</v>
      </c>
      <c r="B178" s="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178" s="4" t="str">
        <f>"1"</f>
        <v>1</v>
      </c>
      <c r="D178" s="4" t="str">
        <f>"3"</f>
        <v>3</v>
      </c>
      <c r="E178" s="4" t="str">
        <f>"1"</f>
        <v>1</v>
      </c>
      <c r="F178" s="5">
        <v>6555555.5599999996</v>
      </c>
    </row>
    <row r="179" spans="1:6" x14ac:dyDescent="0.25">
      <c r="A179" s="4" t="str">
        <f>"1725"</f>
        <v>1725</v>
      </c>
      <c r="B179" s="4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C179" s="4" t="str">
        <f>"1"</f>
        <v>1</v>
      </c>
      <c r="D179" s="4" t="str">
        <f>"4"</f>
        <v>4</v>
      </c>
      <c r="E179" s="4" t="str">
        <f>"2"</f>
        <v>2</v>
      </c>
      <c r="F179" s="5">
        <v>410366654.04000002</v>
      </c>
    </row>
    <row r="180" spans="1:6" x14ac:dyDescent="0.25">
      <c r="A180" s="4" t="str">
        <f>"1730"</f>
        <v>1730</v>
      </c>
      <c r="B180" s="4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C180" s="4" t="str">
        <f>"2"</f>
        <v>2</v>
      </c>
      <c r="D180" s="4" t="str">
        <f>"4"</f>
        <v>4</v>
      </c>
      <c r="E180" s="4" t="str">
        <f>"2"</f>
        <v>2</v>
      </c>
      <c r="F180" s="5">
        <v>8906553.1899999995</v>
      </c>
    </row>
    <row r="181" spans="1:6" x14ac:dyDescent="0.25">
      <c r="A181" s="4" t="str">
        <f>"1731"</f>
        <v>1731</v>
      </c>
      <c r="B181" s="4" t="str">
        <f>"Просроченное вознаграждение по займам и финансовому лизингу, предоставленным другим банкам"</f>
        <v>Просроченное вознаграждение по займам и финансовому лизингу, предоставленным другим банкам</v>
      </c>
      <c r="C181" s="4" t="str">
        <f>"2"</f>
        <v>2</v>
      </c>
      <c r="D181" s="4" t="str">
        <f>"4"</f>
        <v>4</v>
      </c>
      <c r="E181" s="4" t="str">
        <f>"2"</f>
        <v>2</v>
      </c>
      <c r="F181" s="5">
        <v>10488403.800000001</v>
      </c>
    </row>
    <row r="182" spans="1:6" x14ac:dyDescent="0.25">
      <c r="A182" s="4" t="str">
        <f t="shared" ref="A182:A193" si="29">"1740"</f>
        <v>1740</v>
      </c>
      <c r="B182" s="4" t="str">
        <f t="shared" ref="B182:B193" si="30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182" s="4" t="str">
        <f>"1"</f>
        <v>1</v>
      </c>
      <c r="D182" s="4" t="str">
        <f>"6"</f>
        <v>6</v>
      </c>
      <c r="E182" s="4" t="str">
        <f>"1"</f>
        <v>1</v>
      </c>
      <c r="F182" s="5">
        <v>20208333.34</v>
      </c>
    </row>
    <row r="183" spans="1:6" x14ac:dyDescent="0.25">
      <c r="A183" s="4" t="str">
        <f t="shared" si="29"/>
        <v>1740</v>
      </c>
      <c r="B183" s="4" t="str">
        <f t="shared" si="30"/>
        <v>Начисленные доходы по займам и финансовому лизингу, предоставленным клиентам</v>
      </c>
      <c r="C183" s="4" t="str">
        <f>"1"</f>
        <v>1</v>
      </c>
      <c r="D183" s="4" t="str">
        <f>"9"</f>
        <v>9</v>
      </c>
      <c r="E183" s="4" t="str">
        <f>"2"</f>
        <v>2</v>
      </c>
      <c r="F183" s="5">
        <v>1586771.83</v>
      </c>
    </row>
    <row r="184" spans="1:6" x14ac:dyDescent="0.25">
      <c r="A184" s="4" t="str">
        <f t="shared" si="29"/>
        <v>1740</v>
      </c>
      <c r="B184" s="4" t="str">
        <f t="shared" si="30"/>
        <v>Начисленные доходы по займам и финансовому лизингу, предоставленным клиентам</v>
      </c>
      <c r="C184" s="4" t="str">
        <f>"2"</f>
        <v>2</v>
      </c>
      <c r="D184" s="4" t="str">
        <f>"9"</f>
        <v>9</v>
      </c>
      <c r="E184" s="4" t="str">
        <f>"1"</f>
        <v>1</v>
      </c>
      <c r="F184" s="5">
        <v>52261.18</v>
      </c>
    </row>
    <row r="185" spans="1:6" x14ac:dyDescent="0.25">
      <c r="A185" s="4" t="str">
        <f t="shared" si="29"/>
        <v>1740</v>
      </c>
      <c r="B185" s="4" t="str">
        <f t="shared" si="30"/>
        <v>Начисленные доходы по займам и финансовому лизингу, предоставленным клиентам</v>
      </c>
      <c r="C185" s="4" t="str">
        <f>"2"</f>
        <v>2</v>
      </c>
      <c r="D185" s="4" t="str">
        <f>"9"</f>
        <v>9</v>
      </c>
      <c r="E185" s="4" t="str">
        <f>"2"</f>
        <v>2</v>
      </c>
      <c r="F185" s="5">
        <v>16906900.09</v>
      </c>
    </row>
    <row r="186" spans="1:6" x14ac:dyDescent="0.25">
      <c r="A186" s="4" t="str">
        <f t="shared" si="29"/>
        <v>1740</v>
      </c>
      <c r="B186" s="4" t="str">
        <f t="shared" si="30"/>
        <v>Начисленные доходы по займам и финансовому лизингу, предоставленным клиентам</v>
      </c>
      <c r="C186" s="4" t="str">
        <f>"1"</f>
        <v>1</v>
      </c>
      <c r="D186" s="4" t="str">
        <f>"7"</f>
        <v>7</v>
      </c>
      <c r="E186" s="4" t="str">
        <f>"1"</f>
        <v>1</v>
      </c>
      <c r="F186" s="5">
        <v>8949498407.3400002</v>
      </c>
    </row>
    <row r="187" spans="1:6" x14ac:dyDescent="0.25">
      <c r="A187" s="4" t="str">
        <f t="shared" si="29"/>
        <v>1740</v>
      </c>
      <c r="B187" s="4" t="str">
        <f t="shared" si="30"/>
        <v>Начисленные доходы по займам и финансовому лизингу, предоставленным клиентам</v>
      </c>
      <c r="C187" s="4" t="str">
        <f>"2"</f>
        <v>2</v>
      </c>
      <c r="D187" s="4" t="str">
        <f>"7"</f>
        <v>7</v>
      </c>
      <c r="E187" s="4" t="str">
        <f>"3"</f>
        <v>3</v>
      </c>
      <c r="F187" s="5">
        <v>3037142.3</v>
      </c>
    </row>
    <row r="188" spans="1:6" x14ac:dyDescent="0.25">
      <c r="A188" s="4" t="str">
        <f t="shared" si="29"/>
        <v>1740</v>
      </c>
      <c r="B188" s="4" t="str">
        <f t="shared" si="30"/>
        <v>Начисленные доходы по займам и финансовому лизингу, предоставленным клиентам</v>
      </c>
      <c r="C188" s="4" t="str">
        <f>"1"</f>
        <v>1</v>
      </c>
      <c r="D188" s="4" t="str">
        <f>"5"</f>
        <v>5</v>
      </c>
      <c r="E188" s="4" t="str">
        <f>"2"</f>
        <v>2</v>
      </c>
      <c r="F188" s="5">
        <v>23492965.379999999</v>
      </c>
    </row>
    <row r="189" spans="1:6" x14ac:dyDescent="0.25">
      <c r="A189" s="4" t="str">
        <f t="shared" si="29"/>
        <v>1740</v>
      </c>
      <c r="B189" s="4" t="str">
        <f t="shared" si="30"/>
        <v>Начисленные доходы по займам и финансовому лизингу, предоставленным клиентам</v>
      </c>
      <c r="C189" s="4" t="str">
        <f>"1"</f>
        <v>1</v>
      </c>
      <c r="D189" s="4" t="str">
        <f>"9"</f>
        <v>9</v>
      </c>
      <c r="E189" s="4" t="str">
        <f>"1"</f>
        <v>1</v>
      </c>
      <c r="F189" s="5">
        <v>21934710907.200001</v>
      </c>
    </row>
    <row r="190" spans="1:6" x14ac:dyDescent="0.25">
      <c r="A190" s="4" t="str">
        <f t="shared" si="29"/>
        <v>1740</v>
      </c>
      <c r="B190" s="4" t="str">
        <f t="shared" si="30"/>
        <v>Начисленные доходы по займам и финансовому лизингу, предоставленным клиентам</v>
      </c>
      <c r="C190" s="4" t="str">
        <f>"1"</f>
        <v>1</v>
      </c>
      <c r="D190" s="4" t="str">
        <f>"5"</f>
        <v>5</v>
      </c>
      <c r="E190" s="4" t="str">
        <f>"1"</f>
        <v>1</v>
      </c>
      <c r="F190" s="5">
        <v>114498714.06</v>
      </c>
    </row>
    <row r="191" spans="1:6" x14ac:dyDescent="0.25">
      <c r="A191" s="4" t="str">
        <f t="shared" si="29"/>
        <v>1740</v>
      </c>
      <c r="B191" s="4" t="str">
        <f t="shared" si="30"/>
        <v>Начисленные доходы по займам и финансовому лизингу, предоставленным клиентам</v>
      </c>
      <c r="C191" s="4" t="str">
        <f>"1"</f>
        <v>1</v>
      </c>
      <c r="D191" s="4" t="str">
        <f>"7"</f>
        <v>7</v>
      </c>
      <c r="E191" s="4" t="str">
        <f>"2"</f>
        <v>2</v>
      </c>
      <c r="F191" s="5">
        <v>19375470439.299999</v>
      </c>
    </row>
    <row r="192" spans="1:6" x14ac:dyDescent="0.25">
      <c r="A192" s="4" t="str">
        <f t="shared" si="29"/>
        <v>1740</v>
      </c>
      <c r="B192" s="4" t="str">
        <f t="shared" si="30"/>
        <v>Начисленные доходы по займам и финансовому лизингу, предоставленным клиентам</v>
      </c>
      <c r="C192" s="4" t="str">
        <f>"2"</f>
        <v>2</v>
      </c>
      <c r="D192" s="4" t="str">
        <f>"7"</f>
        <v>7</v>
      </c>
      <c r="E192" s="4" t="str">
        <f>"2"</f>
        <v>2</v>
      </c>
      <c r="F192" s="5">
        <v>20824652.579999998</v>
      </c>
    </row>
    <row r="193" spans="1:6" x14ac:dyDescent="0.25">
      <c r="A193" s="4" t="str">
        <f t="shared" si="29"/>
        <v>1740</v>
      </c>
      <c r="B193" s="4" t="str">
        <f t="shared" si="30"/>
        <v>Начисленные доходы по займам и финансовому лизингу, предоставленным клиентам</v>
      </c>
      <c r="C193" s="4" t="str">
        <f>"2"</f>
        <v>2</v>
      </c>
      <c r="D193" s="4" t="str">
        <f>"7"</f>
        <v>7</v>
      </c>
      <c r="E193" s="4" t="str">
        <f>"1"</f>
        <v>1</v>
      </c>
      <c r="F193" s="5">
        <v>52082666.670000002</v>
      </c>
    </row>
    <row r="194" spans="1:6" x14ac:dyDescent="0.25">
      <c r="A194" s="4" t="str">
        <f>"1741"</f>
        <v>1741</v>
      </c>
      <c r="B194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4" s="4" t="str">
        <f>"1"</f>
        <v>1</v>
      </c>
      <c r="D194" s="4" t="str">
        <f>"9"</f>
        <v>9</v>
      </c>
      <c r="E194" s="4" t="str">
        <f>"2"</f>
        <v>2</v>
      </c>
      <c r="F194" s="5">
        <v>93968863.950000003</v>
      </c>
    </row>
    <row r="195" spans="1:6" x14ac:dyDescent="0.25">
      <c r="A195" s="4" t="str">
        <f>"1741"</f>
        <v>1741</v>
      </c>
      <c r="B195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5" s="4" t="str">
        <f>"1"</f>
        <v>1</v>
      </c>
      <c r="D195" s="4" t="str">
        <f>"7"</f>
        <v>7</v>
      </c>
      <c r="E195" s="4" t="str">
        <f>"1"</f>
        <v>1</v>
      </c>
      <c r="F195" s="5">
        <v>10687965495.67</v>
      </c>
    </row>
    <row r="196" spans="1:6" x14ac:dyDescent="0.25">
      <c r="A196" s="4" t="str">
        <f>"1741"</f>
        <v>1741</v>
      </c>
      <c r="B196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6" s="4" t="str">
        <f>"2"</f>
        <v>2</v>
      </c>
      <c r="D196" s="4" t="str">
        <f>"9"</f>
        <v>9</v>
      </c>
      <c r="E196" s="4" t="str">
        <f>"2"</f>
        <v>2</v>
      </c>
      <c r="F196" s="5">
        <v>97221.29</v>
      </c>
    </row>
    <row r="197" spans="1:6" x14ac:dyDescent="0.25">
      <c r="A197" s="4" t="str">
        <f>"1741"</f>
        <v>1741</v>
      </c>
      <c r="B197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7" s="4" t="str">
        <f>"2"</f>
        <v>2</v>
      </c>
      <c r="D197" s="4" t="str">
        <f>"9"</f>
        <v>9</v>
      </c>
      <c r="E197" s="4" t="str">
        <f>"1"</f>
        <v>1</v>
      </c>
      <c r="F197" s="5">
        <v>5327144.55</v>
      </c>
    </row>
    <row r="198" spans="1:6" x14ac:dyDescent="0.25">
      <c r="A198" s="4" t="str">
        <f>"1741"</f>
        <v>1741</v>
      </c>
      <c r="B198" s="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98" s="4" t="str">
        <f>"1"</f>
        <v>1</v>
      </c>
      <c r="D198" s="4" t="str">
        <f>"9"</f>
        <v>9</v>
      </c>
      <c r="E198" s="4" t="str">
        <f>"1"</f>
        <v>1</v>
      </c>
      <c r="F198" s="5">
        <v>12174417458.299999</v>
      </c>
    </row>
    <row r="199" spans="1:6" x14ac:dyDescent="0.25">
      <c r="A199" s="4" t="str">
        <f t="shared" ref="A199:A205" si="31">"1745"</f>
        <v>1745</v>
      </c>
      <c r="B199" s="4" t="str">
        <f t="shared" ref="B199:B205" si="32"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199" s="4" t="str">
        <f>"1"</f>
        <v>1</v>
      </c>
      <c r="D199" s="4" t="str">
        <f>"6"</f>
        <v>6</v>
      </c>
      <c r="E199" s="4" t="str">
        <f>"2"</f>
        <v>2</v>
      </c>
      <c r="F199" s="5">
        <v>25963585.350000001</v>
      </c>
    </row>
    <row r="200" spans="1:6" x14ac:dyDescent="0.25">
      <c r="A200" s="4" t="str">
        <f t="shared" si="31"/>
        <v>1745</v>
      </c>
      <c r="B200" s="4" t="str">
        <f t="shared" si="32"/>
        <v>Начисленные доходы по ценным бумагам, учитываемым по амортизированной стоимости</v>
      </c>
      <c r="C200" s="4" t="str">
        <f>"1"</f>
        <v>1</v>
      </c>
      <c r="D200" s="4" t="str">
        <f>"1"</f>
        <v>1</v>
      </c>
      <c r="E200" s="4" t="str">
        <f>"1"</f>
        <v>1</v>
      </c>
      <c r="F200" s="5">
        <v>1686919445.3099999</v>
      </c>
    </row>
    <row r="201" spans="1:6" x14ac:dyDescent="0.25">
      <c r="A201" s="4" t="str">
        <f t="shared" si="31"/>
        <v>1745</v>
      </c>
      <c r="B201" s="4" t="str">
        <f t="shared" si="32"/>
        <v>Начисленные доходы по ценным бумагам, учитываемым по амортизированной стоимости</v>
      </c>
      <c r="C201" s="4" t="str">
        <f>"1"</f>
        <v>1</v>
      </c>
      <c r="D201" s="4" t="str">
        <f>"4"</f>
        <v>4</v>
      </c>
      <c r="E201" s="4" t="str">
        <f t="shared" ref="E201:E206" si="33">"2"</f>
        <v>2</v>
      </c>
      <c r="F201" s="5">
        <v>42577116.969999999</v>
      </c>
    </row>
    <row r="202" spans="1:6" x14ac:dyDescent="0.25">
      <c r="A202" s="4" t="str">
        <f t="shared" si="31"/>
        <v>1745</v>
      </c>
      <c r="B202" s="4" t="str">
        <f t="shared" si="32"/>
        <v>Начисленные доходы по ценным бумагам, учитываемым по амортизированной стоимости</v>
      </c>
      <c r="C202" s="4" t="str">
        <f>"2"</f>
        <v>2</v>
      </c>
      <c r="D202" s="4" t="str">
        <f>"4"</f>
        <v>4</v>
      </c>
      <c r="E202" s="4" t="str">
        <f t="shared" si="33"/>
        <v>2</v>
      </c>
      <c r="F202" s="5">
        <v>46080920</v>
      </c>
    </row>
    <row r="203" spans="1:6" x14ac:dyDescent="0.25">
      <c r="A203" s="4" t="str">
        <f t="shared" si="31"/>
        <v>1745</v>
      </c>
      <c r="B203" s="4" t="str">
        <f t="shared" si="32"/>
        <v>Начисленные доходы по ценным бумагам, учитываемым по амортизированной стоимости</v>
      </c>
      <c r="C203" s="4" t="str">
        <f>"2"</f>
        <v>2</v>
      </c>
      <c r="D203" s="4" t="str">
        <f>"5"</f>
        <v>5</v>
      </c>
      <c r="E203" s="4" t="str">
        <f t="shared" si="33"/>
        <v>2</v>
      </c>
      <c r="F203" s="5">
        <v>3262731.68</v>
      </c>
    </row>
    <row r="204" spans="1:6" x14ac:dyDescent="0.25">
      <c r="A204" s="4" t="str">
        <f t="shared" si="31"/>
        <v>1745</v>
      </c>
      <c r="B204" s="4" t="str">
        <f t="shared" si="32"/>
        <v>Начисленные доходы по ценным бумагам, учитываемым по амортизированной стоимости</v>
      </c>
      <c r="C204" s="4" t="str">
        <f>"1"</f>
        <v>1</v>
      </c>
      <c r="D204" s="4" t="str">
        <f>"1"</f>
        <v>1</v>
      </c>
      <c r="E204" s="4" t="str">
        <f t="shared" si="33"/>
        <v>2</v>
      </c>
      <c r="F204" s="5">
        <v>1039642962.96</v>
      </c>
    </row>
    <row r="205" spans="1:6" x14ac:dyDescent="0.25">
      <c r="A205" s="4" t="str">
        <f t="shared" si="31"/>
        <v>1745</v>
      </c>
      <c r="B205" s="4" t="str">
        <f t="shared" si="32"/>
        <v>Начисленные доходы по ценным бумагам, учитываемым по амортизированной стоимости</v>
      </c>
      <c r="C205" s="4" t="str">
        <f>"2"</f>
        <v>2</v>
      </c>
      <c r="D205" s="4" t="str">
        <f>"1"</f>
        <v>1</v>
      </c>
      <c r="E205" s="4" t="str">
        <f t="shared" si="33"/>
        <v>2</v>
      </c>
      <c r="F205" s="5">
        <v>248060992.24000001</v>
      </c>
    </row>
    <row r="206" spans="1:6" x14ac:dyDescent="0.25">
      <c r="A206" s="4" t="str">
        <f t="shared" ref="A206:A212" si="34">"1746"</f>
        <v>1746</v>
      </c>
      <c r="B206" s="4" t="str">
        <f t="shared" ref="B206:B212" si="35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C206" s="4" t="str">
        <f>"1"</f>
        <v>1</v>
      </c>
      <c r="D206" s="4" t="str">
        <f>"6"</f>
        <v>6</v>
      </c>
      <c r="E206" s="4" t="str">
        <f t="shared" si="33"/>
        <v>2</v>
      </c>
      <c r="F206" s="5">
        <v>74537857.859999999</v>
      </c>
    </row>
    <row r="207" spans="1:6" x14ac:dyDescent="0.25">
      <c r="A207" s="4" t="str">
        <f t="shared" si="34"/>
        <v>1746</v>
      </c>
      <c r="B207" s="4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7" s="4" t="str">
        <f>"1"</f>
        <v>1</v>
      </c>
      <c r="D207" s="4" t="str">
        <f>"1"</f>
        <v>1</v>
      </c>
      <c r="E207" s="4" t="str">
        <f>"1"</f>
        <v>1</v>
      </c>
      <c r="F207" s="5">
        <v>11374618224.290001</v>
      </c>
    </row>
    <row r="208" spans="1:6" x14ac:dyDescent="0.25">
      <c r="A208" s="4" t="str">
        <f t="shared" si="34"/>
        <v>1746</v>
      </c>
      <c r="B208" s="4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8" s="4" t="str">
        <f>"2"</f>
        <v>2</v>
      </c>
      <c r="D208" s="4" t="str">
        <f>"3"</f>
        <v>3</v>
      </c>
      <c r="E208" s="4" t="str">
        <f t="shared" ref="E208:E214" si="36">"2"</f>
        <v>2</v>
      </c>
      <c r="F208" s="5">
        <v>616405288</v>
      </c>
    </row>
    <row r="209" spans="1:6" x14ac:dyDescent="0.25">
      <c r="A209" s="4" t="str">
        <f t="shared" si="34"/>
        <v>1746</v>
      </c>
      <c r="B209" s="4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09" s="4" t="str">
        <f>"2"</f>
        <v>2</v>
      </c>
      <c r="D209" s="4" t="str">
        <f>"5"</f>
        <v>5</v>
      </c>
      <c r="E209" s="4" t="str">
        <f t="shared" si="36"/>
        <v>2</v>
      </c>
      <c r="F209" s="5">
        <v>81721751.370000005</v>
      </c>
    </row>
    <row r="210" spans="1:6" x14ac:dyDescent="0.25">
      <c r="A210" s="4" t="str">
        <f t="shared" si="34"/>
        <v>1746</v>
      </c>
      <c r="B210" s="4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10" s="4" t="str">
        <f>"2"</f>
        <v>2</v>
      </c>
      <c r="D210" s="4" t="str">
        <f>"4"</f>
        <v>4</v>
      </c>
      <c r="E210" s="4" t="str">
        <f t="shared" si="36"/>
        <v>2</v>
      </c>
      <c r="F210" s="5">
        <v>13222645.84</v>
      </c>
    </row>
    <row r="211" spans="1:6" x14ac:dyDescent="0.25">
      <c r="A211" s="4" t="str">
        <f t="shared" si="34"/>
        <v>1746</v>
      </c>
      <c r="B211" s="4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11" s="4" t="str">
        <f>"2"</f>
        <v>2</v>
      </c>
      <c r="D211" s="4" t="str">
        <f>"1"</f>
        <v>1</v>
      </c>
      <c r="E211" s="4" t="str">
        <f t="shared" si="36"/>
        <v>2</v>
      </c>
      <c r="F211" s="5">
        <v>766065942.58000004</v>
      </c>
    </row>
    <row r="212" spans="1:6" x14ac:dyDescent="0.25">
      <c r="A212" s="4" t="str">
        <f t="shared" si="34"/>
        <v>1746</v>
      </c>
      <c r="B212" s="4" t="str">
        <f t="shared" si="35"/>
        <v>Начисленные доходы по ценным бумагам, учитываемым по справедливой стоимости через прочий совокупный доход</v>
      </c>
      <c r="C212" s="4" t="str">
        <f>"1"</f>
        <v>1</v>
      </c>
      <c r="D212" s="4" t="str">
        <f>"1"</f>
        <v>1</v>
      </c>
      <c r="E212" s="4" t="str">
        <f t="shared" si="36"/>
        <v>2</v>
      </c>
      <c r="F212" s="5">
        <v>408283868.44999999</v>
      </c>
    </row>
    <row r="213" spans="1:6" x14ac:dyDescent="0.25">
      <c r="A213" s="4" t="str">
        <f>"1750"</f>
        <v>1750</v>
      </c>
      <c r="B213" s="4" t="str">
        <f>"Просроченное вознаграждение по ценным бумагам"</f>
        <v>Просроченное вознаграждение по ценным бумагам</v>
      </c>
      <c r="C213" s="4" t="str">
        <f>"2"</f>
        <v>2</v>
      </c>
      <c r="D213" s="4" t="str">
        <f>"5"</f>
        <v>5</v>
      </c>
      <c r="E213" s="4" t="str">
        <f t="shared" si="36"/>
        <v>2</v>
      </c>
      <c r="F213" s="5">
        <v>1864081353.24</v>
      </c>
    </row>
    <row r="214" spans="1:6" x14ac:dyDescent="0.25">
      <c r="A214" s="4" t="str">
        <f>"1750"</f>
        <v>1750</v>
      </c>
      <c r="B214" s="4" t="str">
        <f>"Просроченное вознаграждение по ценным бумагам"</f>
        <v>Просроченное вознаграждение по ценным бумагам</v>
      </c>
      <c r="C214" s="4" t="str">
        <f>"2"</f>
        <v>2</v>
      </c>
      <c r="D214" s="4" t="str">
        <f>"4"</f>
        <v>4</v>
      </c>
      <c r="E214" s="4" t="str">
        <f t="shared" si="36"/>
        <v>2</v>
      </c>
      <c r="F214" s="5">
        <v>207947563.19999999</v>
      </c>
    </row>
    <row r="215" spans="1:6" x14ac:dyDescent="0.25">
      <c r="A215" s="4" t="str">
        <f>"1793"</f>
        <v>1793</v>
      </c>
      <c r="B215" s="4" t="str">
        <f>"Расходы будущих периодов"</f>
        <v>Расходы будущих периодов</v>
      </c>
      <c r="C215" s="4" t="str">
        <f>"1"</f>
        <v>1</v>
      </c>
      <c r="D215" s="4" t="str">
        <f>"5"</f>
        <v>5</v>
      </c>
      <c r="E215" s="4" t="str">
        <f t="shared" ref="E215:E223" si="37">"1"</f>
        <v>1</v>
      </c>
      <c r="F215" s="5">
        <v>1872379444.6199999</v>
      </c>
    </row>
    <row r="216" spans="1:6" x14ac:dyDescent="0.25">
      <c r="A216" s="4" t="str">
        <f>"1793"</f>
        <v>1793</v>
      </c>
      <c r="B216" s="4" t="str">
        <f>"Расходы будущих периодов"</f>
        <v>Расходы будущих периодов</v>
      </c>
      <c r="C216" s="4" t="str">
        <f>"2"</f>
        <v>2</v>
      </c>
      <c r="D216" s="4" t="str">
        <f>"7"</f>
        <v>7</v>
      </c>
      <c r="E216" s="4" t="str">
        <f t="shared" si="37"/>
        <v>1</v>
      </c>
      <c r="F216" s="5">
        <v>110794951.95999999</v>
      </c>
    </row>
    <row r="217" spans="1:6" x14ac:dyDescent="0.25">
      <c r="A217" s="4" t="str">
        <f>"1793"</f>
        <v>1793</v>
      </c>
      <c r="B217" s="4" t="str">
        <f>"Расходы будущих периодов"</f>
        <v>Расходы будущих периодов</v>
      </c>
      <c r="C217" s="4" t="str">
        <f>"1"</f>
        <v>1</v>
      </c>
      <c r="D217" s="4" t="str">
        <f>"9"</f>
        <v>9</v>
      </c>
      <c r="E217" s="4" t="str">
        <f t="shared" si="37"/>
        <v>1</v>
      </c>
      <c r="F217" s="5">
        <v>1922950.88</v>
      </c>
    </row>
    <row r="218" spans="1:6" x14ac:dyDescent="0.25">
      <c r="A218" s="4" t="str">
        <f>"1793"</f>
        <v>1793</v>
      </c>
      <c r="B218" s="4" t="str">
        <f>"Расходы будущих периодов"</f>
        <v>Расходы будущих периодов</v>
      </c>
      <c r="C218" s="4" t="str">
        <f>"1"</f>
        <v>1</v>
      </c>
      <c r="D218" s="4" t="str">
        <f>"7"</f>
        <v>7</v>
      </c>
      <c r="E218" s="4" t="str">
        <f t="shared" si="37"/>
        <v>1</v>
      </c>
      <c r="F218" s="5">
        <v>553260494.98000002</v>
      </c>
    </row>
    <row r="219" spans="1:6" x14ac:dyDescent="0.25">
      <c r="A219" s="4" t="str">
        <f>"1811"</f>
        <v>1811</v>
      </c>
      <c r="B219" s="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19" s="4" t="str">
        <f>"1"</f>
        <v>1</v>
      </c>
      <c r="D219" s="6">
        <v>0</v>
      </c>
      <c r="E219" s="4" t="str">
        <f t="shared" si="37"/>
        <v>1</v>
      </c>
      <c r="F219" s="5">
        <v>172982376.90000001</v>
      </c>
    </row>
    <row r="220" spans="1:6" x14ac:dyDescent="0.25">
      <c r="A220" s="4" t="str">
        <f>"1811"</f>
        <v>1811</v>
      </c>
      <c r="B220" s="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20" s="4" t="str">
        <f>"2"</f>
        <v>2</v>
      </c>
      <c r="D220" s="6">
        <v>0</v>
      </c>
      <c r="E220" s="4" t="str">
        <f t="shared" si="37"/>
        <v>1</v>
      </c>
      <c r="F220" s="5">
        <v>438813.65</v>
      </c>
    </row>
    <row r="221" spans="1:6" x14ac:dyDescent="0.25">
      <c r="A221" s="4" t="str">
        <f>"1812"</f>
        <v>1812</v>
      </c>
      <c r="B221" s="4" t="str">
        <f>"Начисленные комиссионные доходы за агентские услуги"</f>
        <v>Начисленные комиссионные доходы за агентские услуги</v>
      </c>
      <c r="C221" s="4" t="str">
        <f>"1"</f>
        <v>1</v>
      </c>
      <c r="D221" s="6">
        <v>0</v>
      </c>
      <c r="E221" s="4" t="str">
        <f t="shared" si="37"/>
        <v>1</v>
      </c>
      <c r="F221" s="5">
        <v>18088.580000000002</v>
      </c>
    </row>
    <row r="222" spans="1:6" x14ac:dyDescent="0.25">
      <c r="A222" s="4" t="str">
        <f>"1815"</f>
        <v>1815</v>
      </c>
      <c r="B222" s="4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C222" s="4" t="str">
        <f>"1"</f>
        <v>1</v>
      </c>
      <c r="D222" s="6">
        <v>0</v>
      </c>
      <c r="E222" s="4" t="str">
        <f t="shared" si="37"/>
        <v>1</v>
      </c>
      <c r="F222" s="5">
        <v>49220.42</v>
      </c>
    </row>
    <row r="223" spans="1:6" x14ac:dyDescent="0.25">
      <c r="A223" s="4" t="str">
        <f>"1816"</f>
        <v>1816</v>
      </c>
      <c r="B223" s="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3" s="4" t="str">
        <f>"1"</f>
        <v>1</v>
      </c>
      <c r="D223" s="6">
        <v>0</v>
      </c>
      <c r="E223" s="4" t="str">
        <f t="shared" si="37"/>
        <v>1</v>
      </c>
      <c r="F223" s="5">
        <v>793271975.60000002</v>
      </c>
    </row>
    <row r="224" spans="1:6" x14ac:dyDescent="0.25">
      <c r="A224" s="4" t="str">
        <f>"1816"</f>
        <v>1816</v>
      </c>
      <c r="B224" s="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4" s="4" t="str">
        <f>"1"</f>
        <v>1</v>
      </c>
      <c r="D224" s="6">
        <v>0</v>
      </c>
      <c r="E224" s="4" t="str">
        <f>"3"</f>
        <v>3</v>
      </c>
      <c r="F224" s="5">
        <v>13579539.66</v>
      </c>
    </row>
    <row r="225" spans="1:6" x14ac:dyDescent="0.25">
      <c r="A225" s="4" t="str">
        <f>"1816"</f>
        <v>1816</v>
      </c>
      <c r="B225" s="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25" s="4" t="str">
        <f>"1"</f>
        <v>1</v>
      </c>
      <c r="D225" s="6">
        <v>0</v>
      </c>
      <c r="E225" s="4" t="str">
        <f>"2"</f>
        <v>2</v>
      </c>
      <c r="F225" s="5">
        <v>109626715.98</v>
      </c>
    </row>
    <row r="226" spans="1:6" x14ac:dyDescent="0.25">
      <c r="A226" s="4" t="str">
        <f>"1817"</f>
        <v>1817</v>
      </c>
      <c r="B226" s="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226" s="4" t="str">
        <f>"2"</f>
        <v>2</v>
      </c>
      <c r="D226" s="6">
        <v>0</v>
      </c>
      <c r="E226" s="4" t="str">
        <f>"1"</f>
        <v>1</v>
      </c>
      <c r="F226" s="5">
        <v>1797.91</v>
      </c>
    </row>
    <row r="227" spans="1:6" x14ac:dyDescent="0.25">
      <c r="A227" s="4" t="str">
        <f>"1817"</f>
        <v>1817</v>
      </c>
      <c r="B227" s="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227" s="4" t="str">
        <f>"1"</f>
        <v>1</v>
      </c>
      <c r="D227" s="6">
        <v>0</v>
      </c>
      <c r="E227" s="4" t="str">
        <f>"1"</f>
        <v>1</v>
      </c>
      <c r="F227" s="5">
        <v>1164697.9099999999</v>
      </c>
    </row>
    <row r="228" spans="1:6" x14ac:dyDescent="0.25">
      <c r="A228" s="4" t="str">
        <f>"1818"</f>
        <v>1818</v>
      </c>
      <c r="B228" s="4" t="str">
        <f>"Начисленные прочие комиссионные доходы"</f>
        <v>Начисленные прочие комиссионные доходы</v>
      </c>
      <c r="C228" s="4" t="str">
        <f>"2"</f>
        <v>2</v>
      </c>
      <c r="D228" s="6">
        <v>0</v>
      </c>
      <c r="E228" s="4" t="str">
        <f>"3"</f>
        <v>3</v>
      </c>
      <c r="F228" s="5">
        <v>0.3</v>
      </c>
    </row>
    <row r="229" spans="1:6" x14ac:dyDescent="0.25">
      <c r="A229" s="4" t="str">
        <f>"1818"</f>
        <v>1818</v>
      </c>
      <c r="B229" s="4" t="str">
        <f>"Начисленные прочие комиссионные доходы"</f>
        <v>Начисленные прочие комиссионные доходы</v>
      </c>
      <c r="C229" s="4" t="str">
        <f>"1"</f>
        <v>1</v>
      </c>
      <c r="D229" s="6">
        <v>0</v>
      </c>
      <c r="E229" s="4" t="str">
        <f>"1"</f>
        <v>1</v>
      </c>
      <c r="F229" s="5">
        <v>198744606.59999999</v>
      </c>
    </row>
    <row r="230" spans="1:6" x14ac:dyDescent="0.25">
      <c r="A230" s="4" t="str">
        <f>"1818"</f>
        <v>1818</v>
      </c>
      <c r="B230" s="4" t="str">
        <f>"Начисленные прочие комиссионные доходы"</f>
        <v>Начисленные прочие комиссионные доходы</v>
      </c>
      <c r="C230" s="4" t="str">
        <f>"2"</f>
        <v>2</v>
      </c>
      <c r="D230" s="6">
        <v>0</v>
      </c>
      <c r="E230" s="4" t="str">
        <f>"2"</f>
        <v>2</v>
      </c>
      <c r="F230" s="5">
        <v>276370</v>
      </c>
    </row>
    <row r="231" spans="1:6" x14ac:dyDescent="0.25">
      <c r="A231" s="4" t="str">
        <f>"1818"</f>
        <v>1818</v>
      </c>
      <c r="B231" s="4" t="str">
        <f>"Начисленные прочие комиссионные доходы"</f>
        <v>Начисленные прочие комиссионные доходы</v>
      </c>
      <c r="C231" s="4" t="str">
        <f>"2"</f>
        <v>2</v>
      </c>
      <c r="D231" s="6">
        <v>0</v>
      </c>
      <c r="E231" s="4" t="str">
        <f>"1"</f>
        <v>1</v>
      </c>
      <c r="F231" s="5">
        <v>56053.11</v>
      </c>
    </row>
    <row r="232" spans="1:6" x14ac:dyDescent="0.25">
      <c r="A232" s="4" t="str">
        <f>"1819"</f>
        <v>1819</v>
      </c>
      <c r="B232" s="4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C232" s="4" t="str">
        <f>"1"</f>
        <v>1</v>
      </c>
      <c r="D232" s="6">
        <v>0</v>
      </c>
      <c r="E232" s="4" t="str">
        <f>"1"</f>
        <v>1</v>
      </c>
      <c r="F232" s="5">
        <v>16219132.68</v>
      </c>
    </row>
    <row r="233" spans="1:6" x14ac:dyDescent="0.25">
      <c r="A233" s="4" t="str">
        <f>"1821"</f>
        <v>1821</v>
      </c>
      <c r="B233" s="4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33" s="4" t="str">
        <f>"2"</f>
        <v>2</v>
      </c>
      <c r="D233" s="6">
        <v>0</v>
      </c>
      <c r="E233" s="4" t="str">
        <f>"1"</f>
        <v>1</v>
      </c>
      <c r="F233" s="5">
        <v>9200</v>
      </c>
    </row>
    <row r="234" spans="1:6" x14ac:dyDescent="0.25">
      <c r="A234" s="4" t="str">
        <f>"1821"</f>
        <v>1821</v>
      </c>
      <c r="B234" s="4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34" s="4" t="str">
        <f>"1"</f>
        <v>1</v>
      </c>
      <c r="D234" s="6">
        <v>0</v>
      </c>
      <c r="E234" s="4" t="str">
        <f>"1"</f>
        <v>1</v>
      </c>
      <c r="F234" s="5">
        <v>45572450.539999999</v>
      </c>
    </row>
    <row r="235" spans="1:6" x14ac:dyDescent="0.25">
      <c r="A235" s="4" t="str">
        <f>"1822"</f>
        <v>1822</v>
      </c>
      <c r="B235" s="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35" s="4" t="str">
        <f>"2"</f>
        <v>2</v>
      </c>
      <c r="D235" s="6">
        <v>0</v>
      </c>
      <c r="E235" s="4" t="str">
        <f>"2"</f>
        <v>2</v>
      </c>
      <c r="F235" s="5">
        <v>840673.26</v>
      </c>
    </row>
    <row r="236" spans="1:6" x14ac:dyDescent="0.25">
      <c r="A236" s="4" t="str">
        <f>"1822"</f>
        <v>1822</v>
      </c>
      <c r="B236" s="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36" s="4" t="str">
        <f>"1"</f>
        <v>1</v>
      </c>
      <c r="D236" s="6">
        <v>0</v>
      </c>
      <c r="E236" s="4" t="str">
        <f t="shared" ref="E236:E243" si="38">"1"</f>
        <v>1</v>
      </c>
      <c r="F236" s="5">
        <v>20000</v>
      </c>
    </row>
    <row r="237" spans="1:6" x14ac:dyDescent="0.25">
      <c r="A237" s="4" t="str">
        <f>"1825"</f>
        <v>1825</v>
      </c>
      <c r="B237" s="4" t="str">
        <f>"Начисленные комиссионные доходы за услуги по инкассации"</f>
        <v>Начисленные комиссионные доходы за услуги по инкассации</v>
      </c>
      <c r="C237" s="4" t="str">
        <f>"1"</f>
        <v>1</v>
      </c>
      <c r="D237" s="6">
        <v>0</v>
      </c>
      <c r="E237" s="4" t="str">
        <f t="shared" si="38"/>
        <v>1</v>
      </c>
      <c r="F237" s="5">
        <v>238500</v>
      </c>
    </row>
    <row r="238" spans="1:6" x14ac:dyDescent="0.25">
      <c r="A238" s="4" t="str">
        <f>"1831"</f>
        <v>1831</v>
      </c>
      <c r="B238" s="4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C238" s="4" t="str">
        <f>"1"</f>
        <v>1</v>
      </c>
      <c r="D238" s="6">
        <v>0</v>
      </c>
      <c r="E238" s="4" t="str">
        <f t="shared" si="38"/>
        <v>1</v>
      </c>
      <c r="F238" s="5">
        <v>1992231.41</v>
      </c>
    </row>
    <row r="239" spans="1:6" x14ac:dyDescent="0.25">
      <c r="A239" s="4" t="str">
        <f>"1836"</f>
        <v>1836</v>
      </c>
      <c r="B239" s="4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C239" s="4" t="str">
        <f>"1"</f>
        <v>1</v>
      </c>
      <c r="D239" s="6">
        <v>0</v>
      </c>
      <c r="E239" s="4" t="str">
        <f t="shared" si="38"/>
        <v>1</v>
      </c>
      <c r="F239" s="5">
        <v>14661597.02</v>
      </c>
    </row>
    <row r="240" spans="1:6" x14ac:dyDescent="0.25">
      <c r="A240" s="4" t="str">
        <f>"1837"</f>
        <v>1837</v>
      </c>
      <c r="B240" s="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40" s="4" t="str">
        <f>"1"</f>
        <v>1</v>
      </c>
      <c r="D240" s="6">
        <v>0</v>
      </c>
      <c r="E240" s="4" t="str">
        <f t="shared" si="38"/>
        <v>1</v>
      </c>
      <c r="F240" s="5">
        <v>6097463.6699999999</v>
      </c>
    </row>
    <row r="241" spans="1:6" x14ac:dyDescent="0.25">
      <c r="A241" s="4" t="str">
        <f>"1837"</f>
        <v>1837</v>
      </c>
      <c r="B241" s="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C241" s="4" t="str">
        <f>"2"</f>
        <v>2</v>
      </c>
      <c r="D241" s="6">
        <v>0</v>
      </c>
      <c r="E241" s="4" t="str">
        <f t="shared" si="38"/>
        <v>1</v>
      </c>
      <c r="F241" s="5">
        <v>35700</v>
      </c>
    </row>
    <row r="242" spans="1:6" x14ac:dyDescent="0.25">
      <c r="A242" s="4" t="str">
        <f>"1838"</f>
        <v>1838</v>
      </c>
      <c r="B242" s="4" t="str">
        <f>"Просроченные прочие комиссионные доходы"</f>
        <v>Просроченные прочие комиссионные доходы</v>
      </c>
      <c r="C242" s="4" t="str">
        <f>"2"</f>
        <v>2</v>
      </c>
      <c r="D242" s="6">
        <v>0</v>
      </c>
      <c r="E242" s="4" t="str">
        <f t="shared" si="38"/>
        <v>1</v>
      </c>
      <c r="F242" s="5">
        <v>16916.599999999999</v>
      </c>
    </row>
    <row r="243" spans="1:6" x14ac:dyDescent="0.25">
      <c r="A243" s="4" t="str">
        <f>"1838"</f>
        <v>1838</v>
      </c>
      <c r="B243" s="4" t="str">
        <f>"Просроченные прочие комиссионные доходы"</f>
        <v>Просроченные прочие комиссионные доходы</v>
      </c>
      <c r="C243" s="4" t="str">
        <f t="shared" ref="C243:C249" si="39">"1"</f>
        <v>1</v>
      </c>
      <c r="D243" s="6">
        <v>0</v>
      </c>
      <c r="E243" s="4" t="str">
        <f t="shared" si="38"/>
        <v>1</v>
      </c>
      <c r="F243" s="5">
        <v>188820056.53999999</v>
      </c>
    </row>
    <row r="244" spans="1:6" x14ac:dyDescent="0.25">
      <c r="A244" s="4" t="str">
        <f>"1838"</f>
        <v>1838</v>
      </c>
      <c r="B244" s="4" t="str">
        <f>"Просроченные прочие комиссионные доходы"</f>
        <v>Просроченные прочие комиссионные доходы</v>
      </c>
      <c r="C244" s="4" t="str">
        <f t="shared" si="39"/>
        <v>1</v>
      </c>
      <c r="D244" s="6">
        <v>0</v>
      </c>
      <c r="E244" s="4" t="str">
        <f>"2"</f>
        <v>2</v>
      </c>
      <c r="F244" s="5">
        <v>1834531.43</v>
      </c>
    </row>
    <row r="245" spans="1:6" x14ac:dyDescent="0.25">
      <c r="A245" s="4" t="str">
        <f>"1839"</f>
        <v>1839</v>
      </c>
      <c r="B245" s="4" t="str">
        <f>"Просроченные комиссионные доходы по профессиональной деятельности на рынке ценных бумаг"</f>
        <v>Просроченные комиссионные доходы по профессиональной деятельности на рынке ценных бумаг</v>
      </c>
      <c r="C245" s="4" t="str">
        <f t="shared" si="39"/>
        <v>1</v>
      </c>
      <c r="D245" s="6">
        <v>0</v>
      </c>
      <c r="E245" s="4" t="str">
        <f>"1"</f>
        <v>1</v>
      </c>
      <c r="F245" s="5">
        <v>43427642.280000001</v>
      </c>
    </row>
    <row r="246" spans="1:6" x14ac:dyDescent="0.25">
      <c r="A246" s="4" t="str">
        <f>"1841"</f>
        <v>1841</v>
      </c>
      <c r="B246" s="4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C246" s="4" t="str">
        <f t="shared" si="39"/>
        <v>1</v>
      </c>
      <c r="D246" s="6">
        <v>0</v>
      </c>
      <c r="E246" s="4" t="str">
        <f>"1"</f>
        <v>1</v>
      </c>
      <c r="F246" s="5">
        <v>1437710.23</v>
      </c>
    </row>
    <row r="247" spans="1:6" x14ac:dyDescent="0.25">
      <c r="A247" s="4" t="str">
        <f>"1845"</f>
        <v>1845</v>
      </c>
      <c r="B247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7" s="4" t="str">
        <f t="shared" si="39"/>
        <v>1</v>
      </c>
      <c r="D247" s="6">
        <v>0</v>
      </c>
      <c r="E247" s="4" t="str">
        <f>"1"</f>
        <v>1</v>
      </c>
      <c r="F247" s="5">
        <v>-406057832.73000002</v>
      </c>
    </row>
    <row r="248" spans="1:6" x14ac:dyDescent="0.25">
      <c r="A248" s="4" t="str">
        <f>"1845"</f>
        <v>1845</v>
      </c>
      <c r="B248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8" s="4" t="str">
        <f t="shared" si="39"/>
        <v>1</v>
      </c>
      <c r="D248" s="6">
        <v>0</v>
      </c>
      <c r="E248" s="4" t="str">
        <f>"2"</f>
        <v>2</v>
      </c>
      <c r="F248" s="5">
        <v>-3817033.91</v>
      </c>
    </row>
    <row r="249" spans="1:6" x14ac:dyDescent="0.25">
      <c r="A249" s="4" t="str">
        <f>"1845"</f>
        <v>1845</v>
      </c>
      <c r="B249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49" s="4" t="str">
        <f t="shared" si="39"/>
        <v>1</v>
      </c>
      <c r="D249" s="6">
        <v>0</v>
      </c>
      <c r="E249" s="4" t="str">
        <f>"3"</f>
        <v>3</v>
      </c>
      <c r="F249" s="5">
        <v>-226252.59</v>
      </c>
    </row>
    <row r="250" spans="1:6" x14ac:dyDescent="0.25">
      <c r="A250" s="4" t="str">
        <f>"1845"</f>
        <v>1845</v>
      </c>
      <c r="B250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50" s="4" t="str">
        <f>"2"</f>
        <v>2</v>
      </c>
      <c r="D250" s="6">
        <v>0</v>
      </c>
      <c r="E250" s="4" t="str">
        <f>"1"</f>
        <v>1</v>
      </c>
      <c r="F250" s="5">
        <v>-31667.13</v>
      </c>
    </row>
    <row r="251" spans="1:6" x14ac:dyDescent="0.25">
      <c r="A251" s="4" t="str">
        <f>"1845"</f>
        <v>1845</v>
      </c>
      <c r="B251" s="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51" s="4" t="str">
        <f>"2"</f>
        <v>2</v>
      </c>
      <c r="D251" s="6">
        <v>0</v>
      </c>
      <c r="E251" s="4" t="str">
        <f>"2"</f>
        <v>2</v>
      </c>
      <c r="F251" s="5">
        <v>-985.88</v>
      </c>
    </row>
    <row r="252" spans="1:6" x14ac:dyDescent="0.25">
      <c r="A252" s="4" t="str">
        <f>"1851"</f>
        <v>1851</v>
      </c>
      <c r="B252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252" s="4" t="str">
        <f>"1"</f>
        <v>1</v>
      </c>
      <c r="D252" s="4" t="str">
        <f>"1"</f>
        <v>1</v>
      </c>
      <c r="E252" s="4" t="str">
        <f>"1"</f>
        <v>1</v>
      </c>
      <c r="F252" s="5">
        <v>2928283071.8400002</v>
      </c>
    </row>
    <row r="253" spans="1:6" x14ac:dyDescent="0.25">
      <c r="A253" s="4" t="str">
        <f>"1852"</f>
        <v>1852</v>
      </c>
      <c r="B253" s="4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C253" s="4" t="str">
        <f>"1"</f>
        <v>1</v>
      </c>
      <c r="D253" s="4" t="str">
        <f>"5"</f>
        <v>5</v>
      </c>
      <c r="E253" s="4" t="str">
        <f>"1"</f>
        <v>1</v>
      </c>
      <c r="F253" s="5">
        <v>146428.57</v>
      </c>
    </row>
    <row r="254" spans="1:6" x14ac:dyDescent="0.25">
      <c r="A254" s="4" t="str">
        <f>"1852"</f>
        <v>1852</v>
      </c>
      <c r="B254" s="4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C254" s="4" t="str">
        <f>"1"</f>
        <v>1</v>
      </c>
      <c r="D254" s="4" t="str">
        <f>"5"</f>
        <v>5</v>
      </c>
      <c r="E254" s="4" t="str">
        <f>"2"</f>
        <v>2</v>
      </c>
      <c r="F254" s="5">
        <v>13682256000</v>
      </c>
    </row>
    <row r="255" spans="1:6" x14ac:dyDescent="0.25">
      <c r="A255" s="4" t="str">
        <f>"1854"</f>
        <v>1854</v>
      </c>
      <c r="B255" s="4" t="str">
        <f>"Расчеты с работниками"</f>
        <v>Расчеты с работниками</v>
      </c>
      <c r="C255" s="6">
        <v>0</v>
      </c>
      <c r="D255" s="6">
        <v>0</v>
      </c>
      <c r="E255" s="6">
        <v>0</v>
      </c>
      <c r="F255" s="5">
        <v>3965868.7</v>
      </c>
    </row>
    <row r="256" spans="1:6" x14ac:dyDescent="0.25">
      <c r="A256" s="4" t="str">
        <f>"1856"</f>
        <v>1856</v>
      </c>
      <c r="B256" s="4" t="str">
        <f>"Дебиторы по капитальным вложениям"</f>
        <v>Дебиторы по капитальным вложениям</v>
      </c>
      <c r="C256" s="4" t="str">
        <f>"1"</f>
        <v>1</v>
      </c>
      <c r="D256" s="4" t="str">
        <f>"1"</f>
        <v>1</v>
      </c>
      <c r="E256" s="4" t="str">
        <f>"1"</f>
        <v>1</v>
      </c>
      <c r="F256" s="5">
        <v>808732</v>
      </c>
    </row>
    <row r="257" spans="1:6" x14ac:dyDescent="0.25">
      <c r="A257" s="4" t="str">
        <f>"1856"</f>
        <v>1856</v>
      </c>
      <c r="B257" s="4" t="str">
        <f>"Дебиторы по капитальным вложениям"</f>
        <v>Дебиторы по капитальным вложениям</v>
      </c>
      <c r="C257" s="4" t="str">
        <f>"1"</f>
        <v>1</v>
      </c>
      <c r="D257" s="4" t="str">
        <f>"7"</f>
        <v>7</v>
      </c>
      <c r="E257" s="4" t="str">
        <f>"1"</f>
        <v>1</v>
      </c>
      <c r="F257" s="5">
        <v>663821722</v>
      </c>
    </row>
    <row r="258" spans="1:6" x14ac:dyDescent="0.25">
      <c r="A258" s="4" t="str">
        <f>"1856"</f>
        <v>1856</v>
      </c>
      <c r="B258" s="4" t="str">
        <f>"Дебиторы по капитальным вложениям"</f>
        <v>Дебиторы по капитальным вложениям</v>
      </c>
      <c r="C258" s="4" t="str">
        <f>"2"</f>
        <v>2</v>
      </c>
      <c r="D258" s="4" t="str">
        <f>"7"</f>
        <v>7</v>
      </c>
      <c r="E258" s="4" t="str">
        <f>"1"</f>
        <v>1</v>
      </c>
      <c r="F258" s="5">
        <v>118710746.09</v>
      </c>
    </row>
    <row r="259" spans="1:6" x14ac:dyDescent="0.25">
      <c r="A259" s="4" t="str">
        <f>"1856"</f>
        <v>1856</v>
      </c>
      <c r="B259" s="4" t="str">
        <f>"Дебиторы по капитальным вложениям"</f>
        <v>Дебиторы по капитальным вложениям</v>
      </c>
      <c r="C259" s="4" t="str">
        <f>"1"</f>
        <v>1</v>
      </c>
      <c r="D259" s="4" t="str">
        <f>"9"</f>
        <v>9</v>
      </c>
      <c r="E259" s="4" t="str">
        <f>"1"</f>
        <v>1</v>
      </c>
      <c r="F259" s="5">
        <v>66545935.539999999</v>
      </c>
    </row>
    <row r="260" spans="1:6" x14ac:dyDescent="0.25">
      <c r="A260" s="4" t="str">
        <f>"1857"</f>
        <v>1857</v>
      </c>
      <c r="B260" s="4" t="str">
        <f>"Отложенные налоговые активы"</f>
        <v>Отложенные налоговые активы</v>
      </c>
      <c r="C260" s="6">
        <v>0</v>
      </c>
      <c r="D260" s="6">
        <v>0</v>
      </c>
      <c r="E260" s="6">
        <v>0</v>
      </c>
      <c r="F260" s="5">
        <v>729779000</v>
      </c>
    </row>
    <row r="261" spans="1:6" x14ac:dyDescent="0.25">
      <c r="A261" s="4" t="str">
        <f t="shared" ref="A261:A279" si="40">"1860"</f>
        <v>1860</v>
      </c>
      <c r="B261" s="4" t="str">
        <f t="shared" ref="B261:B279" si="41">"Прочие дебиторы по банковской деятельности"</f>
        <v>Прочие дебиторы по банковской деятельности</v>
      </c>
      <c r="C261" s="4" t="str">
        <f>"1"</f>
        <v>1</v>
      </c>
      <c r="D261" s="4" t="str">
        <f>"5"</f>
        <v>5</v>
      </c>
      <c r="E261" s="4" t="str">
        <f>"1"</f>
        <v>1</v>
      </c>
      <c r="F261" s="5">
        <v>14926962.109999999</v>
      </c>
    </row>
    <row r="262" spans="1:6" x14ac:dyDescent="0.25">
      <c r="A262" s="4" t="str">
        <f t="shared" si="40"/>
        <v>1860</v>
      </c>
      <c r="B262" s="4" t="str">
        <f t="shared" si="41"/>
        <v>Прочие дебиторы по банковской деятельности</v>
      </c>
      <c r="C262" s="4" t="str">
        <f>"2"</f>
        <v>2</v>
      </c>
      <c r="D262" s="4" t="str">
        <f>"4"</f>
        <v>4</v>
      </c>
      <c r="E262" s="4" t="str">
        <f>"3"</f>
        <v>3</v>
      </c>
      <c r="F262" s="5">
        <v>41209592.200000003</v>
      </c>
    </row>
    <row r="263" spans="1:6" x14ac:dyDescent="0.25">
      <c r="A263" s="4" t="str">
        <f t="shared" si="40"/>
        <v>1860</v>
      </c>
      <c r="B263" s="4" t="str">
        <f t="shared" si="41"/>
        <v>Прочие дебиторы по банковской деятельности</v>
      </c>
      <c r="C263" s="4" t="str">
        <f>"2"</f>
        <v>2</v>
      </c>
      <c r="D263" s="4" t="str">
        <f>"5"</f>
        <v>5</v>
      </c>
      <c r="E263" s="4" t="str">
        <f>"1"</f>
        <v>1</v>
      </c>
      <c r="F263" s="5">
        <v>2000000</v>
      </c>
    </row>
    <row r="264" spans="1:6" x14ac:dyDescent="0.25">
      <c r="A264" s="4" t="str">
        <f t="shared" si="40"/>
        <v>1860</v>
      </c>
      <c r="B264" s="4" t="str">
        <f t="shared" si="41"/>
        <v>Прочие дебиторы по банковской деятельности</v>
      </c>
      <c r="C264" s="4" t="str">
        <f>"1"</f>
        <v>1</v>
      </c>
      <c r="D264" s="4" t="str">
        <f>"1"</f>
        <v>1</v>
      </c>
      <c r="E264" s="4" t="str">
        <f>"1"</f>
        <v>1</v>
      </c>
      <c r="F264" s="5">
        <v>2276167.9500000002</v>
      </c>
    </row>
    <row r="265" spans="1:6" x14ac:dyDescent="0.25">
      <c r="A265" s="4" t="str">
        <f t="shared" si="40"/>
        <v>1860</v>
      </c>
      <c r="B265" s="4" t="str">
        <f t="shared" si="41"/>
        <v>Прочие дебиторы по банковской деятельности</v>
      </c>
      <c r="C265" s="4" t="str">
        <f>"2"</f>
        <v>2</v>
      </c>
      <c r="D265" s="4" t="str">
        <f>"9"</f>
        <v>9</v>
      </c>
      <c r="E265" s="4" t="str">
        <f>"2"</f>
        <v>2</v>
      </c>
      <c r="F265" s="5">
        <v>106698.46</v>
      </c>
    </row>
    <row r="266" spans="1:6" x14ac:dyDescent="0.25">
      <c r="A266" s="4" t="str">
        <f t="shared" si="40"/>
        <v>1860</v>
      </c>
      <c r="B266" s="4" t="str">
        <f t="shared" si="41"/>
        <v>Прочие дебиторы по банковской деятельности</v>
      </c>
      <c r="C266" s="4" t="str">
        <f>"2"</f>
        <v>2</v>
      </c>
      <c r="D266" s="4" t="str">
        <f>"9"</f>
        <v>9</v>
      </c>
      <c r="E266" s="4" t="str">
        <f>"1"</f>
        <v>1</v>
      </c>
      <c r="F266" s="5">
        <v>1840506.24</v>
      </c>
    </row>
    <row r="267" spans="1:6" x14ac:dyDescent="0.25">
      <c r="A267" s="4" t="str">
        <f t="shared" si="40"/>
        <v>1860</v>
      </c>
      <c r="B267" s="4" t="str">
        <f t="shared" si="41"/>
        <v>Прочие дебиторы по банковской деятельности</v>
      </c>
      <c r="C267" s="4" t="str">
        <f>"1"</f>
        <v>1</v>
      </c>
      <c r="D267" s="4" t="str">
        <f>"9"</f>
        <v>9</v>
      </c>
      <c r="E267" s="4" t="str">
        <f>"1"</f>
        <v>1</v>
      </c>
      <c r="F267" s="5">
        <v>1567988053.8199999</v>
      </c>
    </row>
    <row r="268" spans="1:6" x14ac:dyDescent="0.25">
      <c r="A268" s="4" t="str">
        <f t="shared" si="40"/>
        <v>1860</v>
      </c>
      <c r="B268" s="4" t="str">
        <f t="shared" si="41"/>
        <v>Прочие дебиторы по банковской деятельности</v>
      </c>
      <c r="C268" s="4" t="str">
        <f>"2"</f>
        <v>2</v>
      </c>
      <c r="D268" s="4" t="str">
        <f>"5"</f>
        <v>5</v>
      </c>
      <c r="E268" s="4" t="str">
        <f>"2"</f>
        <v>2</v>
      </c>
      <c r="F268" s="5">
        <v>633050016.03999996</v>
      </c>
    </row>
    <row r="269" spans="1:6" x14ac:dyDescent="0.25">
      <c r="A269" s="4" t="str">
        <f t="shared" si="40"/>
        <v>1860</v>
      </c>
      <c r="B269" s="4" t="str">
        <f t="shared" si="41"/>
        <v>Прочие дебиторы по банковской деятельности</v>
      </c>
      <c r="C269" s="4" t="str">
        <f>"1"</f>
        <v>1</v>
      </c>
      <c r="D269" s="4" t="str">
        <f>"6"</f>
        <v>6</v>
      </c>
      <c r="E269" s="4" t="str">
        <f>"1"</f>
        <v>1</v>
      </c>
      <c r="F269" s="5">
        <v>140300</v>
      </c>
    </row>
    <row r="270" spans="1:6" x14ac:dyDescent="0.25">
      <c r="A270" s="4" t="str">
        <f t="shared" si="40"/>
        <v>1860</v>
      </c>
      <c r="B270" s="4" t="str">
        <f t="shared" si="41"/>
        <v>Прочие дебиторы по банковской деятельности</v>
      </c>
      <c r="C270" s="4" t="str">
        <f>"1"</f>
        <v>1</v>
      </c>
      <c r="D270" s="4" t="str">
        <f>"4"</f>
        <v>4</v>
      </c>
      <c r="E270" s="4" t="str">
        <f>"1"</f>
        <v>1</v>
      </c>
      <c r="F270" s="5">
        <v>2481679.5299999998</v>
      </c>
    </row>
    <row r="271" spans="1:6" x14ac:dyDescent="0.25">
      <c r="A271" s="4" t="str">
        <f t="shared" si="40"/>
        <v>1860</v>
      </c>
      <c r="B271" s="4" t="str">
        <f t="shared" si="41"/>
        <v>Прочие дебиторы по банковской деятельности</v>
      </c>
      <c r="C271" s="4" t="str">
        <f>"1"</f>
        <v>1</v>
      </c>
      <c r="D271" s="4" t="str">
        <f>"7"</f>
        <v>7</v>
      </c>
      <c r="E271" s="4" t="str">
        <f>"1"</f>
        <v>1</v>
      </c>
      <c r="F271" s="5">
        <v>9833007370.9599991</v>
      </c>
    </row>
    <row r="272" spans="1:6" x14ac:dyDescent="0.25">
      <c r="A272" s="4" t="str">
        <f t="shared" si="40"/>
        <v>1860</v>
      </c>
      <c r="B272" s="4" t="str">
        <f t="shared" si="41"/>
        <v>Прочие дебиторы по банковской деятельности</v>
      </c>
      <c r="C272" s="4" t="str">
        <f>"2"</f>
        <v>2</v>
      </c>
      <c r="D272" s="4" t="str">
        <f>"5"</f>
        <v>5</v>
      </c>
      <c r="E272" s="4" t="str">
        <f>"3"</f>
        <v>3</v>
      </c>
      <c r="F272" s="5">
        <v>184212.99</v>
      </c>
    </row>
    <row r="273" spans="1:6" x14ac:dyDescent="0.25">
      <c r="A273" s="4" t="str">
        <f t="shared" si="40"/>
        <v>1860</v>
      </c>
      <c r="B273" s="4" t="str">
        <f t="shared" si="41"/>
        <v>Прочие дебиторы по банковской деятельности</v>
      </c>
      <c r="C273" s="4" t="str">
        <f>"1"</f>
        <v>1</v>
      </c>
      <c r="D273" s="4" t="str">
        <f>"7"</f>
        <v>7</v>
      </c>
      <c r="E273" s="4" t="str">
        <f>"2"</f>
        <v>2</v>
      </c>
      <c r="F273" s="5">
        <v>19056.509999999998</v>
      </c>
    </row>
    <row r="274" spans="1:6" x14ac:dyDescent="0.25">
      <c r="A274" s="4" t="str">
        <f t="shared" si="40"/>
        <v>1860</v>
      </c>
      <c r="B274" s="4" t="str">
        <f t="shared" si="41"/>
        <v>Прочие дебиторы по банковской деятельности</v>
      </c>
      <c r="C274" s="4" t="str">
        <f>"1"</f>
        <v>1</v>
      </c>
      <c r="D274" s="4" t="str">
        <f>"9"</f>
        <v>9</v>
      </c>
      <c r="E274" s="4" t="str">
        <f>"2"</f>
        <v>2</v>
      </c>
      <c r="F274" s="5">
        <v>11832030.52</v>
      </c>
    </row>
    <row r="275" spans="1:6" x14ac:dyDescent="0.25">
      <c r="A275" s="4" t="str">
        <f t="shared" si="40"/>
        <v>1860</v>
      </c>
      <c r="B275" s="4" t="str">
        <f t="shared" si="41"/>
        <v>Прочие дебиторы по банковской деятельности</v>
      </c>
      <c r="C275" s="4" t="str">
        <f>"1"</f>
        <v>1</v>
      </c>
      <c r="D275" s="4" t="str">
        <f>"4"</f>
        <v>4</v>
      </c>
      <c r="E275" s="4" t="str">
        <f>"2"</f>
        <v>2</v>
      </c>
      <c r="F275" s="5">
        <v>29364576</v>
      </c>
    </row>
    <row r="276" spans="1:6" x14ac:dyDescent="0.25">
      <c r="A276" s="4" t="str">
        <f t="shared" si="40"/>
        <v>1860</v>
      </c>
      <c r="B276" s="4" t="str">
        <f t="shared" si="41"/>
        <v>Прочие дебиторы по банковской деятельности</v>
      </c>
      <c r="C276" s="4" t="str">
        <f>"2"</f>
        <v>2</v>
      </c>
      <c r="D276" s="4" t="str">
        <f>"1"</f>
        <v>1</v>
      </c>
      <c r="E276" s="4" t="str">
        <f>"1"</f>
        <v>1</v>
      </c>
      <c r="F276" s="5">
        <v>137653.20000000001</v>
      </c>
    </row>
    <row r="277" spans="1:6" x14ac:dyDescent="0.25">
      <c r="A277" s="4" t="str">
        <f t="shared" si="40"/>
        <v>1860</v>
      </c>
      <c r="B277" s="4" t="str">
        <f t="shared" si="41"/>
        <v>Прочие дебиторы по банковской деятельности</v>
      </c>
      <c r="C277" s="4" t="str">
        <f>"2"</f>
        <v>2</v>
      </c>
      <c r="D277" s="4" t="str">
        <f>"4"</f>
        <v>4</v>
      </c>
      <c r="E277" s="4" t="str">
        <f>"2"</f>
        <v>2</v>
      </c>
      <c r="F277" s="5">
        <v>1990686.43</v>
      </c>
    </row>
    <row r="278" spans="1:6" x14ac:dyDescent="0.25">
      <c r="A278" s="4" t="str">
        <f t="shared" si="40"/>
        <v>1860</v>
      </c>
      <c r="B278" s="4" t="str">
        <f t="shared" si="41"/>
        <v>Прочие дебиторы по банковской деятельности</v>
      </c>
      <c r="C278" s="4" t="str">
        <f>"1"</f>
        <v>1</v>
      </c>
      <c r="D278" s="4" t="str">
        <f>"8"</f>
        <v>8</v>
      </c>
      <c r="E278" s="4" t="str">
        <f>"1"</f>
        <v>1</v>
      </c>
      <c r="F278" s="5">
        <v>40022310</v>
      </c>
    </row>
    <row r="279" spans="1:6" x14ac:dyDescent="0.25">
      <c r="A279" s="4" t="str">
        <f t="shared" si="40"/>
        <v>1860</v>
      </c>
      <c r="B279" s="4" t="str">
        <f t="shared" si="41"/>
        <v>Прочие дебиторы по банковской деятельности</v>
      </c>
      <c r="C279" s="4" t="str">
        <f>"2"</f>
        <v>2</v>
      </c>
      <c r="D279" s="4" t="str">
        <f>"7"</f>
        <v>7</v>
      </c>
      <c r="E279" s="4" t="str">
        <f>"3"</f>
        <v>3</v>
      </c>
      <c r="F279" s="5">
        <v>54443641.979999997</v>
      </c>
    </row>
    <row r="280" spans="1:6" x14ac:dyDescent="0.25">
      <c r="A280" s="4" t="str">
        <f>"1861"</f>
        <v>1861</v>
      </c>
      <c r="B280" s="4" t="str">
        <f>"Дебиторы по гарантиям"</f>
        <v>Дебиторы по гарантиям</v>
      </c>
      <c r="C280" s="4" t="str">
        <f t="shared" ref="C280:C285" si="42">"1"</f>
        <v>1</v>
      </c>
      <c r="D280" s="4" t="str">
        <f>"7"</f>
        <v>7</v>
      </c>
      <c r="E280" s="4" t="str">
        <f t="shared" ref="E280:E287" si="43">"1"</f>
        <v>1</v>
      </c>
      <c r="F280" s="5">
        <v>1195370404</v>
      </c>
    </row>
    <row r="281" spans="1:6" x14ac:dyDescent="0.25">
      <c r="A281" s="4" t="str">
        <f t="shared" ref="A281:A287" si="44">"1867"</f>
        <v>1867</v>
      </c>
      <c r="B281" s="4" t="str">
        <f t="shared" ref="B281:B287" si="45">"Прочие дебиторы по неосновной деятельности"</f>
        <v>Прочие дебиторы по неосновной деятельности</v>
      </c>
      <c r="C281" s="4" t="str">
        <f t="shared" si="42"/>
        <v>1</v>
      </c>
      <c r="D281" s="4" t="str">
        <f>"1"</f>
        <v>1</v>
      </c>
      <c r="E281" s="4" t="str">
        <f t="shared" si="43"/>
        <v>1</v>
      </c>
      <c r="F281" s="5">
        <v>262333.64</v>
      </c>
    </row>
    <row r="282" spans="1:6" x14ac:dyDescent="0.25">
      <c r="A282" s="4" t="str">
        <f t="shared" si="44"/>
        <v>1867</v>
      </c>
      <c r="B282" s="4" t="str">
        <f t="shared" si="45"/>
        <v>Прочие дебиторы по неосновной деятельности</v>
      </c>
      <c r="C282" s="4" t="str">
        <f t="shared" si="42"/>
        <v>1</v>
      </c>
      <c r="D282" s="4" t="str">
        <f>"8"</f>
        <v>8</v>
      </c>
      <c r="E282" s="4" t="str">
        <f t="shared" si="43"/>
        <v>1</v>
      </c>
      <c r="F282" s="5">
        <v>651626</v>
      </c>
    </row>
    <row r="283" spans="1:6" x14ac:dyDescent="0.25">
      <c r="A283" s="4" t="str">
        <f t="shared" si="44"/>
        <v>1867</v>
      </c>
      <c r="B283" s="4" t="str">
        <f t="shared" si="45"/>
        <v>Прочие дебиторы по неосновной деятельности</v>
      </c>
      <c r="C283" s="4" t="str">
        <f t="shared" si="42"/>
        <v>1</v>
      </c>
      <c r="D283" s="4" t="str">
        <f>"6"</f>
        <v>6</v>
      </c>
      <c r="E283" s="4" t="str">
        <f t="shared" si="43"/>
        <v>1</v>
      </c>
      <c r="F283" s="5">
        <v>13291634.67</v>
      </c>
    </row>
    <row r="284" spans="1:6" x14ac:dyDescent="0.25">
      <c r="A284" s="4" t="str">
        <f t="shared" si="44"/>
        <v>1867</v>
      </c>
      <c r="B284" s="4" t="str">
        <f t="shared" si="45"/>
        <v>Прочие дебиторы по неосновной деятельности</v>
      </c>
      <c r="C284" s="4" t="str">
        <f t="shared" si="42"/>
        <v>1</v>
      </c>
      <c r="D284" s="4" t="str">
        <f>"5"</f>
        <v>5</v>
      </c>
      <c r="E284" s="4" t="str">
        <f t="shared" si="43"/>
        <v>1</v>
      </c>
      <c r="F284" s="5">
        <v>52708894</v>
      </c>
    </row>
    <row r="285" spans="1:6" x14ac:dyDescent="0.25">
      <c r="A285" s="4" t="str">
        <f t="shared" si="44"/>
        <v>1867</v>
      </c>
      <c r="B285" s="4" t="str">
        <f t="shared" si="45"/>
        <v>Прочие дебиторы по неосновной деятельности</v>
      </c>
      <c r="C285" s="4" t="str">
        <f t="shared" si="42"/>
        <v>1</v>
      </c>
      <c r="D285" s="4" t="str">
        <f>"7"</f>
        <v>7</v>
      </c>
      <c r="E285" s="4" t="str">
        <f t="shared" si="43"/>
        <v>1</v>
      </c>
      <c r="F285" s="5">
        <v>8859272820.2700005</v>
      </c>
    </row>
    <row r="286" spans="1:6" x14ac:dyDescent="0.25">
      <c r="A286" s="4" t="str">
        <f t="shared" si="44"/>
        <v>1867</v>
      </c>
      <c r="B286" s="4" t="str">
        <f t="shared" si="45"/>
        <v>Прочие дебиторы по неосновной деятельности</v>
      </c>
      <c r="C286" s="4" t="str">
        <f>"2"</f>
        <v>2</v>
      </c>
      <c r="D286" s="4" t="str">
        <f>"7"</f>
        <v>7</v>
      </c>
      <c r="E286" s="4" t="str">
        <f t="shared" si="43"/>
        <v>1</v>
      </c>
      <c r="F286" s="5">
        <v>205661029.40000001</v>
      </c>
    </row>
    <row r="287" spans="1:6" x14ac:dyDescent="0.25">
      <c r="A287" s="4" t="str">
        <f t="shared" si="44"/>
        <v>1867</v>
      </c>
      <c r="B287" s="4" t="str">
        <f t="shared" si="45"/>
        <v>Прочие дебиторы по неосновной деятельности</v>
      </c>
      <c r="C287" s="4" t="str">
        <f>"1"</f>
        <v>1</v>
      </c>
      <c r="D287" s="4" t="str">
        <f>"9"</f>
        <v>9</v>
      </c>
      <c r="E287" s="4" t="str">
        <f t="shared" si="43"/>
        <v>1</v>
      </c>
      <c r="F287" s="5">
        <v>419159651.05000001</v>
      </c>
    </row>
    <row r="288" spans="1:6" x14ac:dyDescent="0.25">
      <c r="A288" s="4" t="str">
        <f t="shared" ref="A288:A294" si="46">"1870"</f>
        <v>1870</v>
      </c>
      <c r="B288" s="4" t="str">
        <f t="shared" ref="B288:B294" si="47">"Прочие транзитные счета"</f>
        <v>Прочие транзитные счета</v>
      </c>
      <c r="C288" s="4" t="str">
        <f>"1"</f>
        <v>1</v>
      </c>
      <c r="D288" s="4" t="str">
        <f>"9"</f>
        <v>9</v>
      </c>
      <c r="E288" s="4" t="str">
        <f>"2"</f>
        <v>2</v>
      </c>
      <c r="F288" s="5">
        <v>43443432.530000001</v>
      </c>
    </row>
    <row r="289" spans="1:6" x14ac:dyDescent="0.25">
      <c r="A289" s="4" t="str">
        <f t="shared" si="46"/>
        <v>1870</v>
      </c>
      <c r="B289" s="4" t="str">
        <f t="shared" si="47"/>
        <v>Прочие транзитные счета</v>
      </c>
      <c r="C289" s="4" t="str">
        <f>"2"</f>
        <v>2</v>
      </c>
      <c r="D289" s="4" t="str">
        <f>"4"</f>
        <v>4</v>
      </c>
      <c r="E289" s="4" t="str">
        <f>"2"</f>
        <v>2</v>
      </c>
      <c r="F289" s="5">
        <v>249341159.74000001</v>
      </c>
    </row>
    <row r="290" spans="1:6" x14ac:dyDescent="0.25">
      <c r="A290" s="4" t="str">
        <f t="shared" si="46"/>
        <v>1870</v>
      </c>
      <c r="B290" s="4" t="str">
        <f t="shared" si="47"/>
        <v>Прочие транзитные счета</v>
      </c>
      <c r="C290" s="4" t="str">
        <f>"2"</f>
        <v>2</v>
      </c>
      <c r="D290" s="4" t="str">
        <f>"4"</f>
        <v>4</v>
      </c>
      <c r="E290" s="4" t="str">
        <f>"3"</f>
        <v>3</v>
      </c>
      <c r="F290" s="5">
        <v>16356477.880000001</v>
      </c>
    </row>
    <row r="291" spans="1:6" x14ac:dyDescent="0.25">
      <c r="A291" s="4" t="str">
        <f t="shared" si="46"/>
        <v>1870</v>
      </c>
      <c r="B291" s="4" t="str">
        <f t="shared" si="47"/>
        <v>Прочие транзитные счета</v>
      </c>
      <c r="C291" s="4" t="str">
        <f>"1"</f>
        <v>1</v>
      </c>
      <c r="D291" s="4" t="str">
        <f>"3"</f>
        <v>3</v>
      </c>
      <c r="E291" s="4" t="str">
        <f>"2"</f>
        <v>2</v>
      </c>
      <c r="F291" s="5">
        <v>59092800000</v>
      </c>
    </row>
    <row r="292" spans="1:6" x14ac:dyDescent="0.25">
      <c r="A292" s="4" t="str">
        <f t="shared" si="46"/>
        <v>1870</v>
      </c>
      <c r="B292" s="4" t="str">
        <f t="shared" si="47"/>
        <v>Прочие транзитные счета</v>
      </c>
      <c r="C292" s="4" t="str">
        <f>"1"</f>
        <v>1</v>
      </c>
      <c r="D292" s="4" t="str">
        <f>"9"</f>
        <v>9</v>
      </c>
      <c r="E292" s="4" t="str">
        <f>"3"</f>
        <v>3</v>
      </c>
      <c r="F292" s="5">
        <v>50761.87</v>
      </c>
    </row>
    <row r="293" spans="1:6" x14ac:dyDescent="0.25">
      <c r="A293" s="4" t="str">
        <f t="shared" si="46"/>
        <v>1870</v>
      </c>
      <c r="B293" s="4" t="str">
        <f t="shared" si="47"/>
        <v>Прочие транзитные счета</v>
      </c>
      <c r="C293" s="4" t="str">
        <f>"1"</f>
        <v>1</v>
      </c>
      <c r="D293" s="4" t="str">
        <f>"3"</f>
        <v>3</v>
      </c>
      <c r="E293" s="4" t="str">
        <f>"1"</f>
        <v>1</v>
      </c>
      <c r="F293" s="5">
        <v>108748</v>
      </c>
    </row>
    <row r="294" spans="1:6" x14ac:dyDescent="0.25">
      <c r="A294" s="4" t="str">
        <f t="shared" si="46"/>
        <v>1870</v>
      </c>
      <c r="B294" s="4" t="str">
        <f t="shared" si="47"/>
        <v>Прочие транзитные счета</v>
      </c>
      <c r="C294" s="4" t="str">
        <f>"1"</f>
        <v>1</v>
      </c>
      <c r="D294" s="4" t="str">
        <f>"9"</f>
        <v>9</v>
      </c>
      <c r="E294" s="4" t="str">
        <f>"1"</f>
        <v>1</v>
      </c>
      <c r="F294" s="5">
        <v>961016418.46000004</v>
      </c>
    </row>
    <row r="295" spans="1:6" x14ac:dyDescent="0.25">
      <c r="A295" s="4" t="str">
        <f t="shared" ref="A295:A307" si="48">"1877"</f>
        <v>1877</v>
      </c>
      <c r="B295" s="4" t="str">
        <f t="shared" ref="B295:B307" si="49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C295" s="4" t="str">
        <f>"2"</f>
        <v>2</v>
      </c>
      <c r="D295" s="4" t="str">
        <f>"5"</f>
        <v>5</v>
      </c>
      <c r="E295" s="4" t="str">
        <f>"2"</f>
        <v>2</v>
      </c>
      <c r="F295" s="5">
        <v>-586049207.51999998</v>
      </c>
    </row>
    <row r="296" spans="1:6" x14ac:dyDescent="0.25">
      <c r="A296" s="4" t="str">
        <f t="shared" si="48"/>
        <v>1877</v>
      </c>
      <c r="B296" s="4" t="str">
        <f t="shared" si="49"/>
        <v>Резервы (провизии) по дебиторской задолженности, связанной с банковской деятельностью</v>
      </c>
      <c r="C296" s="4" t="str">
        <f>"1"</f>
        <v>1</v>
      </c>
      <c r="D296" s="4" t="str">
        <f>"7"</f>
        <v>7</v>
      </c>
      <c r="E296" s="4" t="str">
        <f>"1"</f>
        <v>1</v>
      </c>
      <c r="F296" s="5">
        <v>-2728464776.1799998</v>
      </c>
    </row>
    <row r="297" spans="1:6" x14ac:dyDescent="0.25">
      <c r="A297" s="4" t="str">
        <f t="shared" si="48"/>
        <v>1877</v>
      </c>
      <c r="B297" s="4" t="str">
        <f t="shared" si="49"/>
        <v>Резервы (провизии) по дебиторской задолженности, связанной с банковской деятельностью</v>
      </c>
      <c r="C297" s="4" t="str">
        <f>"1"</f>
        <v>1</v>
      </c>
      <c r="D297" s="4" t="str">
        <f>"4"</f>
        <v>4</v>
      </c>
      <c r="E297" s="4" t="str">
        <f>"2"</f>
        <v>2</v>
      </c>
      <c r="F297" s="5">
        <v>-916174.77</v>
      </c>
    </row>
    <row r="298" spans="1:6" x14ac:dyDescent="0.25">
      <c r="A298" s="4" t="str">
        <f t="shared" si="48"/>
        <v>1877</v>
      </c>
      <c r="B298" s="4" t="str">
        <f t="shared" si="49"/>
        <v>Резервы (провизии) по дебиторской задолженности, связанной с банковской деятельностью</v>
      </c>
      <c r="C298" s="4" t="str">
        <f>"1"</f>
        <v>1</v>
      </c>
      <c r="D298" s="4" t="str">
        <f>"4"</f>
        <v>4</v>
      </c>
      <c r="E298" s="4" t="str">
        <f>"1"</f>
        <v>1</v>
      </c>
      <c r="F298" s="5">
        <v>-2170199.25</v>
      </c>
    </row>
    <row r="299" spans="1:6" x14ac:dyDescent="0.25">
      <c r="A299" s="4" t="str">
        <f t="shared" si="48"/>
        <v>1877</v>
      </c>
      <c r="B299" s="4" t="str">
        <f t="shared" si="49"/>
        <v>Резервы (провизии) по дебиторской задолженности, связанной с банковской деятельностью</v>
      </c>
      <c r="C299" s="4" t="str">
        <f>"2"</f>
        <v>2</v>
      </c>
      <c r="D299" s="4" t="str">
        <f>"4"</f>
        <v>4</v>
      </c>
      <c r="E299" s="4" t="str">
        <f>"3"</f>
        <v>3</v>
      </c>
      <c r="F299" s="5">
        <v>-33768707.200000003</v>
      </c>
    </row>
    <row r="300" spans="1:6" x14ac:dyDescent="0.25">
      <c r="A300" s="4" t="str">
        <f t="shared" si="48"/>
        <v>1877</v>
      </c>
      <c r="B300" s="4" t="str">
        <f t="shared" si="49"/>
        <v>Резервы (провизии) по дебиторской задолженности, связанной с банковской деятельностью</v>
      </c>
      <c r="C300" s="4" t="str">
        <f>"2"</f>
        <v>2</v>
      </c>
      <c r="D300" s="4" t="str">
        <f>"4"</f>
        <v>4</v>
      </c>
      <c r="E300" s="4" t="str">
        <f>"2"</f>
        <v>2</v>
      </c>
      <c r="F300" s="5">
        <v>-62111.08</v>
      </c>
    </row>
    <row r="301" spans="1:6" x14ac:dyDescent="0.25">
      <c r="A301" s="4" t="str">
        <f t="shared" si="48"/>
        <v>1877</v>
      </c>
      <c r="B301" s="4" t="str">
        <f t="shared" si="49"/>
        <v>Резервы (провизии) по дебиторской задолженности, связанной с банковской деятельностью</v>
      </c>
      <c r="C301" s="4" t="str">
        <f>"1"</f>
        <v>1</v>
      </c>
      <c r="D301" s="4" t="str">
        <f>"5"</f>
        <v>5</v>
      </c>
      <c r="E301" s="4" t="str">
        <f>"1"</f>
        <v>1</v>
      </c>
      <c r="F301" s="5">
        <v>-223023.63</v>
      </c>
    </row>
    <row r="302" spans="1:6" x14ac:dyDescent="0.25">
      <c r="A302" s="4" t="str">
        <f t="shared" si="48"/>
        <v>1877</v>
      </c>
      <c r="B302" s="4" t="str">
        <f t="shared" si="49"/>
        <v>Резервы (провизии) по дебиторской задолженности, связанной с банковской деятельностью</v>
      </c>
      <c r="C302" s="4" t="str">
        <f>"2"</f>
        <v>2</v>
      </c>
      <c r="D302" s="4" t="str">
        <f>"9"</f>
        <v>9</v>
      </c>
      <c r="E302" s="4" t="str">
        <f>"1"</f>
        <v>1</v>
      </c>
      <c r="F302" s="5">
        <v>-1607136.56</v>
      </c>
    </row>
    <row r="303" spans="1:6" x14ac:dyDescent="0.25">
      <c r="A303" s="4" t="str">
        <f t="shared" si="48"/>
        <v>1877</v>
      </c>
      <c r="B303" s="4" t="str">
        <f t="shared" si="49"/>
        <v>Резервы (провизии) по дебиторской задолженности, связанной с банковской деятельностью</v>
      </c>
      <c r="C303" s="4" t="str">
        <f>"2"</f>
        <v>2</v>
      </c>
      <c r="D303" s="4" t="str">
        <f>"5"</f>
        <v>5</v>
      </c>
      <c r="E303" s="4" t="str">
        <f>"3"</f>
        <v>3</v>
      </c>
      <c r="F303" s="5">
        <v>-5747.45</v>
      </c>
    </row>
    <row r="304" spans="1:6" x14ac:dyDescent="0.25">
      <c r="A304" s="4" t="str">
        <f t="shared" si="48"/>
        <v>1877</v>
      </c>
      <c r="B304" s="4" t="str">
        <f t="shared" si="49"/>
        <v>Резервы (провизии) по дебиторской задолженности, связанной с банковской деятельностью</v>
      </c>
      <c r="C304" s="4" t="str">
        <f>"2"</f>
        <v>2</v>
      </c>
      <c r="D304" s="4" t="str">
        <f>"7"</f>
        <v>7</v>
      </c>
      <c r="E304" s="4" t="str">
        <f>"3"</f>
        <v>3</v>
      </c>
      <c r="F304" s="5">
        <v>-53937641.979999997</v>
      </c>
    </row>
    <row r="305" spans="1:6" x14ac:dyDescent="0.25">
      <c r="A305" s="4" t="str">
        <f t="shared" si="48"/>
        <v>1877</v>
      </c>
      <c r="B305" s="4" t="str">
        <f t="shared" si="49"/>
        <v>Резервы (провизии) по дебиторской задолженности, связанной с банковской деятельностью</v>
      </c>
      <c r="C305" s="4" t="str">
        <f>"1"</f>
        <v>1</v>
      </c>
      <c r="D305" s="4" t="str">
        <f>"9"</f>
        <v>9</v>
      </c>
      <c r="E305" s="4" t="str">
        <f>"1"</f>
        <v>1</v>
      </c>
      <c r="F305" s="5">
        <v>-2063334275.95</v>
      </c>
    </row>
    <row r="306" spans="1:6" x14ac:dyDescent="0.25">
      <c r="A306" s="4" t="str">
        <f t="shared" si="48"/>
        <v>1877</v>
      </c>
      <c r="B306" s="4" t="str">
        <f t="shared" si="49"/>
        <v>Резервы (провизии) по дебиторской задолженности, связанной с банковской деятельностью</v>
      </c>
      <c r="C306" s="4" t="str">
        <f>"1"</f>
        <v>1</v>
      </c>
      <c r="D306" s="4" t="str">
        <f>"9"</f>
        <v>9</v>
      </c>
      <c r="E306" s="4" t="str">
        <f>"2"</f>
        <v>2</v>
      </c>
      <c r="F306" s="5">
        <v>-11604602.51</v>
      </c>
    </row>
    <row r="307" spans="1:6" x14ac:dyDescent="0.25">
      <c r="A307" s="4" t="str">
        <f t="shared" si="48"/>
        <v>1877</v>
      </c>
      <c r="B307" s="4" t="str">
        <f t="shared" si="49"/>
        <v>Резервы (провизии) по дебиторской задолженности, связанной с банковской деятельностью</v>
      </c>
      <c r="C307" s="4" t="str">
        <f>"2"</f>
        <v>2</v>
      </c>
      <c r="D307" s="4" t="str">
        <f>"9"</f>
        <v>9</v>
      </c>
      <c r="E307" s="4" t="str">
        <f>"2"</f>
        <v>2</v>
      </c>
      <c r="F307" s="5">
        <v>-93561.51</v>
      </c>
    </row>
    <row r="308" spans="1:6" x14ac:dyDescent="0.25">
      <c r="A308" s="4" t="str">
        <f>"1878"</f>
        <v>1878</v>
      </c>
      <c r="B308" s="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308" s="4" t="str">
        <f>"1"</f>
        <v>1</v>
      </c>
      <c r="D308" s="4" t="str">
        <f>"7"</f>
        <v>7</v>
      </c>
      <c r="E308" s="4" t="str">
        <f t="shared" ref="E308:E314" si="50">"1"</f>
        <v>1</v>
      </c>
      <c r="F308" s="5">
        <v>-7469939331</v>
      </c>
    </row>
    <row r="309" spans="1:6" x14ac:dyDescent="0.25">
      <c r="A309" s="4" t="str">
        <f>"1878"</f>
        <v>1878</v>
      </c>
      <c r="B309" s="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309" s="4" t="str">
        <f>"2"</f>
        <v>2</v>
      </c>
      <c r="D309" s="4" t="str">
        <f>"7"</f>
        <v>7</v>
      </c>
      <c r="E309" s="4" t="str">
        <f t="shared" si="50"/>
        <v>1</v>
      </c>
      <c r="F309" s="5">
        <v>-4662500</v>
      </c>
    </row>
    <row r="310" spans="1:6" x14ac:dyDescent="0.25">
      <c r="A310" s="4" t="str">
        <f>"1878"</f>
        <v>1878</v>
      </c>
      <c r="B310" s="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310" s="4" t="str">
        <f>"1"</f>
        <v>1</v>
      </c>
      <c r="D310" s="4" t="str">
        <f>"9"</f>
        <v>9</v>
      </c>
      <c r="E310" s="4" t="str">
        <f t="shared" si="50"/>
        <v>1</v>
      </c>
      <c r="F310" s="5">
        <v>-26247350.390000001</v>
      </c>
    </row>
    <row r="311" spans="1:6" x14ac:dyDescent="0.25">
      <c r="A311" s="4" t="str">
        <f>"1879"</f>
        <v>1879</v>
      </c>
      <c r="B311" s="4" t="str">
        <f>"Начисленная неустойка (штраф, пеня)"</f>
        <v>Начисленная неустойка (штраф, пеня)</v>
      </c>
      <c r="C311" s="4" t="str">
        <f>"1"</f>
        <v>1</v>
      </c>
      <c r="D311" s="4" t="str">
        <f>"9"</f>
        <v>9</v>
      </c>
      <c r="E311" s="4" t="str">
        <f t="shared" si="50"/>
        <v>1</v>
      </c>
      <c r="F311" s="5">
        <v>583820196.42999995</v>
      </c>
    </row>
    <row r="312" spans="1:6" x14ac:dyDescent="0.25">
      <c r="A312" s="4" t="str">
        <f>"1879"</f>
        <v>1879</v>
      </c>
      <c r="B312" s="4" t="str">
        <f>"Начисленная неустойка (штраф, пеня)"</f>
        <v>Начисленная неустойка (штраф, пеня)</v>
      </c>
      <c r="C312" s="4" t="str">
        <f>"2"</f>
        <v>2</v>
      </c>
      <c r="D312" s="4" t="str">
        <f>"9"</f>
        <v>9</v>
      </c>
      <c r="E312" s="4" t="str">
        <f t="shared" si="50"/>
        <v>1</v>
      </c>
      <c r="F312" s="5">
        <v>19852.990000000002</v>
      </c>
    </row>
    <row r="313" spans="1:6" x14ac:dyDescent="0.25">
      <c r="A313" s="4" t="str">
        <f>"1879"</f>
        <v>1879</v>
      </c>
      <c r="B313" s="4" t="str">
        <f>"Начисленная неустойка (штраф, пеня)"</f>
        <v>Начисленная неустойка (штраф, пеня)</v>
      </c>
      <c r="C313" s="4" t="str">
        <f t="shared" ref="C313:C319" si="51">"1"</f>
        <v>1</v>
      </c>
      <c r="D313" s="4" t="str">
        <f>"5"</f>
        <v>5</v>
      </c>
      <c r="E313" s="4" t="str">
        <f t="shared" si="50"/>
        <v>1</v>
      </c>
      <c r="F313" s="5">
        <v>3644969.99</v>
      </c>
    </row>
    <row r="314" spans="1:6" x14ac:dyDescent="0.25">
      <c r="A314" s="4" t="str">
        <f>"1879"</f>
        <v>1879</v>
      </c>
      <c r="B314" s="4" t="str">
        <f>"Начисленная неустойка (штраф, пеня)"</f>
        <v>Начисленная неустойка (штраф, пеня)</v>
      </c>
      <c r="C314" s="4" t="str">
        <f t="shared" si="51"/>
        <v>1</v>
      </c>
      <c r="D314" s="4" t="str">
        <f>"7"</f>
        <v>7</v>
      </c>
      <c r="E314" s="4" t="str">
        <f t="shared" si="50"/>
        <v>1</v>
      </c>
      <c r="F314" s="5">
        <v>580425321.63</v>
      </c>
    </row>
    <row r="315" spans="1:6" x14ac:dyDescent="0.25">
      <c r="A315" s="4" t="str">
        <f>"1894"</f>
        <v>1894</v>
      </c>
      <c r="B315" s="4" t="str">
        <f>"Требования по операциям спот"</f>
        <v>Требования по операциям спот</v>
      </c>
      <c r="C315" s="4" t="str">
        <f t="shared" si="51"/>
        <v>1</v>
      </c>
      <c r="D315" s="4" t="str">
        <f>"5"</f>
        <v>5</v>
      </c>
      <c r="E315" s="4" t="str">
        <f>"2"</f>
        <v>2</v>
      </c>
      <c r="F315" s="5">
        <v>3194647680</v>
      </c>
    </row>
    <row r="316" spans="1:6" x14ac:dyDescent="0.25">
      <c r="A316" s="4" t="str">
        <f>"1894"</f>
        <v>1894</v>
      </c>
      <c r="B316" s="4" t="str">
        <f>"Требования по операциям спот"</f>
        <v>Требования по операциям спот</v>
      </c>
      <c r="C316" s="4" t="str">
        <f t="shared" si="51"/>
        <v>1</v>
      </c>
      <c r="D316" s="4" t="str">
        <f>"4"</f>
        <v>4</v>
      </c>
      <c r="E316" s="4" t="str">
        <f>"1"</f>
        <v>1</v>
      </c>
      <c r="F316" s="5">
        <v>13638600000</v>
      </c>
    </row>
    <row r="317" spans="1:6" x14ac:dyDescent="0.25">
      <c r="A317" s="4" t="str">
        <f>"1894"</f>
        <v>1894</v>
      </c>
      <c r="B317" s="4" t="str">
        <f>"Требования по операциям спот"</f>
        <v>Требования по операциям спот</v>
      </c>
      <c r="C317" s="4" t="str">
        <f t="shared" si="51"/>
        <v>1</v>
      </c>
      <c r="D317" s="4" t="str">
        <f>"4"</f>
        <v>4</v>
      </c>
      <c r="E317" s="4" t="str">
        <f>"2"</f>
        <v>2</v>
      </c>
      <c r="F317" s="5">
        <v>32787049152</v>
      </c>
    </row>
    <row r="318" spans="1:6" x14ac:dyDescent="0.25">
      <c r="A318" s="4" t="str">
        <f>"1895"</f>
        <v>1895</v>
      </c>
      <c r="B318" s="4" t="str">
        <f>"Требования по операциям своп"</f>
        <v>Требования по операциям своп</v>
      </c>
      <c r="C318" s="4" t="str">
        <f t="shared" si="51"/>
        <v>1</v>
      </c>
      <c r="D318" s="4" t="str">
        <f>"5"</f>
        <v>5</v>
      </c>
      <c r="E318" s="4" t="str">
        <f>"1"</f>
        <v>1</v>
      </c>
      <c r="F318" s="5">
        <v>93000000.239999995</v>
      </c>
    </row>
    <row r="319" spans="1:6" x14ac:dyDescent="0.25">
      <c r="A319" s="4" t="str">
        <f>"2013"</f>
        <v>2013</v>
      </c>
      <c r="B319" s="4" t="str">
        <f>"Корреспондентские счета других банков"</f>
        <v>Корреспондентские счета других банков</v>
      </c>
      <c r="C319" s="4" t="str">
        <f t="shared" si="51"/>
        <v>1</v>
      </c>
      <c r="D319" s="4" t="str">
        <f>"4"</f>
        <v>4</v>
      </c>
      <c r="E319" s="4" t="str">
        <f>"3"</f>
        <v>3</v>
      </c>
      <c r="F319" s="5">
        <v>2463958070.4899998</v>
      </c>
    </row>
    <row r="320" spans="1:6" x14ac:dyDescent="0.25">
      <c r="A320" s="4" t="str">
        <f>"2013"</f>
        <v>2013</v>
      </c>
      <c r="B320" s="4" t="str">
        <f>"Корреспондентские счета других банков"</f>
        <v>Корреспондентские счета других банков</v>
      </c>
      <c r="C320" s="4" t="str">
        <f>"2"</f>
        <v>2</v>
      </c>
      <c r="D320" s="4" t="str">
        <f>"4"</f>
        <v>4</v>
      </c>
      <c r="E320" s="4" t="str">
        <f>"2"</f>
        <v>2</v>
      </c>
      <c r="F320" s="5">
        <v>4123579836.8600001</v>
      </c>
    </row>
    <row r="321" spans="1:6" x14ac:dyDescent="0.25">
      <c r="A321" s="4" t="str">
        <f>"2013"</f>
        <v>2013</v>
      </c>
      <c r="B321" s="4" t="str">
        <f>"Корреспондентские счета других банков"</f>
        <v>Корреспондентские счета других банков</v>
      </c>
      <c r="C321" s="4" t="str">
        <f>"2"</f>
        <v>2</v>
      </c>
      <c r="D321" s="4" t="str">
        <f>"4"</f>
        <v>4</v>
      </c>
      <c r="E321" s="4" t="str">
        <f>"3"</f>
        <v>3</v>
      </c>
      <c r="F321" s="5">
        <v>940632990.07000005</v>
      </c>
    </row>
    <row r="322" spans="1:6" x14ac:dyDescent="0.25">
      <c r="A322" s="4" t="str">
        <f>"2013"</f>
        <v>2013</v>
      </c>
      <c r="B322" s="4" t="str">
        <f>"Корреспондентские счета других банков"</f>
        <v>Корреспондентские счета других банков</v>
      </c>
      <c r="C322" s="4" t="str">
        <f>"1"</f>
        <v>1</v>
      </c>
      <c r="D322" s="4" t="str">
        <f>"4"</f>
        <v>4</v>
      </c>
      <c r="E322" s="4" t="str">
        <f>"2"</f>
        <v>2</v>
      </c>
      <c r="F322" s="5">
        <v>11011791716.139999</v>
      </c>
    </row>
    <row r="323" spans="1:6" x14ac:dyDescent="0.25">
      <c r="A323" s="4" t="str">
        <f>"2013"</f>
        <v>2013</v>
      </c>
      <c r="B323" s="4" t="str">
        <f>"Корреспондентские счета других банков"</f>
        <v>Корреспондентские счета других банков</v>
      </c>
      <c r="C323" s="4" t="str">
        <f>"2"</f>
        <v>2</v>
      </c>
      <c r="D323" s="4" t="str">
        <f>"4"</f>
        <v>4</v>
      </c>
      <c r="E323" s="4" t="str">
        <f>"1"</f>
        <v>1</v>
      </c>
      <c r="F323" s="5">
        <v>1094738787.6099999</v>
      </c>
    </row>
    <row r="324" spans="1:6" x14ac:dyDescent="0.25">
      <c r="A324" s="4" t="str">
        <f>"2014"</f>
        <v>2014</v>
      </c>
      <c r="B324" s="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324" s="4" t="str">
        <f>"2"</f>
        <v>2</v>
      </c>
      <c r="D324" s="4" t="str">
        <f>"5"</f>
        <v>5</v>
      </c>
      <c r="E324" s="4" t="str">
        <f>"2"</f>
        <v>2</v>
      </c>
      <c r="F324" s="5">
        <v>180.81</v>
      </c>
    </row>
    <row r="325" spans="1:6" x14ac:dyDescent="0.25">
      <c r="A325" s="4" t="str">
        <f>"2056"</f>
        <v>2056</v>
      </c>
      <c r="B325" s="4" t="str">
        <f>"Долгосрочные займы, полученные от других банков"</f>
        <v>Долгосрочные займы, полученные от других банков</v>
      </c>
      <c r="C325" s="4" t="str">
        <f t="shared" ref="C325:C332" si="52">"1"</f>
        <v>1</v>
      </c>
      <c r="D325" s="4" t="str">
        <f>"4"</f>
        <v>4</v>
      </c>
      <c r="E325" s="4" t="str">
        <f>"1"</f>
        <v>1</v>
      </c>
      <c r="F325" s="5">
        <v>23893122019.099998</v>
      </c>
    </row>
    <row r="326" spans="1:6" x14ac:dyDescent="0.25">
      <c r="A326" s="4" t="str">
        <f>"2066"</f>
        <v>2066</v>
      </c>
      <c r="B326" s="4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C326" s="4" t="str">
        <f t="shared" si="52"/>
        <v>1</v>
      </c>
      <c r="D326" s="4" t="str">
        <f>"5"</f>
        <v>5</v>
      </c>
      <c r="E326" s="4" t="str">
        <f>"1"</f>
        <v>1</v>
      </c>
      <c r="F326" s="5">
        <v>48713118917.139999</v>
      </c>
    </row>
    <row r="327" spans="1:6" x14ac:dyDescent="0.25">
      <c r="A327" s="4" t="str">
        <f>"2130"</f>
        <v>2130</v>
      </c>
      <c r="B327" s="4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C327" s="4" t="str">
        <f t="shared" si="52"/>
        <v>1</v>
      </c>
      <c r="D327" s="4" t="str">
        <f>"4"</f>
        <v>4</v>
      </c>
      <c r="E327" s="4" t="str">
        <f>"2"</f>
        <v>2</v>
      </c>
      <c r="F327" s="5">
        <v>681840000</v>
      </c>
    </row>
    <row r="328" spans="1:6" x14ac:dyDescent="0.25">
      <c r="A328" s="4" t="str">
        <f>"2202"</f>
        <v>2202</v>
      </c>
      <c r="B328" s="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C328" s="4" t="str">
        <f t="shared" si="52"/>
        <v>1</v>
      </c>
      <c r="D328" s="4" t="str">
        <f>"7"</f>
        <v>7</v>
      </c>
      <c r="E328" s="4" t="str">
        <f>"1"</f>
        <v>1</v>
      </c>
      <c r="F328" s="5">
        <v>2753639.88</v>
      </c>
    </row>
    <row r="329" spans="1:6" x14ac:dyDescent="0.25">
      <c r="A329" s="4" t="str">
        <f>"2202"</f>
        <v>2202</v>
      </c>
      <c r="B329" s="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C329" s="4" t="str">
        <f t="shared" si="52"/>
        <v>1</v>
      </c>
      <c r="D329" s="4" t="str">
        <f>"5"</f>
        <v>5</v>
      </c>
      <c r="E329" s="4" t="str">
        <f>"2"</f>
        <v>2</v>
      </c>
      <c r="F329" s="5">
        <v>976584941.94000006</v>
      </c>
    </row>
    <row r="330" spans="1:6" x14ac:dyDescent="0.25">
      <c r="A330" s="4" t="str">
        <f>"2202"</f>
        <v>2202</v>
      </c>
      <c r="B330" s="4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C330" s="4" t="str">
        <f t="shared" si="52"/>
        <v>1</v>
      </c>
      <c r="D330" s="4" t="str">
        <f>"5"</f>
        <v>5</v>
      </c>
      <c r="E330" s="4" t="str">
        <f>"1"</f>
        <v>1</v>
      </c>
      <c r="F330" s="5">
        <v>74049641.219999999</v>
      </c>
    </row>
    <row r="331" spans="1:6" x14ac:dyDescent="0.25">
      <c r="A331" s="4" t="str">
        <f t="shared" ref="A331:A353" si="53">"2203"</f>
        <v>2203</v>
      </c>
      <c r="B331" s="4" t="str">
        <f t="shared" ref="B331:B353" si="54">"Текущие счета юридических лиц"</f>
        <v>Текущие счета юридических лиц</v>
      </c>
      <c r="C331" s="4" t="str">
        <f t="shared" si="52"/>
        <v>1</v>
      </c>
      <c r="D331" s="4" t="str">
        <f>"5"</f>
        <v>5</v>
      </c>
      <c r="E331" s="4" t="str">
        <f>"1"</f>
        <v>1</v>
      </c>
      <c r="F331" s="5">
        <v>2871353871.5300002</v>
      </c>
    </row>
    <row r="332" spans="1:6" x14ac:dyDescent="0.25">
      <c r="A332" s="4" t="str">
        <f t="shared" si="53"/>
        <v>2203</v>
      </c>
      <c r="B332" s="4" t="str">
        <f t="shared" si="54"/>
        <v>Текущие счета юридических лиц</v>
      </c>
      <c r="C332" s="4" t="str">
        <f t="shared" si="52"/>
        <v>1</v>
      </c>
      <c r="D332" s="4" t="str">
        <f>"5"</f>
        <v>5</v>
      </c>
      <c r="E332" s="4" t="str">
        <f>"2"</f>
        <v>2</v>
      </c>
      <c r="F332" s="5">
        <v>13050694252.370001</v>
      </c>
    </row>
    <row r="333" spans="1:6" x14ac:dyDescent="0.25">
      <c r="A333" s="4" t="str">
        <f t="shared" si="53"/>
        <v>2203</v>
      </c>
      <c r="B333" s="4" t="str">
        <f t="shared" si="54"/>
        <v>Текущие счета юридических лиц</v>
      </c>
      <c r="C333" s="4" t="str">
        <f>"2"</f>
        <v>2</v>
      </c>
      <c r="D333" s="4" t="str">
        <f>"5"</f>
        <v>5</v>
      </c>
      <c r="E333" s="4" t="str">
        <f>"2"</f>
        <v>2</v>
      </c>
      <c r="F333" s="5">
        <v>14108134855.969999</v>
      </c>
    </row>
    <row r="334" spans="1:6" x14ac:dyDescent="0.25">
      <c r="A334" s="4" t="str">
        <f t="shared" si="53"/>
        <v>2203</v>
      </c>
      <c r="B334" s="4" t="str">
        <f t="shared" si="54"/>
        <v>Текущие счета юридических лиц</v>
      </c>
      <c r="C334" s="4" t="str">
        <f>"2"</f>
        <v>2</v>
      </c>
      <c r="D334" s="4" t="str">
        <f>"1"</f>
        <v>1</v>
      </c>
      <c r="E334" s="4" t="str">
        <f>"2"</f>
        <v>2</v>
      </c>
      <c r="F334" s="5">
        <v>89120560.900000006</v>
      </c>
    </row>
    <row r="335" spans="1:6" x14ac:dyDescent="0.25">
      <c r="A335" s="4" t="str">
        <f t="shared" si="53"/>
        <v>2203</v>
      </c>
      <c r="B335" s="4" t="str">
        <f t="shared" si="54"/>
        <v>Текущие счета юридических лиц</v>
      </c>
      <c r="C335" s="4" t="str">
        <f>"1"</f>
        <v>1</v>
      </c>
      <c r="D335" s="4" t="str">
        <f>"8"</f>
        <v>8</v>
      </c>
      <c r="E335" s="4" t="str">
        <f>"1"</f>
        <v>1</v>
      </c>
      <c r="F335" s="5">
        <v>1671513467.72</v>
      </c>
    </row>
    <row r="336" spans="1:6" x14ac:dyDescent="0.25">
      <c r="A336" s="4" t="str">
        <f t="shared" si="53"/>
        <v>2203</v>
      </c>
      <c r="B336" s="4" t="str">
        <f t="shared" si="54"/>
        <v>Текущие счета юридических лиц</v>
      </c>
      <c r="C336" s="4" t="str">
        <f>"2"</f>
        <v>2</v>
      </c>
      <c r="D336" s="4" t="str">
        <f>"8"</f>
        <v>8</v>
      </c>
      <c r="E336" s="4" t="str">
        <f>"1"</f>
        <v>1</v>
      </c>
      <c r="F336" s="5">
        <v>7344020.3200000003</v>
      </c>
    </row>
    <row r="337" spans="1:6" x14ac:dyDescent="0.25">
      <c r="A337" s="4" t="str">
        <f t="shared" si="53"/>
        <v>2203</v>
      </c>
      <c r="B337" s="4" t="str">
        <f t="shared" si="54"/>
        <v>Текущие счета юридических лиц</v>
      </c>
      <c r="C337" s="4" t="str">
        <f>"2"</f>
        <v>2</v>
      </c>
      <c r="D337" s="4" t="str">
        <f>"7"</f>
        <v>7</v>
      </c>
      <c r="E337" s="4" t="str">
        <f>"1"</f>
        <v>1</v>
      </c>
      <c r="F337" s="5">
        <v>1165671975.53</v>
      </c>
    </row>
    <row r="338" spans="1:6" x14ac:dyDescent="0.25">
      <c r="A338" s="4" t="str">
        <f t="shared" si="53"/>
        <v>2203</v>
      </c>
      <c r="B338" s="4" t="str">
        <f t="shared" si="54"/>
        <v>Текущие счета юридических лиц</v>
      </c>
      <c r="C338" s="4" t="str">
        <f>"2"</f>
        <v>2</v>
      </c>
      <c r="D338" s="4" t="str">
        <f>"5"</f>
        <v>5</v>
      </c>
      <c r="E338" s="4" t="str">
        <f>"1"</f>
        <v>1</v>
      </c>
      <c r="F338" s="5">
        <v>35437154.549999997</v>
      </c>
    </row>
    <row r="339" spans="1:6" x14ac:dyDescent="0.25">
      <c r="A339" s="4" t="str">
        <f t="shared" si="53"/>
        <v>2203</v>
      </c>
      <c r="B339" s="4" t="str">
        <f t="shared" si="54"/>
        <v>Текущие счета юридических лиц</v>
      </c>
      <c r="C339" s="4" t="str">
        <f t="shared" ref="C339:C345" si="55">"1"</f>
        <v>1</v>
      </c>
      <c r="D339" s="4" t="str">
        <f>"6"</f>
        <v>6</v>
      </c>
      <c r="E339" s="4" t="str">
        <f>"3"</f>
        <v>3</v>
      </c>
      <c r="F339" s="5">
        <v>506000</v>
      </c>
    </row>
    <row r="340" spans="1:6" x14ac:dyDescent="0.25">
      <c r="A340" s="4" t="str">
        <f t="shared" si="53"/>
        <v>2203</v>
      </c>
      <c r="B340" s="4" t="str">
        <f t="shared" si="54"/>
        <v>Текущие счета юридических лиц</v>
      </c>
      <c r="C340" s="4" t="str">
        <f t="shared" si="55"/>
        <v>1</v>
      </c>
      <c r="D340" s="4" t="str">
        <f>"2"</f>
        <v>2</v>
      </c>
      <c r="E340" s="4" t="str">
        <f>"1"</f>
        <v>1</v>
      </c>
      <c r="F340" s="5">
        <v>21190368.52</v>
      </c>
    </row>
    <row r="341" spans="1:6" x14ac:dyDescent="0.25">
      <c r="A341" s="4" t="str">
        <f t="shared" si="53"/>
        <v>2203</v>
      </c>
      <c r="B341" s="4" t="str">
        <f t="shared" si="54"/>
        <v>Текущие счета юридических лиц</v>
      </c>
      <c r="C341" s="4" t="str">
        <f t="shared" si="55"/>
        <v>1</v>
      </c>
      <c r="D341" s="4" t="str">
        <f>"5"</f>
        <v>5</v>
      </c>
      <c r="E341" s="4" t="str">
        <f>"3"</f>
        <v>3</v>
      </c>
      <c r="F341" s="5">
        <v>146876164.66</v>
      </c>
    </row>
    <row r="342" spans="1:6" x14ac:dyDescent="0.25">
      <c r="A342" s="4" t="str">
        <f t="shared" si="53"/>
        <v>2203</v>
      </c>
      <c r="B342" s="4" t="str">
        <f t="shared" si="54"/>
        <v>Текущие счета юридических лиц</v>
      </c>
      <c r="C342" s="4" t="str">
        <f t="shared" si="55"/>
        <v>1</v>
      </c>
      <c r="D342" s="4" t="str">
        <f>"6"</f>
        <v>6</v>
      </c>
      <c r="E342" s="4" t="str">
        <f>"2"</f>
        <v>2</v>
      </c>
      <c r="F342" s="5">
        <v>761814991.63</v>
      </c>
    </row>
    <row r="343" spans="1:6" x14ac:dyDescent="0.25">
      <c r="A343" s="4" t="str">
        <f t="shared" si="53"/>
        <v>2203</v>
      </c>
      <c r="B343" s="4" t="str">
        <f t="shared" si="54"/>
        <v>Текущие счета юридических лиц</v>
      </c>
      <c r="C343" s="4" t="str">
        <f t="shared" si="55"/>
        <v>1</v>
      </c>
      <c r="D343" s="4" t="str">
        <f>"7"</f>
        <v>7</v>
      </c>
      <c r="E343" s="4" t="str">
        <f>"3"</f>
        <v>3</v>
      </c>
      <c r="F343" s="5">
        <v>3313896792.5700002</v>
      </c>
    </row>
    <row r="344" spans="1:6" x14ac:dyDescent="0.25">
      <c r="A344" s="4" t="str">
        <f t="shared" si="53"/>
        <v>2203</v>
      </c>
      <c r="B344" s="4" t="str">
        <f t="shared" si="54"/>
        <v>Текущие счета юридических лиц</v>
      </c>
      <c r="C344" s="4" t="str">
        <f t="shared" si="55"/>
        <v>1</v>
      </c>
      <c r="D344" s="4" t="str">
        <f>"6"</f>
        <v>6</v>
      </c>
      <c r="E344" s="4" t="str">
        <f>"1"</f>
        <v>1</v>
      </c>
      <c r="F344" s="5">
        <v>11868507688.83</v>
      </c>
    </row>
    <row r="345" spans="1:6" x14ac:dyDescent="0.25">
      <c r="A345" s="4" t="str">
        <f t="shared" si="53"/>
        <v>2203</v>
      </c>
      <c r="B345" s="4" t="str">
        <f t="shared" si="54"/>
        <v>Текущие счета юридических лиц</v>
      </c>
      <c r="C345" s="4" t="str">
        <f t="shared" si="55"/>
        <v>1</v>
      </c>
      <c r="D345" s="4" t="str">
        <f>"7"</f>
        <v>7</v>
      </c>
      <c r="E345" s="4" t="str">
        <f>"1"</f>
        <v>1</v>
      </c>
      <c r="F345" s="5">
        <v>52143446769.260002</v>
      </c>
    </row>
    <row r="346" spans="1:6" x14ac:dyDescent="0.25">
      <c r="A346" s="4" t="str">
        <f t="shared" si="53"/>
        <v>2203</v>
      </c>
      <c r="B346" s="4" t="str">
        <f t="shared" si="54"/>
        <v>Текущие счета юридических лиц</v>
      </c>
      <c r="C346" s="4" t="str">
        <f>"2"</f>
        <v>2</v>
      </c>
      <c r="D346" s="4" t="str">
        <f>"8"</f>
        <v>8</v>
      </c>
      <c r="E346" s="4" t="str">
        <f>"2"</f>
        <v>2</v>
      </c>
      <c r="F346" s="5">
        <v>14495882.039999999</v>
      </c>
    </row>
    <row r="347" spans="1:6" x14ac:dyDescent="0.25">
      <c r="A347" s="4" t="str">
        <f t="shared" si="53"/>
        <v>2203</v>
      </c>
      <c r="B347" s="4" t="str">
        <f t="shared" si="54"/>
        <v>Текущие счета юридических лиц</v>
      </c>
      <c r="C347" s="4" t="str">
        <f>"1"</f>
        <v>1</v>
      </c>
      <c r="D347" s="4" t="str">
        <f>"8"</f>
        <v>8</v>
      </c>
      <c r="E347" s="4" t="str">
        <f>"3"</f>
        <v>3</v>
      </c>
      <c r="F347" s="5">
        <v>767582.97</v>
      </c>
    </row>
    <row r="348" spans="1:6" x14ac:dyDescent="0.25">
      <c r="A348" s="4" t="str">
        <f t="shared" si="53"/>
        <v>2203</v>
      </c>
      <c r="B348" s="4" t="str">
        <f t="shared" si="54"/>
        <v>Текущие счета юридических лиц</v>
      </c>
      <c r="C348" s="4" t="str">
        <f>"2"</f>
        <v>2</v>
      </c>
      <c r="D348" s="4" t="str">
        <f>"7"</f>
        <v>7</v>
      </c>
      <c r="E348" s="4" t="str">
        <f>"2"</f>
        <v>2</v>
      </c>
      <c r="F348" s="5">
        <v>206847717344.17999</v>
      </c>
    </row>
    <row r="349" spans="1:6" x14ac:dyDescent="0.25">
      <c r="A349" s="4" t="str">
        <f t="shared" si="53"/>
        <v>2203</v>
      </c>
      <c r="B349" s="4" t="str">
        <f t="shared" si="54"/>
        <v>Текущие счета юридических лиц</v>
      </c>
      <c r="C349" s="4" t="str">
        <f>"1"</f>
        <v>1</v>
      </c>
      <c r="D349" s="4" t="str">
        <f>"8"</f>
        <v>8</v>
      </c>
      <c r="E349" s="4" t="str">
        <f>"2"</f>
        <v>2</v>
      </c>
      <c r="F349" s="5">
        <v>3446972569.6100001</v>
      </c>
    </row>
    <row r="350" spans="1:6" x14ac:dyDescent="0.25">
      <c r="A350" s="4" t="str">
        <f t="shared" si="53"/>
        <v>2203</v>
      </c>
      <c r="B350" s="4" t="str">
        <f t="shared" si="54"/>
        <v>Текущие счета юридических лиц</v>
      </c>
      <c r="C350" s="4" t="str">
        <f>"2"</f>
        <v>2</v>
      </c>
      <c r="D350" s="4" t="str">
        <f>"7"</f>
        <v>7</v>
      </c>
      <c r="E350" s="4" t="str">
        <f>"3"</f>
        <v>3</v>
      </c>
      <c r="F350" s="5">
        <v>2281052167.21</v>
      </c>
    </row>
    <row r="351" spans="1:6" x14ac:dyDescent="0.25">
      <c r="A351" s="4" t="str">
        <f t="shared" si="53"/>
        <v>2203</v>
      </c>
      <c r="B351" s="4" t="str">
        <f t="shared" si="54"/>
        <v>Текущие счета юридических лиц</v>
      </c>
      <c r="C351" s="4" t="str">
        <f>"2"</f>
        <v>2</v>
      </c>
      <c r="D351" s="4" t="str">
        <f>"5"</f>
        <v>5</v>
      </c>
      <c r="E351" s="4" t="str">
        <f>"3"</f>
        <v>3</v>
      </c>
      <c r="F351" s="5">
        <v>3802106115.3299999</v>
      </c>
    </row>
    <row r="352" spans="1:6" x14ac:dyDescent="0.25">
      <c r="A352" s="4" t="str">
        <f t="shared" si="53"/>
        <v>2203</v>
      </c>
      <c r="B352" s="4" t="str">
        <f t="shared" si="54"/>
        <v>Текущие счета юридических лиц</v>
      </c>
      <c r="C352" s="4" t="str">
        <f>"1"</f>
        <v>1</v>
      </c>
      <c r="D352" s="4" t="str">
        <f>"7"</f>
        <v>7</v>
      </c>
      <c r="E352" s="4" t="str">
        <f>"2"</f>
        <v>2</v>
      </c>
      <c r="F352" s="5">
        <v>35149105723.010002</v>
      </c>
    </row>
    <row r="353" spans="1:6" x14ac:dyDescent="0.25">
      <c r="A353" s="4" t="str">
        <f t="shared" si="53"/>
        <v>2203</v>
      </c>
      <c r="B353" s="4" t="str">
        <f t="shared" si="54"/>
        <v>Текущие счета юридических лиц</v>
      </c>
      <c r="C353" s="4" t="str">
        <f>"2"</f>
        <v>2</v>
      </c>
      <c r="D353" s="4" t="str">
        <f>"1"</f>
        <v>1</v>
      </c>
      <c r="E353" s="4" t="str">
        <f>"1"</f>
        <v>1</v>
      </c>
      <c r="F353" s="5">
        <v>36808083.530000001</v>
      </c>
    </row>
    <row r="354" spans="1:6" x14ac:dyDescent="0.25">
      <c r="A354" s="4" t="str">
        <f t="shared" ref="A354:A359" si="56">"2204"</f>
        <v>2204</v>
      </c>
      <c r="B354" s="4" t="str">
        <f t="shared" ref="B354:B359" si="57">"Текущие счета физических лиц"</f>
        <v>Текущие счета физических лиц</v>
      </c>
      <c r="C354" s="4" t="str">
        <f>"2"</f>
        <v>2</v>
      </c>
      <c r="D354" s="4" t="str">
        <f t="shared" ref="D354:D379" si="58">"9"</f>
        <v>9</v>
      </c>
      <c r="E354" s="4" t="str">
        <f>"3"</f>
        <v>3</v>
      </c>
      <c r="F354" s="5">
        <v>13367610851.139999</v>
      </c>
    </row>
    <row r="355" spans="1:6" x14ac:dyDescent="0.25">
      <c r="A355" s="4" t="str">
        <f t="shared" si="56"/>
        <v>2204</v>
      </c>
      <c r="B355" s="4" t="str">
        <f t="shared" si="57"/>
        <v>Текущие счета физических лиц</v>
      </c>
      <c r="C355" s="4" t="str">
        <f>"1"</f>
        <v>1</v>
      </c>
      <c r="D355" s="4" t="str">
        <f t="shared" si="58"/>
        <v>9</v>
      </c>
      <c r="E355" s="4" t="str">
        <f>"1"</f>
        <v>1</v>
      </c>
      <c r="F355" s="5">
        <v>63138582635.330002</v>
      </c>
    </row>
    <row r="356" spans="1:6" x14ac:dyDescent="0.25">
      <c r="A356" s="4" t="str">
        <f t="shared" si="56"/>
        <v>2204</v>
      </c>
      <c r="B356" s="4" t="str">
        <f t="shared" si="57"/>
        <v>Текущие счета физических лиц</v>
      </c>
      <c r="C356" s="4" t="str">
        <f>"1"</f>
        <v>1</v>
      </c>
      <c r="D356" s="4" t="str">
        <f t="shared" si="58"/>
        <v>9</v>
      </c>
      <c r="E356" s="4" t="str">
        <f>"3"</f>
        <v>3</v>
      </c>
      <c r="F356" s="5">
        <v>425168887.37</v>
      </c>
    </row>
    <row r="357" spans="1:6" x14ac:dyDescent="0.25">
      <c r="A357" s="4" t="str">
        <f t="shared" si="56"/>
        <v>2204</v>
      </c>
      <c r="B357" s="4" t="str">
        <f t="shared" si="57"/>
        <v>Текущие счета физических лиц</v>
      </c>
      <c r="C357" s="4" t="str">
        <f>"2"</f>
        <v>2</v>
      </c>
      <c r="D357" s="4" t="str">
        <f t="shared" si="58"/>
        <v>9</v>
      </c>
      <c r="E357" s="4" t="str">
        <f>"1"</f>
        <v>1</v>
      </c>
      <c r="F357" s="5">
        <v>3562525398.3499999</v>
      </c>
    </row>
    <row r="358" spans="1:6" x14ac:dyDescent="0.25">
      <c r="A358" s="4" t="str">
        <f t="shared" si="56"/>
        <v>2204</v>
      </c>
      <c r="B358" s="4" t="str">
        <f t="shared" si="57"/>
        <v>Текущие счета физических лиц</v>
      </c>
      <c r="C358" s="4" t="str">
        <f>"2"</f>
        <v>2</v>
      </c>
      <c r="D358" s="4" t="str">
        <f t="shared" si="58"/>
        <v>9</v>
      </c>
      <c r="E358" s="4" t="str">
        <f>"2"</f>
        <v>2</v>
      </c>
      <c r="F358" s="5">
        <v>186551359414.32001</v>
      </c>
    </row>
    <row r="359" spans="1:6" x14ac:dyDescent="0.25">
      <c r="A359" s="4" t="str">
        <f t="shared" si="56"/>
        <v>2204</v>
      </c>
      <c r="B359" s="4" t="str">
        <f t="shared" si="57"/>
        <v>Текущие счета физических лиц</v>
      </c>
      <c r="C359" s="4" t="str">
        <f>"1"</f>
        <v>1</v>
      </c>
      <c r="D359" s="4" t="str">
        <f t="shared" si="58"/>
        <v>9</v>
      </c>
      <c r="E359" s="4" t="str">
        <f>"2"</f>
        <v>2</v>
      </c>
      <c r="F359" s="5">
        <v>23460179174.689999</v>
      </c>
    </row>
    <row r="360" spans="1:6" x14ac:dyDescent="0.25">
      <c r="A360" s="4" t="str">
        <f t="shared" ref="A360:A365" si="59">"2205"</f>
        <v>2205</v>
      </c>
      <c r="B360" s="4" t="str">
        <f t="shared" ref="B360:B365" si="60">"Вклады до востребования физических лиц"</f>
        <v>Вклады до востребования физических лиц</v>
      </c>
      <c r="C360" s="4" t="str">
        <f>"2"</f>
        <v>2</v>
      </c>
      <c r="D360" s="4" t="str">
        <f t="shared" si="58"/>
        <v>9</v>
      </c>
      <c r="E360" s="4" t="str">
        <f>"2"</f>
        <v>2</v>
      </c>
      <c r="F360" s="5">
        <v>18797346902.049999</v>
      </c>
    </row>
    <row r="361" spans="1:6" x14ac:dyDescent="0.25">
      <c r="A361" s="4" t="str">
        <f t="shared" si="59"/>
        <v>2205</v>
      </c>
      <c r="B361" s="4" t="str">
        <f t="shared" si="60"/>
        <v>Вклады до востребования физических лиц</v>
      </c>
      <c r="C361" s="4" t="str">
        <f>"2"</f>
        <v>2</v>
      </c>
      <c r="D361" s="4" t="str">
        <f t="shared" si="58"/>
        <v>9</v>
      </c>
      <c r="E361" s="4" t="str">
        <f>"1"</f>
        <v>1</v>
      </c>
      <c r="F361" s="5">
        <v>5118521.68</v>
      </c>
    </row>
    <row r="362" spans="1:6" x14ac:dyDescent="0.25">
      <c r="A362" s="4" t="str">
        <f t="shared" si="59"/>
        <v>2205</v>
      </c>
      <c r="B362" s="4" t="str">
        <f t="shared" si="60"/>
        <v>Вклады до востребования физических лиц</v>
      </c>
      <c r="C362" s="4" t="str">
        <f>"1"</f>
        <v>1</v>
      </c>
      <c r="D362" s="4" t="str">
        <f t="shared" si="58"/>
        <v>9</v>
      </c>
      <c r="E362" s="4" t="str">
        <f>"1"</f>
        <v>1</v>
      </c>
      <c r="F362" s="5">
        <v>17737998.300000001</v>
      </c>
    </row>
    <row r="363" spans="1:6" x14ac:dyDescent="0.25">
      <c r="A363" s="4" t="str">
        <f t="shared" si="59"/>
        <v>2205</v>
      </c>
      <c r="B363" s="4" t="str">
        <f t="shared" si="60"/>
        <v>Вклады до востребования физических лиц</v>
      </c>
      <c r="C363" s="4" t="str">
        <f>"1"</f>
        <v>1</v>
      </c>
      <c r="D363" s="4" t="str">
        <f t="shared" si="58"/>
        <v>9</v>
      </c>
      <c r="E363" s="4" t="str">
        <f>"2"</f>
        <v>2</v>
      </c>
      <c r="F363" s="5">
        <v>1681259902.77</v>
      </c>
    </row>
    <row r="364" spans="1:6" x14ac:dyDescent="0.25">
      <c r="A364" s="4" t="str">
        <f t="shared" si="59"/>
        <v>2205</v>
      </c>
      <c r="B364" s="4" t="str">
        <f t="shared" si="60"/>
        <v>Вклады до востребования физических лиц</v>
      </c>
      <c r="C364" s="4" t="str">
        <f>"1"</f>
        <v>1</v>
      </c>
      <c r="D364" s="4" t="str">
        <f t="shared" si="58"/>
        <v>9</v>
      </c>
      <c r="E364" s="4" t="str">
        <f>"3"</f>
        <v>3</v>
      </c>
      <c r="F364" s="5">
        <v>4268.67</v>
      </c>
    </row>
    <row r="365" spans="1:6" x14ac:dyDescent="0.25">
      <c r="A365" s="4" t="str">
        <f t="shared" si="59"/>
        <v>2205</v>
      </c>
      <c r="B365" s="4" t="str">
        <f t="shared" si="60"/>
        <v>Вклады до востребования физических лиц</v>
      </c>
      <c r="C365" s="4" t="str">
        <f>"2"</f>
        <v>2</v>
      </c>
      <c r="D365" s="4" t="str">
        <f t="shared" si="58"/>
        <v>9</v>
      </c>
      <c r="E365" s="4" t="str">
        <f>"3"</f>
        <v>3</v>
      </c>
      <c r="F365" s="5">
        <v>379.04</v>
      </c>
    </row>
    <row r="366" spans="1:6" x14ac:dyDescent="0.25">
      <c r="A366" s="4" t="str">
        <f t="shared" ref="A366:A371" si="61">"2206"</f>
        <v>2206</v>
      </c>
      <c r="B366" s="4" t="str">
        <f t="shared" ref="B366:B371" si="62">"Краткосрочные вклады физических лиц"</f>
        <v>Краткосрочные вклады физических лиц</v>
      </c>
      <c r="C366" s="4" t="str">
        <f>"1"</f>
        <v>1</v>
      </c>
      <c r="D366" s="4" t="str">
        <f t="shared" si="58"/>
        <v>9</v>
      </c>
      <c r="E366" s="4" t="str">
        <f>"3"</f>
        <v>3</v>
      </c>
      <c r="F366" s="5">
        <v>717067887.29999995</v>
      </c>
    </row>
    <row r="367" spans="1:6" x14ac:dyDescent="0.25">
      <c r="A367" s="4" t="str">
        <f t="shared" si="61"/>
        <v>2206</v>
      </c>
      <c r="B367" s="4" t="str">
        <f t="shared" si="62"/>
        <v>Краткосрочные вклады физических лиц</v>
      </c>
      <c r="C367" s="4" t="str">
        <f>"2"</f>
        <v>2</v>
      </c>
      <c r="D367" s="4" t="str">
        <f t="shared" si="58"/>
        <v>9</v>
      </c>
      <c r="E367" s="4" t="str">
        <f>"1"</f>
        <v>1</v>
      </c>
      <c r="F367" s="5">
        <v>1532393462.9200001</v>
      </c>
    </row>
    <row r="368" spans="1:6" x14ac:dyDescent="0.25">
      <c r="A368" s="4" t="str">
        <f t="shared" si="61"/>
        <v>2206</v>
      </c>
      <c r="B368" s="4" t="str">
        <f t="shared" si="62"/>
        <v>Краткосрочные вклады физических лиц</v>
      </c>
      <c r="C368" s="4" t="str">
        <f>"1"</f>
        <v>1</v>
      </c>
      <c r="D368" s="4" t="str">
        <f t="shared" si="58"/>
        <v>9</v>
      </c>
      <c r="E368" s="4" t="str">
        <f>"1"</f>
        <v>1</v>
      </c>
      <c r="F368" s="5">
        <v>89636283248.649994</v>
      </c>
    </row>
    <row r="369" spans="1:6" x14ac:dyDescent="0.25">
      <c r="A369" s="4" t="str">
        <f t="shared" si="61"/>
        <v>2206</v>
      </c>
      <c r="B369" s="4" t="str">
        <f t="shared" si="62"/>
        <v>Краткосрочные вклады физических лиц</v>
      </c>
      <c r="C369" s="4" t="str">
        <f>"2"</f>
        <v>2</v>
      </c>
      <c r="D369" s="4" t="str">
        <f t="shared" si="58"/>
        <v>9</v>
      </c>
      <c r="E369" s="4" t="str">
        <f>"3"</f>
        <v>3</v>
      </c>
      <c r="F369" s="5">
        <v>6917992764.9300003</v>
      </c>
    </row>
    <row r="370" spans="1:6" x14ac:dyDescent="0.25">
      <c r="A370" s="4" t="str">
        <f t="shared" si="61"/>
        <v>2206</v>
      </c>
      <c r="B370" s="4" t="str">
        <f t="shared" si="62"/>
        <v>Краткосрочные вклады физических лиц</v>
      </c>
      <c r="C370" s="4" t="str">
        <f>"2"</f>
        <v>2</v>
      </c>
      <c r="D370" s="4" t="str">
        <f t="shared" si="58"/>
        <v>9</v>
      </c>
      <c r="E370" s="4" t="str">
        <f>"2"</f>
        <v>2</v>
      </c>
      <c r="F370" s="5">
        <v>1966230543.6900001</v>
      </c>
    </row>
    <row r="371" spans="1:6" x14ac:dyDescent="0.25">
      <c r="A371" s="4" t="str">
        <f t="shared" si="61"/>
        <v>2206</v>
      </c>
      <c r="B371" s="4" t="str">
        <f t="shared" si="62"/>
        <v>Краткосрочные вклады физических лиц</v>
      </c>
      <c r="C371" s="4" t="str">
        <f>"1"</f>
        <v>1</v>
      </c>
      <c r="D371" s="4" t="str">
        <f t="shared" si="58"/>
        <v>9</v>
      </c>
      <c r="E371" s="4" t="str">
        <f>"2"</f>
        <v>2</v>
      </c>
      <c r="F371" s="5">
        <v>37507950658.75</v>
      </c>
    </row>
    <row r="372" spans="1:6" x14ac:dyDescent="0.25">
      <c r="A372" s="4" t="str">
        <f t="shared" ref="A372:A377" si="63">"2207"</f>
        <v>2207</v>
      </c>
      <c r="B372" s="4" t="str">
        <f t="shared" ref="B372:B377" si="64">"Долгосрочные вклады физических лиц"</f>
        <v>Долгосрочные вклады физических лиц</v>
      </c>
      <c r="C372" s="4" t="str">
        <f>"1"</f>
        <v>1</v>
      </c>
      <c r="D372" s="4" t="str">
        <f t="shared" si="58"/>
        <v>9</v>
      </c>
      <c r="E372" s="4" t="str">
        <f>"3"</f>
        <v>3</v>
      </c>
      <c r="F372" s="5">
        <v>305103315.82999998</v>
      </c>
    </row>
    <row r="373" spans="1:6" x14ac:dyDescent="0.25">
      <c r="A373" s="4" t="str">
        <f t="shared" si="63"/>
        <v>2207</v>
      </c>
      <c r="B373" s="4" t="str">
        <f t="shared" si="64"/>
        <v>Долгосрочные вклады физических лиц</v>
      </c>
      <c r="C373" s="4" t="str">
        <f>"1"</f>
        <v>1</v>
      </c>
      <c r="D373" s="4" t="str">
        <f t="shared" si="58"/>
        <v>9</v>
      </c>
      <c r="E373" s="4" t="str">
        <f>"2"</f>
        <v>2</v>
      </c>
      <c r="F373" s="5">
        <v>81511797055.289993</v>
      </c>
    </row>
    <row r="374" spans="1:6" x14ac:dyDescent="0.25">
      <c r="A374" s="4" t="str">
        <f t="shared" si="63"/>
        <v>2207</v>
      </c>
      <c r="B374" s="4" t="str">
        <f t="shared" si="64"/>
        <v>Долгосрочные вклады физических лиц</v>
      </c>
      <c r="C374" s="4" t="str">
        <f>"2"</f>
        <v>2</v>
      </c>
      <c r="D374" s="4" t="str">
        <f t="shared" si="58"/>
        <v>9</v>
      </c>
      <c r="E374" s="4" t="str">
        <f>"1"</f>
        <v>1</v>
      </c>
      <c r="F374" s="5">
        <v>38411851276.160004</v>
      </c>
    </row>
    <row r="375" spans="1:6" x14ac:dyDescent="0.25">
      <c r="A375" s="4" t="str">
        <f t="shared" si="63"/>
        <v>2207</v>
      </c>
      <c r="B375" s="4" t="str">
        <f t="shared" si="64"/>
        <v>Долгосрочные вклады физических лиц</v>
      </c>
      <c r="C375" s="4" t="str">
        <f>"1"</f>
        <v>1</v>
      </c>
      <c r="D375" s="4" t="str">
        <f t="shared" si="58"/>
        <v>9</v>
      </c>
      <c r="E375" s="4" t="str">
        <f>"1"</f>
        <v>1</v>
      </c>
      <c r="F375" s="5">
        <v>182867240340.44</v>
      </c>
    </row>
    <row r="376" spans="1:6" x14ac:dyDescent="0.25">
      <c r="A376" s="4" t="str">
        <f t="shared" si="63"/>
        <v>2207</v>
      </c>
      <c r="B376" s="4" t="str">
        <f t="shared" si="64"/>
        <v>Долгосрочные вклады физических лиц</v>
      </c>
      <c r="C376" s="4" t="str">
        <f>"2"</f>
        <v>2</v>
      </c>
      <c r="D376" s="4" t="str">
        <f t="shared" si="58"/>
        <v>9</v>
      </c>
      <c r="E376" s="4" t="str">
        <f>"3"</f>
        <v>3</v>
      </c>
      <c r="F376" s="5">
        <v>1394698.32</v>
      </c>
    </row>
    <row r="377" spans="1:6" x14ac:dyDescent="0.25">
      <c r="A377" s="4" t="str">
        <f t="shared" si="63"/>
        <v>2207</v>
      </c>
      <c r="B377" s="4" t="str">
        <f t="shared" si="64"/>
        <v>Долгосрочные вклады физических лиц</v>
      </c>
      <c r="C377" s="4" t="str">
        <f>"2"</f>
        <v>2</v>
      </c>
      <c r="D377" s="4" t="str">
        <f t="shared" si="58"/>
        <v>9</v>
      </c>
      <c r="E377" s="4" t="str">
        <f>"2"</f>
        <v>2</v>
      </c>
      <c r="F377" s="5">
        <v>81466674329.460007</v>
      </c>
    </row>
    <row r="378" spans="1:6" x14ac:dyDescent="0.25">
      <c r="A378" s="4" t="str">
        <f>"2208"</f>
        <v>2208</v>
      </c>
      <c r="B378" s="4" t="str">
        <f>"Условные вклады физических лиц"</f>
        <v>Условные вклады физических лиц</v>
      </c>
      <c r="C378" s="4" t="str">
        <f>"1"</f>
        <v>1</v>
      </c>
      <c r="D378" s="4" t="str">
        <f t="shared" si="58"/>
        <v>9</v>
      </c>
      <c r="E378" s="4" t="str">
        <f>"1"</f>
        <v>1</v>
      </c>
      <c r="F378" s="5">
        <v>2080636.86</v>
      </c>
    </row>
    <row r="379" spans="1:6" x14ac:dyDescent="0.25">
      <c r="A379" s="4" t="str">
        <f>"2208"</f>
        <v>2208</v>
      </c>
      <c r="B379" s="4" t="str">
        <f>"Условные вклады физических лиц"</f>
        <v>Условные вклады физических лиц</v>
      </c>
      <c r="C379" s="4" t="str">
        <f>"1"</f>
        <v>1</v>
      </c>
      <c r="D379" s="4" t="str">
        <f t="shared" si="58"/>
        <v>9</v>
      </c>
      <c r="E379" s="4" t="str">
        <f>"2"</f>
        <v>2</v>
      </c>
      <c r="F379" s="5">
        <v>3818535.84</v>
      </c>
    </row>
    <row r="380" spans="1:6" x14ac:dyDescent="0.25">
      <c r="A380" s="4" t="str">
        <f>"2211"</f>
        <v>2211</v>
      </c>
      <c r="B380" s="4" t="str">
        <f>"Вклады до востребования юридических лиц"</f>
        <v>Вклады до востребования юридических лиц</v>
      </c>
      <c r="C380" s="4" t="str">
        <f>"2"</f>
        <v>2</v>
      </c>
      <c r="D380" s="4" t="str">
        <f>"7"</f>
        <v>7</v>
      </c>
      <c r="E380" s="4" t="str">
        <f>"2"</f>
        <v>2</v>
      </c>
      <c r="F380" s="5">
        <v>489270.2</v>
      </c>
    </row>
    <row r="381" spans="1:6" x14ac:dyDescent="0.25">
      <c r="A381" s="4" t="str">
        <f>"2211"</f>
        <v>2211</v>
      </c>
      <c r="B381" s="4" t="str">
        <f>"Вклады до востребования юридических лиц"</f>
        <v>Вклады до востребования юридических лиц</v>
      </c>
      <c r="C381" s="4" t="str">
        <f>"1"</f>
        <v>1</v>
      </c>
      <c r="D381" s="4" t="str">
        <f>"7"</f>
        <v>7</v>
      </c>
      <c r="E381" s="4" t="str">
        <f>"2"</f>
        <v>2</v>
      </c>
      <c r="F381" s="5">
        <v>90912</v>
      </c>
    </row>
    <row r="382" spans="1:6" x14ac:dyDescent="0.25">
      <c r="A382" s="4" t="str">
        <f>"2211"</f>
        <v>2211</v>
      </c>
      <c r="B382" s="4" t="str">
        <f>"Вклады до востребования юридических лиц"</f>
        <v>Вклады до востребования юридических лиц</v>
      </c>
      <c r="C382" s="4" t="str">
        <f>"1"</f>
        <v>1</v>
      </c>
      <c r="D382" s="4" t="str">
        <f>"5"</f>
        <v>5</v>
      </c>
      <c r="E382" s="4" t="str">
        <f>"2"</f>
        <v>2</v>
      </c>
      <c r="F382" s="5">
        <v>4.55</v>
      </c>
    </row>
    <row r="383" spans="1:6" x14ac:dyDescent="0.25">
      <c r="A383" s="4" t="str">
        <f>"2211"</f>
        <v>2211</v>
      </c>
      <c r="B383" s="4" t="str">
        <f>"Вклады до востребования юридических лиц"</f>
        <v>Вклады до востребования юридических лиц</v>
      </c>
      <c r="C383" s="4" t="str">
        <f>"1"</f>
        <v>1</v>
      </c>
      <c r="D383" s="4" t="str">
        <f>"5"</f>
        <v>5</v>
      </c>
      <c r="E383" s="4" t="str">
        <f>"1"</f>
        <v>1</v>
      </c>
      <c r="F383" s="5">
        <v>530.92999999999995</v>
      </c>
    </row>
    <row r="384" spans="1:6" x14ac:dyDescent="0.25">
      <c r="A384" s="4" t="str">
        <f>"2211"</f>
        <v>2211</v>
      </c>
      <c r="B384" s="4" t="str">
        <f>"Вклады до востребования юридических лиц"</f>
        <v>Вклады до востребования юридических лиц</v>
      </c>
      <c r="C384" s="4" t="str">
        <f>"1"</f>
        <v>1</v>
      </c>
      <c r="D384" s="4" t="str">
        <f>"7"</f>
        <v>7</v>
      </c>
      <c r="E384" s="4" t="str">
        <f>"1"</f>
        <v>1</v>
      </c>
      <c r="F384" s="5">
        <v>147891001.90000001</v>
      </c>
    </row>
    <row r="385" spans="1:6" x14ac:dyDescent="0.25">
      <c r="A385" s="4" t="str">
        <f>"2213"</f>
        <v>2213</v>
      </c>
      <c r="B385" s="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C385" s="4" t="str">
        <f>"1"</f>
        <v>1</v>
      </c>
      <c r="D385" s="4" t="str">
        <f>"9"</f>
        <v>9</v>
      </c>
      <c r="E385" s="4" t="str">
        <f>"1"</f>
        <v>1</v>
      </c>
      <c r="F385" s="5">
        <v>752179983.28999996</v>
      </c>
    </row>
    <row r="386" spans="1:6" x14ac:dyDescent="0.25">
      <c r="A386" s="4" t="str">
        <f>"2213"</f>
        <v>2213</v>
      </c>
      <c r="B386" s="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C386" s="4" t="str">
        <f>"2"</f>
        <v>2</v>
      </c>
      <c r="D386" s="4" t="str">
        <f>"9"</f>
        <v>9</v>
      </c>
      <c r="E386" s="4" t="str">
        <f>"1"</f>
        <v>1</v>
      </c>
      <c r="F386" s="5">
        <v>20000</v>
      </c>
    </row>
    <row r="387" spans="1:6" x14ac:dyDescent="0.25">
      <c r="A387" s="4" t="str">
        <f>"2213"</f>
        <v>2213</v>
      </c>
      <c r="B387" s="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C387" s="4" t="str">
        <f>"1"</f>
        <v>1</v>
      </c>
      <c r="D387" s="4" t="str">
        <f>"9"</f>
        <v>9</v>
      </c>
      <c r="E387" s="4" t="str">
        <f>"2"</f>
        <v>2</v>
      </c>
      <c r="F387" s="5">
        <v>195527347.59</v>
      </c>
    </row>
    <row r="388" spans="1:6" x14ac:dyDescent="0.25">
      <c r="A388" s="4" t="str">
        <f>"2214"</f>
        <v>2214</v>
      </c>
      <c r="B388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88" s="4" t="str">
        <f>"2"</f>
        <v>2</v>
      </c>
      <c r="D388" s="4" t="str">
        <f>"9"</f>
        <v>9</v>
      </c>
      <c r="E388" s="4" t="str">
        <f>"1"</f>
        <v>1</v>
      </c>
      <c r="F388" s="5">
        <v>19010734110.849998</v>
      </c>
    </row>
    <row r="389" spans="1:6" x14ac:dyDescent="0.25">
      <c r="A389" s="4" t="str">
        <f>"2214"</f>
        <v>2214</v>
      </c>
      <c r="B389" s="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89" s="4" t="str">
        <f t="shared" ref="C389:C394" si="65">"1"</f>
        <v>1</v>
      </c>
      <c r="D389" s="4" t="str">
        <f>"9"</f>
        <v>9</v>
      </c>
      <c r="E389" s="4" t="str">
        <f>"1"</f>
        <v>1</v>
      </c>
      <c r="F389" s="5">
        <v>170497597374.89999</v>
      </c>
    </row>
    <row r="390" spans="1:6" x14ac:dyDescent="0.25">
      <c r="A390" s="4" t="str">
        <f t="shared" ref="A390:A403" si="66">"2215"</f>
        <v>2215</v>
      </c>
      <c r="B390" s="4" t="str">
        <f t="shared" ref="B390:B403" si="67">"Краткосрочные вклады юридических лиц"</f>
        <v>Краткосрочные вклады юридических лиц</v>
      </c>
      <c r="C390" s="4" t="str">
        <f t="shared" si="65"/>
        <v>1</v>
      </c>
      <c r="D390" s="4" t="str">
        <f>"5"</f>
        <v>5</v>
      </c>
      <c r="E390" s="4" t="str">
        <f>"1"</f>
        <v>1</v>
      </c>
      <c r="F390" s="5">
        <v>17943669330.41</v>
      </c>
    </row>
    <row r="391" spans="1:6" x14ac:dyDescent="0.25">
      <c r="A391" s="4" t="str">
        <f t="shared" si="66"/>
        <v>2215</v>
      </c>
      <c r="B391" s="4" t="str">
        <f t="shared" si="67"/>
        <v>Краткосрочные вклады юридических лиц</v>
      </c>
      <c r="C391" s="4" t="str">
        <f t="shared" si="65"/>
        <v>1</v>
      </c>
      <c r="D391" s="4" t="str">
        <f>"6"</f>
        <v>6</v>
      </c>
      <c r="E391" s="4" t="str">
        <f>"2"</f>
        <v>2</v>
      </c>
      <c r="F391" s="5">
        <v>318192000</v>
      </c>
    </row>
    <row r="392" spans="1:6" x14ac:dyDescent="0.25">
      <c r="A392" s="4" t="str">
        <f t="shared" si="66"/>
        <v>2215</v>
      </c>
      <c r="B392" s="4" t="str">
        <f t="shared" si="67"/>
        <v>Краткосрочные вклады юридических лиц</v>
      </c>
      <c r="C392" s="4" t="str">
        <f t="shared" si="65"/>
        <v>1</v>
      </c>
      <c r="D392" s="4" t="str">
        <f>"6"</f>
        <v>6</v>
      </c>
      <c r="E392" s="4" t="str">
        <f>"1"</f>
        <v>1</v>
      </c>
      <c r="F392" s="5">
        <v>40729182594.190002</v>
      </c>
    </row>
    <row r="393" spans="1:6" x14ac:dyDescent="0.25">
      <c r="A393" s="4" t="str">
        <f t="shared" si="66"/>
        <v>2215</v>
      </c>
      <c r="B393" s="4" t="str">
        <f t="shared" si="67"/>
        <v>Краткосрочные вклады юридических лиц</v>
      </c>
      <c r="C393" s="4" t="str">
        <f t="shared" si="65"/>
        <v>1</v>
      </c>
      <c r="D393" s="4" t="str">
        <f>"8"</f>
        <v>8</v>
      </c>
      <c r="E393" s="4" t="str">
        <f>"1"</f>
        <v>1</v>
      </c>
      <c r="F393" s="5">
        <v>27811001987.73</v>
      </c>
    </row>
    <row r="394" spans="1:6" x14ac:dyDescent="0.25">
      <c r="A394" s="4" t="str">
        <f t="shared" si="66"/>
        <v>2215</v>
      </c>
      <c r="B394" s="4" t="str">
        <f t="shared" si="67"/>
        <v>Краткосрочные вклады юридических лиц</v>
      </c>
      <c r="C394" s="4" t="str">
        <f t="shared" si="65"/>
        <v>1</v>
      </c>
      <c r="D394" s="4" t="str">
        <f>"7"</f>
        <v>7</v>
      </c>
      <c r="E394" s="4" t="str">
        <f>"3"</f>
        <v>3</v>
      </c>
      <c r="F394" s="5">
        <v>317060654.61000001</v>
      </c>
    </row>
    <row r="395" spans="1:6" x14ac:dyDescent="0.25">
      <c r="A395" s="4" t="str">
        <f t="shared" si="66"/>
        <v>2215</v>
      </c>
      <c r="B395" s="4" t="str">
        <f t="shared" si="67"/>
        <v>Краткосрочные вклады юридических лиц</v>
      </c>
      <c r="C395" s="4" t="str">
        <f>"2"</f>
        <v>2</v>
      </c>
      <c r="D395" s="4" t="str">
        <f>"5"</f>
        <v>5</v>
      </c>
      <c r="E395" s="4" t="str">
        <f>"2"</f>
        <v>2</v>
      </c>
      <c r="F395" s="5">
        <v>8996633337.6000004</v>
      </c>
    </row>
    <row r="396" spans="1:6" x14ac:dyDescent="0.25">
      <c r="A396" s="4" t="str">
        <f t="shared" si="66"/>
        <v>2215</v>
      </c>
      <c r="B396" s="4" t="str">
        <f t="shared" si="67"/>
        <v>Краткосрочные вклады юридических лиц</v>
      </c>
      <c r="C396" s="4" t="str">
        <f>"1"</f>
        <v>1</v>
      </c>
      <c r="D396" s="4" t="str">
        <f>"7"</f>
        <v>7</v>
      </c>
      <c r="E396" s="4" t="str">
        <f>"2"</f>
        <v>2</v>
      </c>
      <c r="F396" s="5">
        <v>134086222514.39999</v>
      </c>
    </row>
    <row r="397" spans="1:6" x14ac:dyDescent="0.25">
      <c r="A397" s="4" t="str">
        <f t="shared" si="66"/>
        <v>2215</v>
      </c>
      <c r="B397" s="4" t="str">
        <f t="shared" si="67"/>
        <v>Краткосрочные вклады юридических лиц</v>
      </c>
      <c r="C397" s="4" t="str">
        <f>"1"</f>
        <v>1</v>
      </c>
      <c r="D397" s="4" t="str">
        <f>"7"</f>
        <v>7</v>
      </c>
      <c r="E397" s="4" t="str">
        <f>"1"</f>
        <v>1</v>
      </c>
      <c r="F397" s="5">
        <v>154313639342.03</v>
      </c>
    </row>
    <row r="398" spans="1:6" x14ac:dyDescent="0.25">
      <c r="A398" s="4" t="str">
        <f t="shared" si="66"/>
        <v>2215</v>
      </c>
      <c r="B398" s="4" t="str">
        <f t="shared" si="67"/>
        <v>Краткосрочные вклады юридических лиц</v>
      </c>
      <c r="C398" s="4" t="str">
        <f>"1"</f>
        <v>1</v>
      </c>
      <c r="D398" s="4" t="str">
        <f>"5"</f>
        <v>5</v>
      </c>
      <c r="E398" s="4" t="str">
        <f>"2"</f>
        <v>2</v>
      </c>
      <c r="F398" s="5">
        <v>11252460812.68</v>
      </c>
    </row>
    <row r="399" spans="1:6" x14ac:dyDescent="0.25">
      <c r="A399" s="4" t="str">
        <f t="shared" si="66"/>
        <v>2215</v>
      </c>
      <c r="B399" s="4" t="str">
        <f t="shared" si="67"/>
        <v>Краткосрочные вклады юридических лиц</v>
      </c>
      <c r="C399" s="4" t="str">
        <f>"2"</f>
        <v>2</v>
      </c>
      <c r="D399" s="4" t="str">
        <f>"7"</f>
        <v>7</v>
      </c>
      <c r="E399" s="4" t="str">
        <f>"3"</f>
        <v>3</v>
      </c>
      <c r="F399" s="5">
        <v>202157121.97</v>
      </c>
    </row>
    <row r="400" spans="1:6" x14ac:dyDescent="0.25">
      <c r="A400" s="4" t="str">
        <f t="shared" si="66"/>
        <v>2215</v>
      </c>
      <c r="B400" s="4" t="str">
        <f t="shared" si="67"/>
        <v>Краткосрочные вклады юридических лиц</v>
      </c>
      <c r="C400" s="4" t="str">
        <f>"2"</f>
        <v>2</v>
      </c>
      <c r="D400" s="4" t="str">
        <f>"7"</f>
        <v>7</v>
      </c>
      <c r="E400" s="4" t="str">
        <f>"2"</f>
        <v>2</v>
      </c>
      <c r="F400" s="5">
        <v>3032993870.8800001</v>
      </c>
    </row>
    <row r="401" spans="1:6" x14ac:dyDescent="0.25">
      <c r="A401" s="4" t="str">
        <f t="shared" si="66"/>
        <v>2215</v>
      </c>
      <c r="B401" s="4" t="str">
        <f t="shared" si="67"/>
        <v>Краткосрочные вклады юридических лиц</v>
      </c>
      <c r="C401" s="4" t="str">
        <f>"1"</f>
        <v>1</v>
      </c>
      <c r="D401" s="4" t="str">
        <f>"8"</f>
        <v>8</v>
      </c>
      <c r="E401" s="4" t="str">
        <f>"2"</f>
        <v>2</v>
      </c>
      <c r="F401" s="5">
        <v>159050544</v>
      </c>
    </row>
    <row r="402" spans="1:6" x14ac:dyDescent="0.25">
      <c r="A402" s="4" t="str">
        <f t="shared" si="66"/>
        <v>2215</v>
      </c>
      <c r="B402" s="4" t="str">
        <f t="shared" si="67"/>
        <v>Краткосрочные вклады юридических лиц</v>
      </c>
      <c r="C402" s="4" t="str">
        <f>"2"</f>
        <v>2</v>
      </c>
      <c r="D402" s="4" t="str">
        <f>"7"</f>
        <v>7</v>
      </c>
      <c r="E402" s="4" t="str">
        <f>"1"</f>
        <v>1</v>
      </c>
      <c r="F402" s="5">
        <v>144450000</v>
      </c>
    </row>
    <row r="403" spans="1:6" x14ac:dyDescent="0.25">
      <c r="A403" s="4" t="str">
        <f t="shared" si="66"/>
        <v>2215</v>
      </c>
      <c r="B403" s="4" t="str">
        <f t="shared" si="67"/>
        <v>Краткосрочные вклады юридических лиц</v>
      </c>
      <c r="C403" s="4" t="str">
        <f>"1"</f>
        <v>1</v>
      </c>
      <c r="D403" s="4" t="str">
        <f>"5"</f>
        <v>5</v>
      </c>
      <c r="E403" s="4" t="str">
        <f>"3"</f>
        <v>3</v>
      </c>
      <c r="F403" s="5">
        <v>51483388.609999999</v>
      </c>
    </row>
    <row r="404" spans="1:6" x14ac:dyDescent="0.25">
      <c r="A404" s="4" t="str">
        <f t="shared" ref="A404:A414" si="68">"2217"</f>
        <v>2217</v>
      </c>
      <c r="B404" s="4" t="str">
        <f t="shared" ref="B404:B414" si="69">"Долгосрочные вклады юридических лиц"</f>
        <v>Долгосрочные вклады юридических лиц</v>
      </c>
      <c r="C404" s="4" t="str">
        <f>"1"</f>
        <v>1</v>
      </c>
      <c r="D404" s="4" t="str">
        <f>"7"</f>
        <v>7</v>
      </c>
      <c r="E404" s="4" t="str">
        <f>"3"</f>
        <v>3</v>
      </c>
      <c r="F404" s="5">
        <v>4085076370.7600002</v>
      </c>
    </row>
    <row r="405" spans="1:6" x14ac:dyDescent="0.25">
      <c r="A405" s="4" t="str">
        <f t="shared" si="68"/>
        <v>2217</v>
      </c>
      <c r="B405" s="4" t="str">
        <f t="shared" si="69"/>
        <v>Долгосрочные вклады юридических лиц</v>
      </c>
      <c r="C405" s="4" t="str">
        <f>"2"</f>
        <v>2</v>
      </c>
      <c r="D405" s="4" t="str">
        <f>"7"</f>
        <v>7</v>
      </c>
      <c r="E405" s="4" t="str">
        <f>"1"</f>
        <v>1</v>
      </c>
      <c r="F405" s="5">
        <v>11921707812</v>
      </c>
    </row>
    <row r="406" spans="1:6" x14ac:dyDescent="0.25">
      <c r="A406" s="4" t="str">
        <f t="shared" si="68"/>
        <v>2217</v>
      </c>
      <c r="B406" s="4" t="str">
        <f t="shared" si="69"/>
        <v>Долгосрочные вклады юридических лиц</v>
      </c>
      <c r="C406" s="4" t="str">
        <f>"1"</f>
        <v>1</v>
      </c>
      <c r="D406" s="4" t="str">
        <f>"7"</f>
        <v>7</v>
      </c>
      <c r="E406" s="4" t="str">
        <f>"2"</f>
        <v>2</v>
      </c>
      <c r="F406" s="5">
        <v>18536969074.450001</v>
      </c>
    </row>
    <row r="407" spans="1:6" x14ac:dyDescent="0.25">
      <c r="A407" s="4" t="str">
        <f t="shared" si="68"/>
        <v>2217</v>
      </c>
      <c r="B407" s="4" t="str">
        <f t="shared" si="69"/>
        <v>Долгосрочные вклады юридических лиц</v>
      </c>
      <c r="C407" s="4" t="str">
        <f>"2"</f>
        <v>2</v>
      </c>
      <c r="D407" s="4" t="str">
        <f>"7"</f>
        <v>7</v>
      </c>
      <c r="E407" s="4" t="str">
        <f>"3"</f>
        <v>3</v>
      </c>
      <c r="F407" s="5">
        <v>77792406428.059998</v>
      </c>
    </row>
    <row r="408" spans="1:6" x14ac:dyDescent="0.25">
      <c r="A408" s="4" t="str">
        <f t="shared" si="68"/>
        <v>2217</v>
      </c>
      <c r="B408" s="4" t="str">
        <f t="shared" si="69"/>
        <v>Долгосрочные вклады юридических лиц</v>
      </c>
      <c r="C408" s="4" t="str">
        <f>"1"</f>
        <v>1</v>
      </c>
      <c r="D408" s="4" t="str">
        <f>"5"</f>
        <v>5</v>
      </c>
      <c r="E408" s="4" t="str">
        <f>"2"</f>
        <v>2</v>
      </c>
      <c r="F408" s="5">
        <v>597943683.59000003</v>
      </c>
    </row>
    <row r="409" spans="1:6" x14ac:dyDescent="0.25">
      <c r="A409" s="4" t="str">
        <f t="shared" si="68"/>
        <v>2217</v>
      </c>
      <c r="B409" s="4" t="str">
        <f t="shared" si="69"/>
        <v>Долгосрочные вклады юридических лиц</v>
      </c>
      <c r="C409" s="4" t="str">
        <f>"2"</f>
        <v>2</v>
      </c>
      <c r="D409" s="4" t="str">
        <f>"7"</f>
        <v>7</v>
      </c>
      <c r="E409" s="4" t="str">
        <f>"2"</f>
        <v>2</v>
      </c>
      <c r="F409" s="5">
        <v>1980201541.71</v>
      </c>
    </row>
    <row r="410" spans="1:6" x14ac:dyDescent="0.25">
      <c r="A410" s="4" t="str">
        <f t="shared" si="68"/>
        <v>2217</v>
      </c>
      <c r="B410" s="4" t="str">
        <f t="shared" si="69"/>
        <v>Долгосрочные вклады юридических лиц</v>
      </c>
      <c r="C410" s="4" t="str">
        <f t="shared" ref="C410:C418" si="70">"1"</f>
        <v>1</v>
      </c>
      <c r="D410" s="4" t="str">
        <f>"6"</f>
        <v>6</v>
      </c>
      <c r="E410" s="4" t="str">
        <f>"1"</f>
        <v>1</v>
      </c>
      <c r="F410" s="5">
        <v>3995819622.52</v>
      </c>
    </row>
    <row r="411" spans="1:6" x14ac:dyDescent="0.25">
      <c r="A411" s="4" t="str">
        <f t="shared" si="68"/>
        <v>2217</v>
      </c>
      <c r="B411" s="4" t="str">
        <f t="shared" si="69"/>
        <v>Долгосрочные вклады юридических лиц</v>
      </c>
      <c r="C411" s="4" t="str">
        <f t="shared" si="70"/>
        <v>1</v>
      </c>
      <c r="D411" s="4" t="str">
        <f>"5"</f>
        <v>5</v>
      </c>
      <c r="E411" s="4" t="str">
        <f>"1"</f>
        <v>1</v>
      </c>
      <c r="F411" s="5">
        <v>53859112624.739998</v>
      </c>
    </row>
    <row r="412" spans="1:6" x14ac:dyDescent="0.25">
      <c r="A412" s="4" t="str">
        <f t="shared" si="68"/>
        <v>2217</v>
      </c>
      <c r="B412" s="4" t="str">
        <f t="shared" si="69"/>
        <v>Долгосрочные вклады юридических лиц</v>
      </c>
      <c r="C412" s="4" t="str">
        <f t="shared" si="70"/>
        <v>1</v>
      </c>
      <c r="D412" s="4" t="str">
        <f>"8"</f>
        <v>8</v>
      </c>
      <c r="E412" s="4" t="str">
        <f>"2"</f>
        <v>2</v>
      </c>
      <c r="F412" s="5">
        <v>66479796.659999996</v>
      </c>
    </row>
    <row r="413" spans="1:6" x14ac:dyDescent="0.25">
      <c r="A413" s="4" t="str">
        <f t="shared" si="68"/>
        <v>2217</v>
      </c>
      <c r="B413" s="4" t="str">
        <f t="shared" si="69"/>
        <v>Долгосрочные вклады юридических лиц</v>
      </c>
      <c r="C413" s="4" t="str">
        <f t="shared" si="70"/>
        <v>1</v>
      </c>
      <c r="D413" s="4" t="str">
        <f>"7"</f>
        <v>7</v>
      </c>
      <c r="E413" s="4" t="str">
        <f>"1"</f>
        <v>1</v>
      </c>
      <c r="F413" s="5">
        <v>47072258170.449997</v>
      </c>
    </row>
    <row r="414" spans="1:6" x14ac:dyDescent="0.25">
      <c r="A414" s="4" t="str">
        <f t="shared" si="68"/>
        <v>2217</v>
      </c>
      <c r="B414" s="4" t="str">
        <f t="shared" si="69"/>
        <v>Долгосрочные вклады юридических лиц</v>
      </c>
      <c r="C414" s="4" t="str">
        <f t="shared" si="70"/>
        <v>1</v>
      </c>
      <c r="D414" s="4" t="str">
        <f>"8"</f>
        <v>8</v>
      </c>
      <c r="E414" s="4" t="str">
        <f>"1"</f>
        <v>1</v>
      </c>
      <c r="F414" s="5">
        <v>462892105.20999998</v>
      </c>
    </row>
    <row r="415" spans="1:6" x14ac:dyDescent="0.25">
      <c r="A415" s="4" t="str">
        <f>"2218"</f>
        <v>2218</v>
      </c>
      <c r="B415" s="4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15" s="4" t="str">
        <f t="shared" si="70"/>
        <v>1</v>
      </c>
      <c r="D415" s="4" t="str">
        <f>"5"</f>
        <v>5</v>
      </c>
      <c r="E415" s="4" t="str">
        <f>"1"</f>
        <v>1</v>
      </c>
      <c r="F415" s="5">
        <v>11734735</v>
      </c>
    </row>
    <row r="416" spans="1:6" x14ac:dyDescent="0.25">
      <c r="A416" s="4" t="str">
        <f>"2218"</f>
        <v>2218</v>
      </c>
      <c r="B416" s="4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16" s="4" t="str">
        <f t="shared" si="70"/>
        <v>1</v>
      </c>
      <c r="D416" s="4" t="str">
        <f>"7"</f>
        <v>7</v>
      </c>
      <c r="E416" s="4" t="str">
        <f>"2"</f>
        <v>2</v>
      </c>
      <c r="F416" s="5">
        <v>20755623813.25</v>
      </c>
    </row>
    <row r="417" spans="1:6" x14ac:dyDescent="0.25">
      <c r="A417" s="4" t="str">
        <f>"2219"</f>
        <v>2219</v>
      </c>
      <c r="B417" s="4" t="str">
        <f>"Условные вклады юридических лиц"</f>
        <v>Условные вклады юридических лиц</v>
      </c>
      <c r="C417" s="4" t="str">
        <f t="shared" si="70"/>
        <v>1</v>
      </c>
      <c r="D417" s="4" t="str">
        <f>"8"</f>
        <v>8</v>
      </c>
      <c r="E417" s="4" t="str">
        <f>"1"</f>
        <v>1</v>
      </c>
      <c r="F417" s="5">
        <v>193000</v>
      </c>
    </row>
    <row r="418" spans="1:6" x14ac:dyDescent="0.25">
      <c r="A418" s="4" t="str">
        <f>"2219"</f>
        <v>2219</v>
      </c>
      <c r="B418" s="4" t="str">
        <f>"Условные вклады юридических лиц"</f>
        <v>Условные вклады юридических лиц</v>
      </c>
      <c r="C418" s="4" t="str">
        <f t="shared" si="70"/>
        <v>1</v>
      </c>
      <c r="D418" s="4" t="str">
        <f>"7"</f>
        <v>7</v>
      </c>
      <c r="E418" s="4" t="str">
        <f>"2"</f>
        <v>2</v>
      </c>
      <c r="F418" s="5">
        <v>180342.13</v>
      </c>
    </row>
    <row r="419" spans="1:6" x14ac:dyDescent="0.25">
      <c r="A419" s="4" t="str">
        <f>"2219"</f>
        <v>2219</v>
      </c>
      <c r="B419" s="4" t="str">
        <f>"Условные вклады юридических лиц"</f>
        <v>Условные вклады юридических лиц</v>
      </c>
      <c r="C419" s="4" t="str">
        <f>"2"</f>
        <v>2</v>
      </c>
      <c r="D419" s="4" t="str">
        <f>"7"</f>
        <v>7</v>
      </c>
      <c r="E419" s="4" t="str">
        <f>"1"</f>
        <v>1</v>
      </c>
      <c r="F419" s="5">
        <v>958371.97</v>
      </c>
    </row>
    <row r="420" spans="1:6" x14ac:dyDescent="0.25">
      <c r="A420" s="4" t="str">
        <f>"2219"</f>
        <v>2219</v>
      </c>
      <c r="B420" s="4" t="str">
        <f>"Условные вклады юридических лиц"</f>
        <v>Условные вклады юридических лиц</v>
      </c>
      <c r="C420" s="4" t="str">
        <f t="shared" ref="C420:C428" si="71">"1"</f>
        <v>1</v>
      </c>
      <c r="D420" s="4" t="str">
        <f>"7"</f>
        <v>7</v>
      </c>
      <c r="E420" s="4" t="str">
        <f>"1"</f>
        <v>1</v>
      </c>
      <c r="F420" s="5">
        <v>21020050.879999999</v>
      </c>
    </row>
    <row r="421" spans="1:6" x14ac:dyDescent="0.25">
      <c r="A421" s="4" t="str">
        <f>"2220"</f>
        <v>2220</v>
      </c>
      <c r="B421" s="4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421" s="4" t="str">
        <f t="shared" si="71"/>
        <v>1</v>
      </c>
      <c r="D421" s="4" t="str">
        <f>"6"</f>
        <v>6</v>
      </c>
      <c r="E421" s="4" t="str">
        <f>"1"</f>
        <v>1</v>
      </c>
      <c r="F421" s="5">
        <v>75000000</v>
      </c>
    </row>
    <row r="422" spans="1:6" x14ac:dyDescent="0.25">
      <c r="A422" s="4" t="str">
        <f>"2220"</f>
        <v>2220</v>
      </c>
      <c r="B422" s="4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C422" s="4" t="str">
        <f t="shared" si="71"/>
        <v>1</v>
      </c>
      <c r="D422" s="4" t="str">
        <f>"7"</f>
        <v>7</v>
      </c>
      <c r="E422" s="4" t="str">
        <f>"1"</f>
        <v>1</v>
      </c>
      <c r="F422" s="5">
        <v>5000000</v>
      </c>
    </row>
    <row r="423" spans="1:6" x14ac:dyDescent="0.25">
      <c r="A423" s="4" t="str">
        <f>"2223"</f>
        <v>2223</v>
      </c>
      <c r="B423" s="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C423" s="4" t="str">
        <f t="shared" si="71"/>
        <v>1</v>
      </c>
      <c r="D423" s="4" t="str">
        <f>"7"</f>
        <v>7</v>
      </c>
      <c r="E423" s="4" t="str">
        <f>"2"</f>
        <v>2</v>
      </c>
      <c r="F423" s="5">
        <v>1693775712.72</v>
      </c>
    </row>
    <row r="424" spans="1:6" x14ac:dyDescent="0.25">
      <c r="A424" s="4" t="str">
        <f>"2223"</f>
        <v>2223</v>
      </c>
      <c r="B424" s="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C424" s="4" t="str">
        <f t="shared" si="71"/>
        <v>1</v>
      </c>
      <c r="D424" s="4" t="str">
        <f>"5"</f>
        <v>5</v>
      </c>
      <c r="E424" s="4" t="str">
        <f>"1"</f>
        <v>1</v>
      </c>
      <c r="F424" s="5">
        <v>3053549713.25</v>
      </c>
    </row>
    <row r="425" spans="1:6" x14ac:dyDescent="0.25">
      <c r="A425" s="4" t="str">
        <f>"2223"</f>
        <v>2223</v>
      </c>
      <c r="B425" s="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C425" s="4" t="str">
        <f t="shared" si="71"/>
        <v>1</v>
      </c>
      <c r="D425" s="4" t="str">
        <f>"5"</f>
        <v>5</v>
      </c>
      <c r="E425" s="4" t="str">
        <f>"2"</f>
        <v>2</v>
      </c>
      <c r="F425" s="5">
        <v>1506720000</v>
      </c>
    </row>
    <row r="426" spans="1:6" x14ac:dyDescent="0.25">
      <c r="A426" s="4" t="str">
        <f>"2223"</f>
        <v>2223</v>
      </c>
      <c r="B426" s="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C426" s="4" t="str">
        <f t="shared" si="71"/>
        <v>1</v>
      </c>
      <c r="D426" s="4" t="str">
        <f>"7"</f>
        <v>7</v>
      </c>
      <c r="E426" s="4" t="str">
        <f>"1"</f>
        <v>1</v>
      </c>
      <c r="F426" s="5">
        <v>7936340465.2799997</v>
      </c>
    </row>
    <row r="427" spans="1:6" x14ac:dyDescent="0.25">
      <c r="A427" s="4" t="str">
        <f>"2227"</f>
        <v>2227</v>
      </c>
      <c r="B427" s="4" t="str">
        <f>"Обязательства по аренде"</f>
        <v>Обязательства по аренде</v>
      </c>
      <c r="C427" s="4" t="str">
        <f t="shared" si="71"/>
        <v>1</v>
      </c>
      <c r="D427" s="4" t="str">
        <f>"7"</f>
        <v>7</v>
      </c>
      <c r="E427" s="4" t="str">
        <f>"1"</f>
        <v>1</v>
      </c>
      <c r="F427" s="5">
        <v>2630355254.46</v>
      </c>
    </row>
    <row r="428" spans="1:6" x14ac:dyDescent="0.25">
      <c r="A428" s="4" t="str">
        <f>"2229"</f>
        <v>2229</v>
      </c>
      <c r="B428" s="4" t="str">
        <f>"Сберегательные вклады физических лиц (более одного года)"</f>
        <v>Сберегательные вклады физических лиц (более одного года)</v>
      </c>
      <c r="C428" s="4" t="str">
        <f t="shared" si="71"/>
        <v>1</v>
      </c>
      <c r="D428" s="4" t="str">
        <f>"9"</f>
        <v>9</v>
      </c>
      <c r="E428" s="4" t="str">
        <f>"1"</f>
        <v>1</v>
      </c>
      <c r="F428" s="5">
        <v>3215515857.0100002</v>
      </c>
    </row>
    <row r="429" spans="1:6" x14ac:dyDescent="0.25">
      <c r="A429" s="4" t="str">
        <f>"2229"</f>
        <v>2229</v>
      </c>
      <c r="B429" s="4" t="str">
        <f>"Сберегательные вклады физических лиц (более одного года)"</f>
        <v>Сберегательные вклады физических лиц (более одного года)</v>
      </c>
      <c r="C429" s="4" t="str">
        <f>"2"</f>
        <v>2</v>
      </c>
      <c r="D429" s="4" t="str">
        <f>"9"</f>
        <v>9</v>
      </c>
      <c r="E429" s="4" t="str">
        <f>"1"</f>
        <v>1</v>
      </c>
      <c r="F429" s="5">
        <v>73599072.25</v>
      </c>
    </row>
    <row r="430" spans="1:6" x14ac:dyDescent="0.25">
      <c r="A430" s="4" t="str">
        <f t="shared" ref="A430:A451" si="72">"2237"</f>
        <v>2237</v>
      </c>
      <c r="B430" s="4" t="str">
        <f t="shared" ref="B430:B451" si="7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430" s="4" t="str">
        <f>"1"</f>
        <v>1</v>
      </c>
      <c r="D430" s="4" t="str">
        <f>"8"</f>
        <v>8</v>
      </c>
      <c r="E430" s="4" t="str">
        <f>"1"</f>
        <v>1</v>
      </c>
      <c r="F430" s="5">
        <v>800000</v>
      </c>
    </row>
    <row r="431" spans="1:6" x14ac:dyDescent="0.25">
      <c r="A431" s="4" t="str">
        <f t="shared" si="72"/>
        <v>2237</v>
      </c>
      <c r="B431" s="4" t="str">
        <f t="shared" si="73"/>
        <v>Счет хранения указаний отправителя в соответствии с валютным законодательством Республики Казахстан</v>
      </c>
      <c r="C431" s="4" t="str">
        <f>"1"</f>
        <v>1</v>
      </c>
      <c r="D431" s="4" t="str">
        <f>"9"</f>
        <v>9</v>
      </c>
      <c r="E431" s="4" t="str">
        <f>"2"</f>
        <v>2</v>
      </c>
      <c r="F431" s="5">
        <v>400029121.56</v>
      </c>
    </row>
    <row r="432" spans="1:6" x14ac:dyDescent="0.25">
      <c r="A432" s="4" t="str">
        <f t="shared" si="72"/>
        <v>2237</v>
      </c>
      <c r="B432" s="4" t="str">
        <f t="shared" si="73"/>
        <v>Счет хранения указаний отправителя в соответствии с валютным законодательством Республики Казахстан</v>
      </c>
      <c r="C432" s="4" t="str">
        <f>"1"</f>
        <v>1</v>
      </c>
      <c r="D432" s="4" t="str">
        <f>"6"</f>
        <v>6</v>
      </c>
      <c r="E432" s="4" t="str">
        <f>"1"</f>
        <v>1</v>
      </c>
      <c r="F432" s="5">
        <v>940000</v>
      </c>
    </row>
    <row r="433" spans="1:6" x14ac:dyDescent="0.25">
      <c r="A433" s="4" t="str">
        <f t="shared" si="72"/>
        <v>2237</v>
      </c>
      <c r="B433" s="4" t="str">
        <f t="shared" si="73"/>
        <v>Счет хранения указаний отправителя в соответствии с валютным законодательством Республики Казахстан</v>
      </c>
      <c r="C433" s="4" t="str">
        <f>"2"</f>
        <v>2</v>
      </c>
      <c r="D433" s="4" t="str">
        <f>"4"</f>
        <v>4</v>
      </c>
      <c r="E433" s="4" t="str">
        <f>"1"</f>
        <v>1</v>
      </c>
      <c r="F433" s="5">
        <v>200000</v>
      </c>
    </row>
    <row r="434" spans="1:6" x14ac:dyDescent="0.25">
      <c r="A434" s="4" t="str">
        <f t="shared" si="72"/>
        <v>2237</v>
      </c>
      <c r="B434" s="4" t="str">
        <f t="shared" si="73"/>
        <v>Счет хранения указаний отправителя в соответствии с валютным законодательством Республики Казахстан</v>
      </c>
      <c r="C434" s="4" t="str">
        <f>"2"</f>
        <v>2</v>
      </c>
      <c r="D434" s="4" t="str">
        <f>"5"</f>
        <v>5</v>
      </c>
      <c r="E434" s="4" t="str">
        <f>"3"</f>
        <v>3</v>
      </c>
      <c r="F434" s="5">
        <v>5502439098.4200001</v>
      </c>
    </row>
    <row r="435" spans="1:6" x14ac:dyDescent="0.25">
      <c r="A435" s="4" t="str">
        <f t="shared" si="72"/>
        <v>2237</v>
      </c>
      <c r="B435" s="4" t="str">
        <f t="shared" si="73"/>
        <v>Счет хранения указаний отправителя в соответствии с валютным законодательством Республики Казахстан</v>
      </c>
      <c r="C435" s="4" t="str">
        <f>"2"</f>
        <v>2</v>
      </c>
      <c r="D435" s="4" t="str">
        <f>"7"</f>
        <v>7</v>
      </c>
      <c r="E435" s="4" t="str">
        <f>"2"</f>
        <v>2</v>
      </c>
      <c r="F435" s="5">
        <v>4470022970.2399998</v>
      </c>
    </row>
    <row r="436" spans="1:6" x14ac:dyDescent="0.25">
      <c r="A436" s="4" t="str">
        <f t="shared" si="72"/>
        <v>2237</v>
      </c>
      <c r="B436" s="4" t="str">
        <f t="shared" si="73"/>
        <v>Счет хранения указаний отправителя в соответствии с валютным законодательством Республики Казахстан</v>
      </c>
      <c r="C436" s="4" t="str">
        <f>"1"</f>
        <v>1</v>
      </c>
      <c r="D436" s="4" t="str">
        <f>"6"</f>
        <v>6</v>
      </c>
      <c r="E436" s="4" t="str">
        <f>"3"</f>
        <v>3</v>
      </c>
      <c r="F436" s="5">
        <v>379803.6</v>
      </c>
    </row>
    <row r="437" spans="1:6" x14ac:dyDescent="0.25">
      <c r="A437" s="4" t="str">
        <f t="shared" si="72"/>
        <v>2237</v>
      </c>
      <c r="B437" s="4" t="str">
        <f t="shared" si="73"/>
        <v>Счет хранения указаний отправителя в соответствии с валютным законодательством Республики Казахстан</v>
      </c>
      <c r="C437" s="4" t="str">
        <f>"2"</f>
        <v>2</v>
      </c>
      <c r="D437" s="4" t="str">
        <f>"9"</f>
        <v>9</v>
      </c>
      <c r="E437" s="4" t="str">
        <f>"2"</f>
        <v>2</v>
      </c>
      <c r="F437" s="5">
        <v>588166252.07000005</v>
      </c>
    </row>
    <row r="438" spans="1:6" x14ac:dyDescent="0.25">
      <c r="A438" s="4" t="str">
        <f t="shared" si="72"/>
        <v>2237</v>
      </c>
      <c r="B438" s="4" t="str">
        <f t="shared" si="73"/>
        <v>Счет хранения указаний отправителя в соответствии с валютным законодательством Республики Казахстан</v>
      </c>
      <c r="C438" s="4" t="str">
        <f>"1"</f>
        <v>1</v>
      </c>
      <c r="D438" s="4" t="str">
        <f>"7"</f>
        <v>7</v>
      </c>
      <c r="E438" s="4" t="str">
        <f>"2"</f>
        <v>2</v>
      </c>
      <c r="F438" s="5">
        <v>3292390014.9000001</v>
      </c>
    </row>
    <row r="439" spans="1:6" x14ac:dyDescent="0.25">
      <c r="A439" s="4" t="str">
        <f t="shared" si="72"/>
        <v>2237</v>
      </c>
      <c r="B439" s="4" t="str">
        <f t="shared" si="73"/>
        <v>Счет хранения указаний отправителя в соответствии с валютным законодательством Республики Казахстан</v>
      </c>
      <c r="C439" s="4" t="str">
        <f>"2"</f>
        <v>2</v>
      </c>
      <c r="D439" s="4" t="str">
        <f>"7"</f>
        <v>7</v>
      </c>
      <c r="E439" s="4" t="str">
        <f>"3"</f>
        <v>3</v>
      </c>
      <c r="F439" s="5">
        <v>2337691532.4499998</v>
      </c>
    </row>
    <row r="440" spans="1:6" x14ac:dyDescent="0.25">
      <c r="A440" s="4" t="str">
        <f t="shared" si="72"/>
        <v>2237</v>
      </c>
      <c r="B440" s="4" t="str">
        <f t="shared" si="73"/>
        <v>Счет хранения указаний отправителя в соответствии с валютным законодательством Республики Казахстан</v>
      </c>
      <c r="C440" s="4" t="str">
        <f>"2"</f>
        <v>2</v>
      </c>
      <c r="D440" s="4" t="str">
        <f>"7"</f>
        <v>7</v>
      </c>
      <c r="E440" s="4" t="str">
        <f>"1"</f>
        <v>1</v>
      </c>
      <c r="F440" s="5">
        <v>4370910.96</v>
      </c>
    </row>
    <row r="441" spans="1:6" x14ac:dyDescent="0.25">
      <c r="A441" s="4" t="str">
        <f t="shared" si="72"/>
        <v>2237</v>
      </c>
      <c r="B441" s="4" t="str">
        <f t="shared" si="73"/>
        <v>Счет хранения указаний отправителя в соответствии с валютным законодательством Республики Казахстан</v>
      </c>
      <c r="C441" s="4" t="str">
        <f>"1"</f>
        <v>1</v>
      </c>
      <c r="D441" s="4" t="str">
        <f>"7"</f>
        <v>7</v>
      </c>
      <c r="E441" s="4" t="str">
        <f>"1"</f>
        <v>1</v>
      </c>
      <c r="F441" s="5">
        <v>957536703.30999994</v>
      </c>
    </row>
    <row r="442" spans="1:6" x14ac:dyDescent="0.25">
      <c r="A442" s="4" t="str">
        <f t="shared" si="72"/>
        <v>2237</v>
      </c>
      <c r="B442" s="4" t="str">
        <f t="shared" si="73"/>
        <v>Счет хранения указаний отправителя в соответствии с валютным законодательством Республики Казахстан</v>
      </c>
      <c r="C442" s="4" t="str">
        <f>"2"</f>
        <v>2</v>
      </c>
      <c r="D442" s="4" t="str">
        <f>"9"</f>
        <v>9</v>
      </c>
      <c r="E442" s="4" t="str">
        <f>"3"</f>
        <v>3</v>
      </c>
      <c r="F442" s="5">
        <v>402664933</v>
      </c>
    </row>
    <row r="443" spans="1:6" x14ac:dyDescent="0.25">
      <c r="A443" s="4" t="str">
        <f t="shared" si="72"/>
        <v>2237</v>
      </c>
      <c r="B443" s="4" t="str">
        <f t="shared" si="73"/>
        <v>Счет хранения указаний отправителя в соответствии с валютным законодательством Республики Казахстан</v>
      </c>
      <c r="C443" s="4" t="str">
        <f>"2"</f>
        <v>2</v>
      </c>
      <c r="D443" s="4" t="str">
        <f>"5"</f>
        <v>5</v>
      </c>
      <c r="E443" s="4" t="str">
        <f>"2"</f>
        <v>2</v>
      </c>
      <c r="F443" s="5">
        <v>6833229860.7399998</v>
      </c>
    </row>
    <row r="444" spans="1:6" x14ac:dyDescent="0.25">
      <c r="A444" s="4" t="str">
        <f t="shared" si="72"/>
        <v>2237</v>
      </c>
      <c r="B444" s="4" t="str">
        <f t="shared" si="73"/>
        <v>Счет хранения указаний отправителя в соответствии с валютным законодательством Республики Казахстан</v>
      </c>
      <c r="C444" s="4" t="str">
        <f>"1"</f>
        <v>1</v>
      </c>
      <c r="D444" s="4" t="str">
        <f>"6"</f>
        <v>6</v>
      </c>
      <c r="E444" s="4" t="str">
        <f>"2"</f>
        <v>2</v>
      </c>
      <c r="F444" s="5">
        <v>2289164.16</v>
      </c>
    </row>
    <row r="445" spans="1:6" x14ac:dyDescent="0.25">
      <c r="A445" s="4" t="str">
        <f t="shared" si="72"/>
        <v>2237</v>
      </c>
      <c r="B445" s="4" t="str">
        <f t="shared" si="73"/>
        <v>Счет хранения указаний отправителя в соответствии с валютным законодательством Республики Казахстан</v>
      </c>
      <c r="C445" s="4" t="str">
        <f>"1"</f>
        <v>1</v>
      </c>
      <c r="D445" s="4" t="str">
        <f>"8"</f>
        <v>8</v>
      </c>
      <c r="E445" s="4" t="str">
        <f>"2"</f>
        <v>2</v>
      </c>
      <c r="F445" s="5">
        <v>2044619.04</v>
      </c>
    </row>
    <row r="446" spans="1:6" x14ac:dyDescent="0.25">
      <c r="A446" s="4" t="str">
        <f t="shared" si="72"/>
        <v>2237</v>
      </c>
      <c r="B446" s="4" t="str">
        <f t="shared" si="73"/>
        <v>Счет хранения указаний отправителя в соответствии с валютным законодательством Республики Казахстан</v>
      </c>
      <c r="C446" s="4" t="str">
        <f>"1"</f>
        <v>1</v>
      </c>
      <c r="D446" s="4" t="str">
        <f>"7"</f>
        <v>7</v>
      </c>
      <c r="E446" s="4" t="str">
        <f>"3"</f>
        <v>3</v>
      </c>
      <c r="F446" s="5">
        <v>2487736754.54</v>
      </c>
    </row>
    <row r="447" spans="1:6" x14ac:dyDescent="0.25">
      <c r="A447" s="4" t="str">
        <f t="shared" si="72"/>
        <v>2237</v>
      </c>
      <c r="B447" s="4" t="str">
        <f t="shared" si="73"/>
        <v>Счет хранения указаний отправителя в соответствии с валютным законодательством Республики Казахстан</v>
      </c>
      <c r="C447" s="4" t="str">
        <f>"2"</f>
        <v>2</v>
      </c>
      <c r="D447" s="4" t="str">
        <f>"9"</f>
        <v>9</v>
      </c>
      <c r="E447" s="4" t="str">
        <f>"1"</f>
        <v>1</v>
      </c>
      <c r="F447" s="5">
        <v>1498037.75</v>
      </c>
    </row>
    <row r="448" spans="1:6" x14ac:dyDescent="0.25">
      <c r="A448" s="4" t="str">
        <f t="shared" si="72"/>
        <v>2237</v>
      </c>
      <c r="B448" s="4" t="str">
        <f t="shared" si="73"/>
        <v>Счет хранения указаний отправителя в соответствии с валютным законодательством Республики Казахстан</v>
      </c>
      <c r="C448" s="4" t="str">
        <f>"2"</f>
        <v>2</v>
      </c>
      <c r="D448" s="4" t="str">
        <f>"1"</f>
        <v>1</v>
      </c>
      <c r="E448" s="4" t="str">
        <f>"1"</f>
        <v>1</v>
      </c>
      <c r="F448" s="5">
        <v>1042322</v>
      </c>
    </row>
    <row r="449" spans="1:6" x14ac:dyDescent="0.25">
      <c r="A449" s="4" t="str">
        <f t="shared" si="72"/>
        <v>2237</v>
      </c>
      <c r="B449" s="4" t="str">
        <f t="shared" si="73"/>
        <v>Счет хранения указаний отправителя в соответствии с валютным законодательством Республики Казахстан</v>
      </c>
      <c r="C449" s="4" t="str">
        <f>"1"</f>
        <v>1</v>
      </c>
      <c r="D449" s="4" t="str">
        <f>"9"</f>
        <v>9</v>
      </c>
      <c r="E449" s="4" t="str">
        <f>"1"</f>
        <v>1</v>
      </c>
      <c r="F449" s="5">
        <v>15940883.859999999</v>
      </c>
    </row>
    <row r="450" spans="1:6" x14ac:dyDescent="0.25">
      <c r="A450" s="4" t="str">
        <f t="shared" si="72"/>
        <v>2237</v>
      </c>
      <c r="B450" s="4" t="str">
        <f t="shared" si="73"/>
        <v>Счет хранения указаний отправителя в соответствии с валютным законодательством Республики Казахстан</v>
      </c>
      <c r="C450" s="4" t="str">
        <f>"1"</f>
        <v>1</v>
      </c>
      <c r="D450" s="4" t="str">
        <f>"5"</f>
        <v>5</v>
      </c>
      <c r="E450" s="4" t="str">
        <f>"2"</f>
        <v>2</v>
      </c>
      <c r="F450" s="5">
        <v>441551179.19</v>
      </c>
    </row>
    <row r="451" spans="1:6" x14ac:dyDescent="0.25">
      <c r="A451" s="4" t="str">
        <f t="shared" si="72"/>
        <v>2237</v>
      </c>
      <c r="B451" s="4" t="str">
        <f t="shared" si="73"/>
        <v>Счет хранения указаний отправителя в соответствии с валютным законодательством Республики Казахстан</v>
      </c>
      <c r="C451" s="4" t="str">
        <f>"1"</f>
        <v>1</v>
      </c>
      <c r="D451" s="4" t="str">
        <f>"9"</f>
        <v>9</v>
      </c>
      <c r="E451" s="4" t="str">
        <f>"3"</f>
        <v>3</v>
      </c>
      <c r="F451" s="5">
        <v>17652790.629999999</v>
      </c>
    </row>
    <row r="452" spans="1:6" x14ac:dyDescent="0.25">
      <c r="A452" s="4" t="str">
        <f t="shared" ref="A452:A457" si="74">"2240"</f>
        <v>2240</v>
      </c>
      <c r="B452" s="4" t="str">
        <f t="shared" ref="B452:B457" si="75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C452" s="4" t="str">
        <f>"2"</f>
        <v>2</v>
      </c>
      <c r="D452" s="4" t="str">
        <f>"9"</f>
        <v>9</v>
      </c>
      <c r="E452" s="4" t="str">
        <f>"1"</f>
        <v>1</v>
      </c>
      <c r="F452" s="5">
        <v>3662725</v>
      </c>
    </row>
    <row r="453" spans="1:6" x14ac:dyDescent="0.25">
      <c r="A453" s="4" t="str">
        <f t="shared" si="74"/>
        <v>2240</v>
      </c>
      <c r="B453" s="4" t="str">
        <f t="shared" si="75"/>
        <v>Счет хранения денег, принятых в качестве обеспечения (заклад, задаток) обязательств клиентов</v>
      </c>
      <c r="C453" s="4" t="str">
        <f>"1"</f>
        <v>1</v>
      </c>
      <c r="D453" s="4" t="str">
        <f>"6"</f>
        <v>6</v>
      </c>
      <c r="E453" s="4" t="str">
        <f>"1"</f>
        <v>1</v>
      </c>
      <c r="F453" s="5">
        <v>266419330.56999999</v>
      </c>
    </row>
    <row r="454" spans="1:6" x14ac:dyDescent="0.25">
      <c r="A454" s="4" t="str">
        <f t="shared" si="74"/>
        <v>2240</v>
      </c>
      <c r="B454" s="4" t="str">
        <f t="shared" si="75"/>
        <v>Счет хранения денег, принятых в качестве обеспечения (заклад, задаток) обязательств клиентов</v>
      </c>
      <c r="C454" s="4" t="str">
        <f>"1"</f>
        <v>1</v>
      </c>
      <c r="D454" s="4" t="str">
        <f>"9"</f>
        <v>9</v>
      </c>
      <c r="E454" s="4" t="str">
        <f>"1"</f>
        <v>1</v>
      </c>
      <c r="F454" s="5">
        <v>417433701.88</v>
      </c>
    </row>
    <row r="455" spans="1:6" x14ac:dyDescent="0.25">
      <c r="A455" s="4" t="str">
        <f t="shared" si="74"/>
        <v>2240</v>
      </c>
      <c r="B455" s="4" t="str">
        <f t="shared" si="75"/>
        <v>Счет хранения денег, принятых в качестве обеспечения (заклад, задаток) обязательств клиентов</v>
      </c>
      <c r="C455" s="4" t="str">
        <f>"1"</f>
        <v>1</v>
      </c>
      <c r="D455" s="4" t="str">
        <f>"9"</f>
        <v>9</v>
      </c>
      <c r="E455" s="4" t="str">
        <f>"2"</f>
        <v>2</v>
      </c>
      <c r="F455" s="5">
        <v>96120803.040000007</v>
      </c>
    </row>
    <row r="456" spans="1:6" x14ac:dyDescent="0.25">
      <c r="A456" s="4" t="str">
        <f t="shared" si="74"/>
        <v>2240</v>
      </c>
      <c r="B456" s="4" t="str">
        <f t="shared" si="75"/>
        <v>Счет хранения денег, принятых в качестве обеспечения (заклад, задаток) обязательств клиентов</v>
      </c>
      <c r="C456" s="4" t="str">
        <f>"1"</f>
        <v>1</v>
      </c>
      <c r="D456" s="4" t="str">
        <f>"7"</f>
        <v>7</v>
      </c>
      <c r="E456" s="4" t="str">
        <f>"1"</f>
        <v>1</v>
      </c>
      <c r="F456" s="5">
        <v>20545703265.610001</v>
      </c>
    </row>
    <row r="457" spans="1:6" x14ac:dyDescent="0.25">
      <c r="A457" s="4" t="str">
        <f t="shared" si="74"/>
        <v>2240</v>
      </c>
      <c r="B457" s="4" t="str">
        <f t="shared" si="75"/>
        <v>Счет хранения денег, принятых в качестве обеспечения (заклад, задаток) обязательств клиентов</v>
      </c>
      <c r="C457" s="4" t="str">
        <f>"2"</f>
        <v>2</v>
      </c>
      <c r="D457" s="4" t="str">
        <f>"9"</f>
        <v>9</v>
      </c>
      <c r="E457" s="4" t="str">
        <f>"2"</f>
        <v>2</v>
      </c>
      <c r="F457" s="5">
        <v>6230199360</v>
      </c>
    </row>
    <row r="458" spans="1:6" x14ac:dyDescent="0.25">
      <c r="A458" s="4" t="str">
        <f>"2241"</f>
        <v>2241</v>
      </c>
      <c r="B458" s="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C458" s="4" t="str">
        <f t="shared" ref="C458:C472" si="76">"1"</f>
        <v>1</v>
      </c>
      <c r="D458" s="4" t="str">
        <f>"9"</f>
        <v>9</v>
      </c>
      <c r="E458" s="4" t="str">
        <f>"1"</f>
        <v>1</v>
      </c>
      <c r="F458" s="5">
        <v>24732935953.799999</v>
      </c>
    </row>
    <row r="459" spans="1:6" x14ac:dyDescent="0.25">
      <c r="A459" s="4" t="str">
        <f>"2241"</f>
        <v>2241</v>
      </c>
      <c r="B459" s="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C459" s="4" t="str">
        <f t="shared" si="76"/>
        <v>1</v>
      </c>
      <c r="D459" s="4" t="str">
        <f>"9"</f>
        <v>9</v>
      </c>
      <c r="E459" s="4" t="str">
        <f>"2"</f>
        <v>2</v>
      </c>
      <c r="F459" s="5">
        <v>4178561041.5100002</v>
      </c>
    </row>
    <row r="460" spans="1:6" x14ac:dyDescent="0.25">
      <c r="A460" s="4" t="str">
        <f>"2242"</f>
        <v>2242</v>
      </c>
      <c r="B460" s="4" t="s">
        <v>7</v>
      </c>
      <c r="C460" s="4" t="str">
        <f t="shared" si="76"/>
        <v>1</v>
      </c>
      <c r="D460" s="4" t="str">
        <f t="shared" ref="D460:D469" si="77">"5"</f>
        <v>5</v>
      </c>
      <c r="E460" s="4" t="str">
        <f>"3"</f>
        <v>3</v>
      </c>
      <c r="F460" s="5">
        <v>59918692.979999997</v>
      </c>
    </row>
    <row r="461" spans="1:6" x14ac:dyDescent="0.25">
      <c r="A461" s="4" t="str">
        <f>"2242"</f>
        <v>2242</v>
      </c>
      <c r="B461" s="4" t="s">
        <v>7</v>
      </c>
      <c r="C461" s="4" t="str">
        <f t="shared" si="76"/>
        <v>1</v>
      </c>
      <c r="D461" s="4" t="str">
        <f t="shared" si="77"/>
        <v>5</v>
      </c>
      <c r="E461" s="4" t="str">
        <f>"1"</f>
        <v>1</v>
      </c>
      <c r="F461" s="5">
        <v>3139239.19</v>
      </c>
    </row>
    <row r="462" spans="1:6" x14ac:dyDescent="0.25">
      <c r="A462" s="4" t="str">
        <f>"2242"</f>
        <v>2242</v>
      </c>
      <c r="B462" s="4" t="s">
        <v>7</v>
      </c>
      <c r="C462" s="4" t="str">
        <f t="shared" si="76"/>
        <v>1</v>
      </c>
      <c r="D462" s="4" t="str">
        <f t="shared" si="77"/>
        <v>5</v>
      </c>
      <c r="E462" s="4" t="str">
        <f>"2"</f>
        <v>2</v>
      </c>
      <c r="F462" s="5">
        <v>237288309.56</v>
      </c>
    </row>
    <row r="463" spans="1:6" x14ac:dyDescent="0.25">
      <c r="A463" s="4" t="str">
        <f>"2255"</f>
        <v>2255</v>
      </c>
      <c r="B463" s="4" t="str">
        <f>"Операции «РЕПО» с ценными бумагами"</f>
        <v>Операции «РЕПО» с ценными бумагами</v>
      </c>
      <c r="C463" s="4" t="str">
        <f t="shared" si="76"/>
        <v>1</v>
      </c>
      <c r="D463" s="4" t="str">
        <f t="shared" si="77"/>
        <v>5</v>
      </c>
      <c r="E463" s="4" t="str">
        <f t="shared" ref="E463:E473" si="78">"1"</f>
        <v>1</v>
      </c>
      <c r="F463" s="5">
        <v>31968082680.439999</v>
      </c>
    </row>
    <row r="464" spans="1:6" x14ac:dyDescent="0.25">
      <c r="A464" s="4" t="str">
        <f>"2301"</f>
        <v>2301</v>
      </c>
      <c r="B464" s="4" t="str">
        <f>"Выпущенные в обращение облигации"</f>
        <v>Выпущенные в обращение облигации</v>
      </c>
      <c r="C464" s="4" t="str">
        <f t="shared" si="76"/>
        <v>1</v>
      </c>
      <c r="D464" s="4" t="str">
        <f t="shared" si="77"/>
        <v>5</v>
      </c>
      <c r="E464" s="4" t="str">
        <f t="shared" si="78"/>
        <v>1</v>
      </c>
      <c r="F464" s="5">
        <v>7939822700</v>
      </c>
    </row>
    <row r="465" spans="1:6" x14ac:dyDescent="0.25">
      <c r="A465" s="4" t="str">
        <f>"2304"</f>
        <v>2304</v>
      </c>
      <c r="B465" s="4" t="str">
        <f>"Премия по выпущенным в обращение ценным бумагам"</f>
        <v>Премия по выпущенным в обращение ценным бумагам</v>
      </c>
      <c r="C465" s="4" t="str">
        <f t="shared" si="76"/>
        <v>1</v>
      </c>
      <c r="D465" s="4" t="str">
        <f t="shared" si="77"/>
        <v>5</v>
      </c>
      <c r="E465" s="4" t="str">
        <f t="shared" si="78"/>
        <v>1</v>
      </c>
      <c r="F465" s="5">
        <v>70467897.109999999</v>
      </c>
    </row>
    <row r="466" spans="1:6" x14ac:dyDescent="0.25">
      <c r="A466" s="4" t="str">
        <f>"2305"</f>
        <v>2305</v>
      </c>
      <c r="B466" s="4" t="str">
        <f>"Дисконт по выпущенным в обращение ценным бумагам"</f>
        <v>Дисконт по выпущенным в обращение ценным бумагам</v>
      </c>
      <c r="C466" s="4" t="str">
        <f t="shared" si="76"/>
        <v>1</v>
      </c>
      <c r="D466" s="4" t="str">
        <f t="shared" si="77"/>
        <v>5</v>
      </c>
      <c r="E466" s="4" t="str">
        <f t="shared" si="78"/>
        <v>1</v>
      </c>
      <c r="F466" s="5">
        <v>-62341099.75</v>
      </c>
    </row>
    <row r="467" spans="1:6" x14ac:dyDescent="0.25">
      <c r="A467" s="4" t="str">
        <f>"2404"</f>
        <v>2404</v>
      </c>
      <c r="B467" s="4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C467" s="4" t="str">
        <f t="shared" si="76"/>
        <v>1</v>
      </c>
      <c r="D467" s="4" t="str">
        <f t="shared" si="77"/>
        <v>5</v>
      </c>
      <c r="E467" s="4" t="str">
        <f t="shared" si="78"/>
        <v>1</v>
      </c>
      <c r="F467" s="5">
        <v>-89633065741.389999</v>
      </c>
    </row>
    <row r="468" spans="1:6" x14ac:dyDescent="0.25">
      <c r="A468" s="4" t="str">
        <f>"2405"</f>
        <v>2405</v>
      </c>
      <c r="B468" s="4" t="str">
        <f>"Выкупленные субординированные облигации"</f>
        <v>Выкупленные субординированные облигации</v>
      </c>
      <c r="C468" s="4" t="str">
        <f t="shared" si="76"/>
        <v>1</v>
      </c>
      <c r="D468" s="4" t="str">
        <f t="shared" si="77"/>
        <v>5</v>
      </c>
      <c r="E468" s="4" t="str">
        <f t="shared" si="78"/>
        <v>1</v>
      </c>
      <c r="F468" s="5">
        <v>-15000000</v>
      </c>
    </row>
    <row r="469" spans="1:6" x14ac:dyDescent="0.25">
      <c r="A469" s="4" t="str">
        <f>"2406"</f>
        <v>2406</v>
      </c>
      <c r="B469" s="4" t="str">
        <f>"Субординированные облигации"</f>
        <v>Субординированные облигации</v>
      </c>
      <c r="C469" s="4" t="str">
        <f t="shared" si="76"/>
        <v>1</v>
      </c>
      <c r="D469" s="4" t="str">
        <f t="shared" si="77"/>
        <v>5</v>
      </c>
      <c r="E469" s="4" t="str">
        <f t="shared" si="78"/>
        <v>1</v>
      </c>
      <c r="F469" s="5">
        <v>152967200000</v>
      </c>
    </row>
    <row r="470" spans="1:6" x14ac:dyDescent="0.25">
      <c r="A470" s="4" t="str">
        <f>"2551"</f>
        <v>2551</v>
      </c>
      <c r="B470" s="4" t="str">
        <f>"Расчеты с другими банками"</f>
        <v>Расчеты с другими банками</v>
      </c>
      <c r="C470" s="4" t="str">
        <f t="shared" si="76"/>
        <v>1</v>
      </c>
      <c r="D470" s="4" t="str">
        <f>"4"</f>
        <v>4</v>
      </c>
      <c r="E470" s="4" t="str">
        <f t="shared" si="78"/>
        <v>1</v>
      </c>
      <c r="F470" s="5">
        <v>148343023.99000001</v>
      </c>
    </row>
    <row r="471" spans="1:6" x14ac:dyDescent="0.25">
      <c r="A471" s="4" t="str">
        <f>"2705"</f>
        <v>2705</v>
      </c>
      <c r="B471" s="4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C471" s="4" t="str">
        <f t="shared" si="76"/>
        <v>1</v>
      </c>
      <c r="D471" s="4" t="str">
        <f>"4"</f>
        <v>4</v>
      </c>
      <c r="E471" s="4" t="str">
        <f t="shared" si="78"/>
        <v>1</v>
      </c>
      <c r="F471" s="5">
        <v>56402322.079999998</v>
      </c>
    </row>
    <row r="472" spans="1:6" x14ac:dyDescent="0.25">
      <c r="A472" s="4" t="str">
        <f>"2706"</f>
        <v>2706</v>
      </c>
      <c r="B472" s="4" t="str">
        <f>"Начисленные расходы по займам и финансовому лизингу"</f>
        <v>Начисленные расходы по займам и финансовому лизингу</v>
      </c>
      <c r="C472" s="4" t="str">
        <f t="shared" si="76"/>
        <v>1</v>
      </c>
      <c r="D472" s="4" t="str">
        <f>"5"</f>
        <v>5</v>
      </c>
      <c r="E472" s="4" t="str">
        <f t="shared" si="78"/>
        <v>1</v>
      </c>
      <c r="F472" s="5">
        <v>321903570.44999999</v>
      </c>
    </row>
    <row r="473" spans="1:6" x14ac:dyDescent="0.25">
      <c r="A473" s="4" t="str">
        <f t="shared" ref="A473:A478" si="79">"2719"</f>
        <v>2719</v>
      </c>
      <c r="B473" s="4" t="str">
        <f t="shared" ref="B473:B478" si="80">"Начисленные расходы по условным вкладам клиентов"</f>
        <v>Начисленные расходы по условным вкладам клиентов</v>
      </c>
      <c r="C473" s="4" t="str">
        <f>"2"</f>
        <v>2</v>
      </c>
      <c r="D473" s="4" t="str">
        <f>"7"</f>
        <v>7</v>
      </c>
      <c r="E473" s="4" t="str">
        <f t="shared" si="78"/>
        <v>1</v>
      </c>
      <c r="F473" s="5">
        <v>929.78</v>
      </c>
    </row>
    <row r="474" spans="1:6" x14ac:dyDescent="0.25">
      <c r="A474" s="4" t="str">
        <f t="shared" si="79"/>
        <v>2719</v>
      </c>
      <c r="B474" s="4" t="str">
        <f t="shared" si="80"/>
        <v>Начисленные расходы по условным вкладам клиентов</v>
      </c>
      <c r="C474" s="4" t="str">
        <f t="shared" ref="C474:C480" si="81">"1"</f>
        <v>1</v>
      </c>
      <c r="D474" s="4" t="str">
        <f>"7"</f>
        <v>7</v>
      </c>
      <c r="E474" s="4" t="str">
        <f>"2"</f>
        <v>2</v>
      </c>
      <c r="F474" s="5">
        <v>3172.84</v>
      </c>
    </row>
    <row r="475" spans="1:6" x14ac:dyDescent="0.25">
      <c r="A475" s="4" t="str">
        <f t="shared" si="79"/>
        <v>2719</v>
      </c>
      <c r="B475" s="4" t="str">
        <f t="shared" si="80"/>
        <v>Начисленные расходы по условным вкладам клиентов</v>
      </c>
      <c r="C475" s="4" t="str">
        <f t="shared" si="81"/>
        <v>1</v>
      </c>
      <c r="D475" s="4" t="str">
        <f>"9"</f>
        <v>9</v>
      </c>
      <c r="E475" s="4" t="str">
        <f>"1"</f>
        <v>1</v>
      </c>
      <c r="F475" s="5">
        <v>932436.88</v>
      </c>
    </row>
    <row r="476" spans="1:6" x14ac:dyDescent="0.25">
      <c r="A476" s="4" t="str">
        <f t="shared" si="79"/>
        <v>2719</v>
      </c>
      <c r="B476" s="4" t="str">
        <f t="shared" si="80"/>
        <v>Начисленные расходы по условным вкладам клиентов</v>
      </c>
      <c r="C476" s="4" t="str">
        <f t="shared" si="81"/>
        <v>1</v>
      </c>
      <c r="D476" s="4" t="str">
        <f>"9"</f>
        <v>9</v>
      </c>
      <c r="E476" s="4" t="str">
        <f>"2"</f>
        <v>2</v>
      </c>
      <c r="F476" s="5">
        <v>1753601.57</v>
      </c>
    </row>
    <row r="477" spans="1:6" x14ac:dyDescent="0.25">
      <c r="A477" s="4" t="str">
        <f t="shared" si="79"/>
        <v>2719</v>
      </c>
      <c r="B477" s="4" t="str">
        <f t="shared" si="80"/>
        <v>Начисленные расходы по условным вкладам клиентов</v>
      </c>
      <c r="C477" s="4" t="str">
        <f t="shared" si="81"/>
        <v>1</v>
      </c>
      <c r="D477" s="4" t="str">
        <f>"8"</f>
        <v>8</v>
      </c>
      <c r="E477" s="4" t="str">
        <f>"1"</f>
        <v>1</v>
      </c>
      <c r="F477" s="5">
        <v>148.12</v>
      </c>
    </row>
    <row r="478" spans="1:6" x14ac:dyDescent="0.25">
      <c r="A478" s="4" t="str">
        <f t="shared" si="79"/>
        <v>2719</v>
      </c>
      <c r="B478" s="4" t="str">
        <f t="shared" si="80"/>
        <v>Начисленные расходы по условным вкладам клиентов</v>
      </c>
      <c r="C478" s="4" t="str">
        <f t="shared" si="81"/>
        <v>1</v>
      </c>
      <c r="D478" s="4" t="str">
        <f>"7"</f>
        <v>7</v>
      </c>
      <c r="E478" s="4" t="str">
        <f>"1"</f>
        <v>1</v>
      </c>
      <c r="F478" s="5">
        <v>97146.28</v>
      </c>
    </row>
    <row r="479" spans="1:6" x14ac:dyDescent="0.25">
      <c r="A479" s="4" t="str">
        <f t="shared" ref="A479:A486" si="82">"2720"</f>
        <v>2720</v>
      </c>
      <c r="B479" s="4" t="str">
        <f t="shared" ref="B479:B486" si="83">"Начисленные расходы по вкладам до востребования клиентов"</f>
        <v>Начисленные расходы по вкладам до востребования клиентов</v>
      </c>
      <c r="C479" s="4" t="str">
        <f t="shared" si="81"/>
        <v>1</v>
      </c>
      <c r="D479" s="4" t="str">
        <f>"9"</f>
        <v>9</v>
      </c>
      <c r="E479" s="4" t="str">
        <f>"1"</f>
        <v>1</v>
      </c>
      <c r="F479" s="5">
        <v>139.37</v>
      </c>
    </row>
    <row r="480" spans="1:6" x14ac:dyDescent="0.25">
      <c r="A480" s="4" t="str">
        <f t="shared" si="82"/>
        <v>2720</v>
      </c>
      <c r="B480" s="4" t="str">
        <f t="shared" si="83"/>
        <v>Начисленные расходы по вкладам до востребования клиентов</v>
      </c>
      <c r="C480" s="4" t="str">
        <f t="shared" si="81"/>
        <v>1</v>
      </c>
      <c r="D480" s="4" t="str">
        <f>"9"</f>
        <v>9</v>
      </c>
      <c r="E480" s="4" t="str">
        <f>"2"</f>
        <v>2</v>
      </c>
      <c r="F480" s="5">
        <v>9.09</v>
      </c>
    </row>
    <row r="481" spans="1:6" x14ac:dyDescent="0.25">
      <c r="A481" s="4" t="str">
        <f t="shared" si="82"/>
        <v>2720</v>
      </c>
      <c r="B481" s="4" t="str">
        <f t="shared" si="83"/>
        <v>Начисленные расходы по вкладам до востребования клиентов</v>
      </c>
      <c r="C481" s="4" t="str">
        <f>"2"</f>
        <v>2</v>
      </c>
      <c r="D481" s="4" t="str">
        <f>"9"</f>
        <v>9</v>
      </c>
      <c r="E481" s="4" t="str">
        <f>"1"</f>
        <v>1</v>
      </c>
      <c r="F481" s="5">
        <v>4.45</v>
      </c>
    </row>
    <row r="482" spans="1:6" x14ac:dyDescent="0.25">
      <c r="A482" s="4" t="str">
        <f t="shared" si="82"/>
        <v>2720</v>
      </c>
      <c r="B482" s="4" t="str">
        <f t="shared" si="83"/>
        <v>Начисленные расходы по вкладам до востребования клиентов</v>
      </c>
      <c r="C482" s="4" t="str">
        <f>"1"</f>
        <v>1</v>
      </c>
      <c r="D482" s="4" t="str">
        <f>"7"</f>
        <v>7</v>
      </c>
      <c r="E482" s="4" t="str">
        <f>"2"</f>
        <v>2</v>
      </c>
      <c r="F482" s="5">
        <v>81.819999999999993</v>
      </c>
    </row>
    <row r="483" spans="1:6" x14ac:dyDescent="0.25">
      <c r="A483" s="4" t="str">
        <f t="shared" si="82"/>
        <v>2720</v>
      </c>
      <c r="B483" s="4" t="str">
        <f t="shared" si="83"/>
        <v>Начисленные расходы по вкладам до востребования клиентов</v>
      </c>
      <c r="C483" s="4" t="str">
        <f>"1"</f>
        <v>1</v>
      </c>
      <c r="D483" s="4" t="str">
        <f>"5"</f>
        <v>5</v>
      </c>
      <c r="E483" s="4" t="str">
        <f>"1"</f>
        <v>1</v>
      </c>
      <c r="F483" s="5">
        <v>2.13</v>
      </c>
    </row>
    <row r="484" spans="1:6" x14ac:dyDescent="0.25">
      <c r="A484" s="4" t="str">
        <f t="shared" si="82"/>
        <v>2720</v>
      </c>
      <c r="B484" s="4" t="str">
        <f t="shared" si="83"/>
        <v>Начисленные расходы по вкладам до востребования клиентов</v>
      </c>
      <c r="C484" s="4" t="str">
        <f>"2"</f>
        <v>2</v>
      </c>
      <c r="D484" s="4" t="str">
        <f>"7"</f>
        <v>7</v>
      </c>
      <c r="E484" s="4" t="str">
        <f>"2"</f>
        <v>2</v>
      </c>
      <c r="F484" s="5">
        <v>50.01</v>
      </c>
    </row>
    <row r="485" spans="1:6" x14ac:dyDescent="0.25">
      <c r="A485" s="4" t="str">
        <f t="shared" si="82"/>
        <v>2720</v>
      </c>
      <c r="B485" s="4" t="str">
        <f t="shared" si="83"/>
        <v>Начисленные расходы по вкладам до востребования клиентов</v>
      </c>
      <c r="C485" s="4" t="str">
        <f>"1"</f>
        <v>1</v>
      </c>
      <c r="D485" s="4" t="str">
        <f>"7"</f>
        <v>7</v>
      </c>
      <c r="E485" s="4" t="str">
        <f>"1"</f>
        <v>1</v>
      </c>
      <c r="F485" s="5">
        <v>81214.67</v>
      </c>
    </row>
    <row r="486" spans="1:6" x14ac:dyDescent="0.25">
      <c r="A486" s="4" t="str">
        <f t="shared" si="82"/>
        <v>2720</v>
      </c>
      <c r="B486" s="4" t="str">
        <f t="shared" si="83"/>
        <v>Начисленные расходы по вкладам до востребования клиентов</v>
      </c>
      <c r="C486" s="4" t="str">
        <f>"1"</f>
        <v>1</v>
      </c>
      <c r="D486" s="4" t="str">
        <f>"9"</f>
        <v>9</v>
      </c>
      <c r="E486" s="4" t="str">
        <f>"3"</f>
        <v>3</v>
      </c>
      <c r="F486" s="5">
        <v>4.91</v>
      </c>
    </row>
    <row r="487" spans="1:6" x14ac:dyDescent="0.25">
      <c r="A487" s="4" t="str">
        <f t="shared" ref="A487:A506" si="84">"2721"</f>
        <v>2721</v>
      </c>
      <c r="B487" s="4" t="str">
        <f t="shared" ref="B487:B506" si="85">"Начисленные расходы по срочным вкладам клиентов"</f>
        <v>Начисленные расходы по срочным вкладам клиентов</v>
      </c>
      <c r="C487" s="4" t="str">
        <f>"1"</f>
        <v>1</v>
      </c>
      <c r="D487" s="4" t="str">
        <f>"7"</f>
        <v>7</v>
      </c>
      <c r="E487" s="4" t="str">
        <f>"2"</f>
        <v>2</v>
      </c>
      <c r="F487" s="5">
        <v>92124523.349999994</v>
      </c>
    </row>
    <row r="488" spans="1:6" x14ac:dyDescent="0.25">
      <c r="A488" s="4" t="str">
        <f t="shared" si="84"/>
        <v>2721</v>
      </c>
      <c r="B488" s="4" t="str">
        <f t="shared" si="85"/>
        <v>Начисленные расходы по срочным вкладам клиентов</v>
      </c>
      <c r="C488" s="4" t="str">
        <f>"2"</f>
        <v>2</v>
      </c>
      <c r="D488" s="4" t="str">
        <f>"9"</f>
        <v>9</v>
      </c>
      <c r="E488" s="4" t="str">
        <f>"3"</f>
        <v>3</v>
      </c>
      <c r="F488" s="5">
        <v>31.93</v>
      </c>
    </row>
    <row r="489" spans="1:6" x14ac:dyDescent="0.25">
      <c r="A489" s="4" t="str">
        <f t="shared" si="84"/>
        <v>2721</v>
      </c>
      <c r="B489" s="4" t="str">
        <f t="shared" si="85"/>
        <v>Начисленные расходы по срочным вкладам клиентов</v>
      </c>
      <c r="C489" s="4" t="str">
        <f>"1"</f>
        <v>1</v>
      </c>
      <c r="D489" s="4" t="str">
        <f>"7"</f>
        <v>7</v>
      </c>
      <c r="E489" s="4" t="str">
        <f>"3"</f>
        <v>3</v>
      </c>
      <c r="F489" s="5">
        <v>4254344.1100000003</v>
      </c>
    </row>
    <row r="490" spans="1:6" x14ac:dyDescent="0.25">
      <c r="A490" s="4" t="str">
        <f t="shared" si="84"/>
        <v>2721</v>
      </c>
      <c r="B490" s="4" t="str">
        <f t="shared" si="85"/>
        <v>Начисленные расходы по срочным вкладам клиентов</v>
      </c>
      <c r="C490" s="4" t="str">
        <f>"1"</f>
        <v>1</v>
      </c>
      <c r="D490" s="4" t="str">
        <f>"9"</f>
        <v>9</v>
      </c>
      <c r="E490" s="4" t="str">
        <f>"2"</f>
        <v>2</v>
      </c>
      <c r="F490" s="5">
        <v>39256.58</v>
      </c>
    </row>
    <row r="491" spans="1:6" x14ac:dyDescent="0.25">
      <c r="A491" s="4" t="str">
        <f t="shared" si="84"/>
        <v>2721</v>
      </c>
      <c r="B491" s="4" t="str">
        <f t="shared" si="85"/>
        <v>Начисленные расходы по срочным вкладам клиентов</v>
      </c>
      <c r="C491" s="4" t="str">
        <f>"1"</f>
        <v>1</v>
      </c>
      <c r="D491" s="4" t="str">
        <f>"8"</f>
        <v>8</v>
      </c>
      <c r="E491" s="4" t="str">
        <f>"1"</f>
        <v>1</v>
      </c>
      <c r="F491" s="5">
        <v>168324516.12</v>
      </c>
    </row>
    <row r="492" spans="1:6" x14ac:dyDescent="0.25">
      <c r="A492" s="4" t="str">
        <f t="shared" si="84"/>
        <v>2721</v>
      </c>
      <c r="B492" s="4" t="str">
        <f t="shared" si="85"/>
        <v>Начисленные расходы по срочным вкладам клиентов</v>
      </c>
      <c r="C492" s="4" t="str">
        <f>"2"</f>
        <v>2</v>
      </c>
      <c r="D492" s="4" t="str">
        <f>"9"</f>
        <v>9</v>
      </c>
      <c r="E492" s="4" t="str">
        <f>"1"</f>
        <v>1</v>
      </c>
      <c r="F492" s="5">
        <v>0.56000000000000005</v>
      </c>
    </row>
    <row r="493" spans="1:6" x14ac:dyDescent="0.25">
      <c r="A493" s="4" t="str">
        <f t="shared" si="84"/>
        <v>2721</v>
      </c>
      <c r="B493" s="4" t="str">
        <f t="shared" si="85"/>
        <v>Начисленные расходы по срочным вкладам клиентов</v>
      </c>
      <c r="C493" s="4" t="str">
        <f>"1"</f>
        <v>1</v>
      </c>
      <c r="D493" s="4" t="str">
        <f>"5"</f>
        <v>5</v>
      </c>
      <c r="E493" s="4" t="str">
        <f>"3"</f>
        <v>3</v>
      </c>
      <c r="F493" s="5">
        <v>16905.810000000001</v>
      </c>
    </row>
    <row r="494" spans="1:6" x14ac:dyDescent="0.25">
      <c r="A494" s="4" t="str">
        <f t="shared" si="84"/>
        <v>2721</v>
      </c>
      <c r="B494" s="4" t="str">
        <f t="shared" si="85"/>
        <v>Начисленные расходы по срочным вкладам клиентов</v>
      </c>
      <c r="C494" s="4" t="str">
        <f>"1"</f>
        <v>1</v>
      </c>
      <c r="D494" s="4" t="str">
        <f>"6"</f>
        <v>6</v>
      </c>
      <c r="E494" s="4" t="str">
        <f>"1"</f>
        <v>1</v>
      </c>
      <c r="F494" s="5">
        <v>189995421.27000001</v>
      </c>
    </row>
    <row r="495" spans="1:6" x14ac:dyDescent="0.25">
      <c r="A495" s="4" t="str">
        <f t="shared" si="84"/>
        <v>2721</v>
      </c>
      <c r="B495" s="4" t="str">
        <f t="shared" si="85"/>
        <v>Начисленные расходы по срочным вкладам клиентов</v>
      </c>
      <c r="C495" s="4" t="str">
        <f>"2"</f>
        <v>2</v>
      </c>
      <c r="D495" s="4" t="str">
        <f>"7"</f>
        <v>7</v>
      </c>
      <c r="E495" s="4" t="str">
        <f>"1"</f>
        <v>1</v>
      </c>
      <c r="F495" s="5">
        <v>101778199.11</v>
      </c>
    </row>
    <row r="496" spans="1:6" x14ac:dyDescent="0.25">
      <c r="A496" s="4" t="str">
        <f t="shared" si="84"/>
        <v>2721</v>
      </c>
      <c r="B496" s="4" t="str">
        <f t="shared" si="85"/>
        <v>Начисленные расходы по срочным вкладам клиентов</v>
      </c>
      <c r="C496" s="4" t="str">
        <f>"2"</f>
        <v>2</v>
      </c>
      <c r="D496" s="4" t="str">
        <f>"5"</f>
        <v>5</v>
      </c>
      <c r="E496" s="4" t="str">
        <f>"2"</f>
        <v>2</v>
      </c>
      <c r="F496" s="5">
        <v>7965768.5300000003</v>
      </c>
    </row>
    <row r="497" spans="1:6" x14ac:dyDescent="0.25">
      <c r="A497" s="4" t="str">
        <f t="shared" si="84"/>
        <v>2721</v>
      </c>
      <c r="B497" s="4" t="str">
        <f t="shared" si="85"/>
        <v>Начисленные расходы по срочным вкладам клиентов</v>
      </c>
      <c r="C497" s="4" t="str">
        <f>"1"</f>
        <v>1</v>
      </c>
      <c r="D497" s="4" t="str">
        <f>"5"</f>
        <v>5</v>
      </c>
      <c r="E497" s="4" t="str">
        <f>"1"</f>
        <v>1</v>
      </c>
      <c r="F497" s="5">
        <v>1486752561.74</v>
      </c>
    </row>
    <row r="498" spans="1:6" x14ac:dyDescent="0.25">
      <c r="A498" s="4" t="str">
        <f t="shared" si="84"/>
        <v>2721</v>
      </c>
      <c r="B498" s="4" t="str">
        <f t="shared" si="85"/>
        <v>Начисленные расходы по срочным вкладам клиентов</v>
      </c>
      <c r="C498" s="4" t="str">
        <f>"1"</f>
        <v>1</v>
      </c>
      <c r="D498" s="4" t="str">
        <f>"9"</f>
        <v>9</v>
      </c>
      <c r="E498" s="4" t="str">
        <f>"1"</f>
        <v>1</v>
      </c>
      <c r="F498" s="5">
        <v>16995449.829999998</v>
      </c>
    </row>
    <row r="499" spans="1:6" x14ac:dyDescent="0.25">
      <c r="A499" s="4" t="str">
        <f t="shared" si="84"/>
        <v>2721</v>
      </c>
      <c r="B499" s="4" t="str">
        <f t="shared" si="85"/>
        <v>Начисленные расходы по срочным вкладам клиентов</v>
      </c>
      <c r="C499" s="4" t="str">
        <f>"1"</f>
        <v>1</v>
      </c>
      <c r="D499" s="4" t="str">
        <f>"5"</f>
        <v>5</v>
      </c>
      <c r="E499" s="4" t="str">
        <f>"2"</f>
        <v>2</v>
      </c>
      <c r="F499" s="5">
        <v>24560355.920000002</v>
      </c>
    </row>
    <row r="500" spans="1:6" x14ac:dyDescent="0.25">
      <c r="A500" s="4" t="str">
        <f t="shared" si="84"/>
        <v>2721</v>
      </c>
      <c r="B500" s="4" t="str">
        <f t="shared" si="85"/>
        <v>Начисленные расходы по срочным вкладам клиентов</v>
      </c>
      <c r="C500" s="4" t="str">
        <f>"1"</f>
        <v>1</v>
      </c>
      <c r="D500" s="4" t="str">
        <f>"6"</f>
        <v>6</v>
      </c>
      <c r="E500" s="4" t="str">
        <f>"2"</f>
        <v>2</v>
      </c>
      <c r="F500" s="5">
        <v>103412.4</v>
      </c>
    </row>
    <row r="501" spans="1:6" x14ac:dyDescent="0.25">
      <c r="A501" s="4" t="str">
        <f t="shared" si="84"/>
        <v>2721</v>
      </c>
      <c r="B501" s="4" t="str">
        <f t="shared" si="85"/>
        <v>Начисленные расходы по срочным вкладам клиентов</v>
      </c>
      <c r="C501" s="4" t="str">
        <f>"2"</f>
        <v>2</v>
      </c>
      <c r="D501" s="4" t="str">
        <f>"9"</f>
        <v>9</v>
      </c>
      <c r="E501" s="4" t="str">
        <f>"2"</f>
        <v>2</v>
      </c>
      <c r="F501" s="5">
        <v>4.55</v>
      </c>
    </row>
    <row r="502" spans="1:6" x14ac:dyDescent="0.25">
      <c r="A502" s="4" t="str">
        <f t="shared" si="84"/>
        <v>2721</v>
      </c>
      <c r="B502" s="4" t="str">
        <f t="shared" si="85"/>
        <v>Начисленные расходы по срочным вкладам клиентов</v>
      </c>
      <c r="C502" s="4" t="str">
        <f>"2"</f>
        <v>2</v>
      </c>
      <c r="D502" s="4" t="str">
        <f>"7"</f>
        <v>7</v>
      </c>
      <c r="E502" s="4" t="str">
        <f>"3"</f>
        <v>3</v>
      </c>
      <c r="F502" s="5">
        <v>91106493.430000007</v>
      </c>
    </row>
    <row r="503" spans="1:6" x14ac:dyDescent="0.25">
      <c r="A503" s="4" t="str">
        <f t="shared" si="84"/>
        <v>2721</v>
      </c>
      <c r="B503" s="4" t="str">
        <f t="shared" si="85"/>
        <v>Начисленные расходы по срочным вкладам клиентов</v>
      </c>
      <c r="C503" s="4" t="str">
        <f>"2"</f>
        <v>2</v>
      </c>
      <c r="D503" s="4" t="str">
        <f>"7"</f>
        <v>7</v>
      </c>
      <c r="E503" s="4" t="str">
        <f>"2"</f>
        <v>2</v>
      </c>
      <c r="F503" s="5">
        <v>97682689.370000005</v>
      </c>
    </row>
    <row r="504" spans="1:6" x14ac:dyDescent="0.25">
      <c r="A504" s="4" t="str">
        <f t="shared" si="84"/>
        <v>2721</v>
      </c>
      <c r="B504" s="4" t="str">
        <f t="shared" si="85"/>
        <v>Начисленные расходы по срочным вкладам клиентов</v>
      </c>
      <c r="C504" s="4" t="str">
        <f>"1"</f>
        <v>1</v>
      </c>
      <c r="D504" s="4" t="str">
        <f>"7"</f>
        <v>7</v>
      </c>
      <c r="E504" s="4" t="str">
        <f>"1"</f>
        <v>1</v>
      </c>
      <c r="F504" s="5">
        <v>1318496340.98</v>
      </c>
    </row>
    <row r="505" spans="1:6" x14ac:dyDescent="0.25">
      <c r="A505" s="4" t="str">
        <f t="shared" si="84"/>
        <v>2721</v>
      </c>
      <c r="B505" s="4" t="str">
        <f t="shared" si="85"/>
        <v>Начисленные расходы по срочным вкладам клиентов</v>
      </c>
      <c r="C505" s="4" t="str">
        <f>"1"</f>
        <v>1</v>
      </c>
      <c r="D505" s="4" t="str">
        <f>"8"</f>
        <v>8</v>
      </c>
      <c r="E505" s="4" t="str">
        <f>"2"</f>
        <v>2</v>
      </c>
      <c r="F505" s="5">
        <v>517821.59</v>
      </c>
    </row>
    <row r="506" spans="1:6" x14ac:dyDescent="0.25">
      <c r="A506" s="4" t="str">
        <f t="shared" si="84"/>
        <v>2721</v>
      </c>
      <c r="B506" s="4" t="str">
        <f t="shared" si="85"/>
        <v>Начисленные расходы по срочным вкладам клиентов</v>
      </c>
      <c r="C506" s="4" t="str">
        <f>"1"</f>
        <v>1</v>
      </c>
      <c r="D506" s="4" t="str">
        <f>"9"</f>
        <v>9</v>
      </c>
      <c r="E506" s="4" t="str">
        <f>"3"</f>
        <v>3</v>
      </c>
      <c r="F506" s="5">
        <v>3025.78</v>
      </c>
    </row>
    <row r="507" spans="1:6" x14ac:dyDescent="0.25">
      <c r="A507" s="4" t="str">
        <f t="shared" ref="A507:A513" si="86">"2723"</f>
        <v>2723</v>
      </c>
      <c r="B507" s="4" t="str">
        <f t="shared" ref="B507:B513" si="87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C507" s="4" t="str">
        <f>"1"</f>
        <v>1</v>
      </c>
      <c r="D507" s="4" t="str">
        <f>"5"</f>
        <v>5</v>
      </c>
      <c r="E507" s="4" t="str">
        <f>"2"</f>
        <v>2</v>
      </c>
      <c r="F507" s="5">
        <v>112165.26</v>
      </c>
    </row>
    <row r="508" spans="1:6" x14ac:dyDescent="0.25">
      <c r="A508" s="4" t="str">
        <f t="shared" si="86"/>
        <v>2723</v>
      </c>
      <c r="B508" s="4" t="str">
        <f t="shared" si="87"/>
        <v>Начисленные расходы по вкладу, являющемуся обеспечением обязательств клиентов</v>
      </c>
      <c r="C508" s="4" t="str">
        <f>"1"</f>
        <v>1</v>
      </c>
      <c r="D508" s="4" t="str">
        <f>"9"</f>
        <v>9</v>
      </c>
      <c r="E508" s="4" t="str">
        <f>"2"</f>
        <v>2</v>
      </c>
      <c r="F508" s="5">
        <v>143956.67000000001</v>
      </c>
    </row>
    <row r="509" spans="1:6" x14ac:dyDescent="0.25">
      <c r="A509" s="4" t="str">
        <f t="shared" si="86"/>
        <v>2723</v>
      </c>
      <c r="B509" s="4" t="str">
        <f t="shared" si="87"/>
        <v>Начисленные расходы по вкладу, являющемуся обеспечением обязательств клиентов</v>
      </c>
      <c r="C509" s="4" t="str">
        <f>"2"</f>
        <v>2</v>
      </c>
      <c r="D509" s="4" t="str">
        <f>"9"</f>
        <v>9</v>
      </c>
      <c r="E509" s="4" t="str">
        <f>"2"</f>
        <v>2</v>
      </c>
      <c r="F509" s="5">
        <v>125.56</v>
      </c>
    </row>
    <row r="510" spans="1:6" x14ac:dyDescent="0.25">
      <c r="A510" s="4" t="str">
        <f t="shared" si="86"/>
        <v>2723</v>
      </c>
      <c r="B510" s="4" t="str">
        <f t="shared" si="87"/>
        <v>Начисленные расходы по вкладу, являющемуся обеспечением обязательств клиентов</v>
      </c>
      <c r="C510" s="4" t="str">
        <f t="shared" ref="C510:C518" si="88">"1"</f>
        <v>1</v>
      </c>
      <c r="D510" s="4" t="str">
        <f>"9"</f>
        <v>9</v>
      </c>
      <c r="E510" s="4" t="str">
        <f>"1"</f>
        <v>1</v>
      </c>
      <c r="F510" s="5">
        <v>1442837.58</v>
      </c>
    </row>
    <row r="511" spans="1:6" x14ac:dyDescent="0.25">
      <c r="A511" s="4" t="str">
        <f t="shared" si="86"/>
        <v>2723</v>
      </c>
      <c r="B511" s="4" t="str">
        <f t="shared" si="87"/>
        <v>Начисленные расходы по вкладу, являющемуся обеспечением обязательств клиентов</v>
      </c>
      <c r="C511" s="4" t="str">
        <f t="shared" si="88"/>
        <v>1</v>
      </c>
      <c r="D511" s="4" t="str">
        <f>"5"</f>
        <v>5</v>
      </c>
      <c r="E511" s="4" t="str">
        <f>"1"</f>
        <v>1</v>
      </c>
      <c r="F511" s="5">
        <v>27887677.379999999</v>
      </c>
    </row>
    <row r="512" spans="1:6" x14ac:dyDescent="0.25">
      <c r="A512" s="4" t="str">
        <f t="shared" si="86"/>
        <v>2723</v>
      </c>
      <c r="B512" s="4" t="str">
        <f t="shared" si="87"/>
        <v>Начисленные расходы по вкладу, являющемуся обеспечением обязательств клиентов</v>
      </c>
      <c r="C512" s="4" t="str">
        <f t="shared" si="88"/>
        <v>1</v>
      </c>
      <c r="D512" s="4" t="str">
        <f>"7"</f>
        <v>7</v>
      </c>
      <c r="E512" s="4" t="str">
        <f>"1"</f>
        <v>1</v>
      </c>
      <c r="F512" s="5">
        <v>34651847.659999996</v>
      </c>
    </row>
    <row r="513" spans="1:6" x14ac:dyDescent="0.25">
      <c r="A513" s="4" t="str">
        <f t="shared" si="86"/>
        <v>2723</v>
      </c>
      <c r="B513" s="4" t="str">
        <f t="shared" si="87"/>
        <v>Начисленные расходы по вкладу, являющемуся обеспечением обязательств клиентов</v>
      </c>
      <c r="C513" s="4" t="str">
        <f t="shared" si="88"/>
        <v>1</v>
      </c>
      <c r="D513" s="4" t="str">
        <f>"7"</f>
        <v>7</v>
      </c>
      <c r="E513" s="4" t="str">
        <f>"2"</f>
        <v>2</v>
      </c>
      <c r="F513" s="5">
        <v>9470189.3900000006</v>
      </c>
    </row>
    <row r="514" spans="1:6" x14ac:dyDescent="0.25">
      <c r="A514" s="4" t="str">
        <f t="shared" ref="A514:A519" si="89">"2724"</f>
        <v>2724</v>
      </c>
      <c r="B514" s="4" t="str">
        <f t="shared" ref="B514:B519" si="90">"Начисленные расходы по сберегательным вкладам клиентов"</f>
        <v>Начисленные расходы по сберегательным вкладам клиентов</v>
      </c>
      <c r="C514" s="4" t="str">
        <f t="shared" si="88"/>
        <v>1</v>
      </c>
      <c r="D514" s="4" t="str">
        <f>"7"</f>
        <v>7</v>
      </c>
      <c r="E514" s="4" t="str">
        <f>"1"</f>
        <v>1</v>
      </c>
      <c r="F514" s="5">
        <v>221671.23</v>
      </c>
    </row>
    <row r="515" spans="1:6" x14ac:dyDescent="0.25">
      <c r="A515" s="4" t="str">
        <f t="shared" si="89"/>
        <v>2724</v>
      </c>
      <c r="B515" s="4" t="str">
        <f t="shared" si="90"/>
        <v>Начисленные расходы по сберегательным вкладам клиентов</v>
      </c>
      <c r="C515" s="4" t="str">
        <f t="shared" si="88"/>
        <v>1</v>
      </c>
      <c r="D515" s="4" t="str">
        <f>"5"</f>
        <v>5</v>
      </c>
      <c r="E515" s="4" t="str">
        <f>"1"</f>
        <v>1</v>
      </c>
      <c r="F515" s="5">
        <v>138439.57999999999</v>
      </c>
    </row>
    <row r="516" spans="1:6" x14ac:dyDescent="0.25">
      <c r="A516" s="4" t="str">
        <f t="shared" si="89"/>
        <v>2724</v>
      </c>
      <c r="B516" s="4" t="str">
        <f t="shared" si="90"/>
        <v>Начисленные расходы по сберегательным вкладам клиентов</v>
      </c>
      <c r="C516" s="4" t="str">
        <f t="shared" si="88"/>
        <v>1</v>
      </c>
      <c r="D516" s="4" t="str">
        <f>"9"</f>
        <v>9</v>
      </c>
      <c r="E516" s="4" t="str">
        <f>"1"</f>
        <v>1</v>
      </c>
      <c r="F516" s="5">
        <v>28174947.16</v>
      </c>
    </row>
    <row r="517" spans="1:6" x14ac:dyDescent="0.25">
      <c r="A517" s="4" t="str">
        <f t="shared" si="89"/>
        <v>2724</v>
      </c>
      <c r="B517" s="4" t="str">
        <f t="shared" si="90"/>
        <v>Начисленные расходы по сберегательным вкладам клиентов</v>
      </c>
      <c r="C517" s="4" t="str">
        <f t="shared" si="88"/>
        <v>1</v>
      </c>
      <c r="D517" s="4" t="str">
        <f>"7"</f>
        <v>7</v>
      </c>
      <c r="E517" s="4" t="str">
        <f>"2"</f>
        <v>2</v>
      </c>
      <c r="F517" s="5">
        <v>119835.65</v>
      </c>
    </row>
    <row r="518" spans="1:6" x14ac:dyDescent="0.25">
      <c r="A518" s="4" t="str">
        <f t="shared" si="89"/>
        <v>2724</v>
      </c>
      <c r="B518" s="4" t="str">
        <f t="shared" si="90"/>
        <v>Начисленные расходы по сберегательным вкладам клиентов</v>
      </c>
      <c r="C518" s="4" t="str">
        <f t="shared" si="88"/>
        <v>1</v>
      </c>
      <c r="D518" s="4" t="str">
        <f>"6"</f>
        <v>6</v>
      </c>
      <c r="E518" s="4" t="str">
        <f t="shared" ref="E518:E535" si="91">"1"</f>
        <v>1</v>
      </c>
      <c r="F518" s="5">
        <v>1446164.38</v>
      </c>
    </row>
    <row r="519" spans="1:6" x14ac:dyDescent="0.25">
      <c r="A519" s="4" t="str">
        <f t="shared" si="89"/>
        <v>2724</v>
      </c>
      <c r="B519" s="4" t="str">
        <f t="shared" si="90"/>
        <v>Начисленные расходы по сберегательным вкладам клиентов</v>
      </c>
      <c r="C519" s="4" t="str">
        <f>"2"</f>
        <v>2</v>
      </c>
      <c r="D519" s="4" t="str">
        <f>"9"</f>
        <v>9</v>
      </c>
      <c r="E519" s="4" t="str">
        <f t="shared" si="91"/>
        <v>1</v>
      </c>
      <c r="F519" s="5">
        <v>1841304.15</v>
      </c>
    </row>
    <row r="520" spans="1:6" x14ac:dyDescent="0.25">
      <c r="A520" s="4" t="str">
        <f>"2725"</f>
        <v>2725</v>
      </c>
      <c r="B520" s="4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C520" s="4" t="str">
        <f t="shared" ref="C520:C533" si="92">"1"</f>
        <v>1</v>
      </c>
      <c r="D520" s="4" t="str">
        <f>"5"</f>
        <v>5</v>
      </c>
      <c r="E520" s="4" t="str">
        <f t="shared" si="91"/>
        <v>1</v>
      </c>
      <c r="F520" s="5">
        <v>258492070.24000001</v>
      </c>
    </row>
    <row r="521" spans="1:6" x14ac:dyDescent="0.25">
      <c r="A521" s="4" t="str">
        <f>"2730"</f>
        <v>2730</v>
      </c>
      <c r="B521" s="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C521" s="4" t="str">
        <f t="shared" si="92"/>
        <v>1</v>
      </c>
      <c r="D521" s="4" t="str">
        <f>"5"</f>
        <v>5</v>
      </c>
      <c r="E521" s="4" t="str">
        <f t="shared" si="91"/>
        <v>1</v>
      </c>
      <c r="F521" s="5">
        <v>326028969.62</v>
      </c>
    </row>
    <row r="522" spans="1:6" x14ac:dyDescent="0.25">
      <c r="A522" s="4" t="str">
        <f>"2731"</f>
        <v>2731</v>
      </c>
      <c r="B522" s="4" t="str">
        <f>"Начисленные расходы по прочим операциям"</f>
        <v>Начисленные расходы по прочим операциям</v>
      </c>
      <c r="C522" s="4" t="str">
        <f t="shared" si="92"/>
        <v>1</v>
      </c>
      <c r="D522" s="4" t="str">
        <f>"5"</f>
        <v>5</v>
      </c>
      <c r="E522" s="4" t="str">
        <f t="shared" si="91"/>
        <v>1</v>
      </c>
      <c r="F522" s="5">
        <v>400000000</v>
      </c>
    </row>
    <row r="523" spans="1:6" x14ac:dyDescent="0.25">
      <c r="A523" s="4" t="str">
        <f>"2745"</f>
        <v>2745</v>
      </c>
      <c r="B523" s="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23" s="4" t="str">
        <f t="shared" si="92"/>
        <v>1</v>
      </c>
      <c r="D523" s="4" t="str">
        <f>"1"</f>
        <v>1</v>
      </c>
      <c r="E523" s="4" t="str">
        <f t="shared" si="91"/>
        <v>1</v>
      </c>
      <c r="F523" s="5">
        <v>43820.11</v>
      </c>
    </row>
    <row r="524" spans="1:6" x14ac:dyDescent="0.25">
      <c r="A524" s="4" t="str">
        <f>"2745"</f>
        <v>2745</v>
      </c>
      <c r="B524" s="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24" s="4" t="str">
        <f t="shared" si="92"/>
        <v>1</v>
      </c>
      <c r="D524" s="4" t="str">
        <f>"9"</f>
        <v>9</v>
      </c>
      <c r="E524" s="4" t="str">
        <f t="shared" si="91"/>
        <v>1</v>
      </c>
      <c r="F524" s="5">
        <v>9694957.0899999999</v>
      </c>
    </row>
    <row r="525" spans="1:6" x14ac:dyDescent="0.25">
      <c r="A525" s="4" t="str">
        <f>"2745"</f>
        <v>2745</v>
      </c>
      <c r="B525" s="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25" s="4" t="str">
        <f t="shared" si="92"/>
        <v>1</v>
      </c>
      <c r="D525" s="4" t="str">
        <f>"7"</f>
        <v>7</v>
      </c>
      <c r="E525" s="4" t="str">
        <f t="shared" si="91"/>
        <v>1</v>
      </c>
      <c r="F525" s="5">
        <v>30869189.969999999</v>
      </c>
    </row>
    <row r="526" spans="1:6" x14ac:dyDescent="0.25">
      <c r="A526" s="4" t="str">
        <f>"2745"</f>
        <v>2745</v>
      </c>
      <c r="B526" s="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26" s="4" t="str">
        <f t="shared" si="92"/>
        <v>1</v>
      </c>
      <c r="D526" s="4" t="str">
        <f>"5"</f>
        <v>5</v>
      </c>
      <c r="E526" s="4" t="str">
        <f t="shared" si="91"/>
        <v>1</v>
      </c>
      <c r="F526" s="5">
        <v>281601.21000000002</v>
      </c>
    </row>
    <row r="527" spans="1:6" x14ac:dyDescent="0.25">
      <c r="A527" s="4" t="str">
        <f>"2745"</f>
        <v>2745</v>
      </c>
      <c r="B527" s="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27" s="4" t="str">
        <f t="shared" si="92"/>
        <v>1</v>
      </c>
      <c r="D527" s="4" t="str">
        <f>"8"</f>
        <v>8</v>
      </c>
      <c r="E527" s="4" t="str">
        <f t="shared" si="91"/>
        <v>1</v>
      </c>
      <c r="F527" s="5">
        <v>109882.58</v>
      </c>
    </row>
    <row r="528" spans="1:6" x14ac:dyDescent="0.25">
      <c r="A528" s="4" t="str">
        <f>"2756"</f>
        <v>2756</v>
      </c>
      <c r="B528" s="4" t="str">
        <f>"Начисленные расходы по субординированным облигациям"</f>
        <v>Начисленные расходы по субординированным облигациям</v>
      </c>
      <c r="C528" s="4" t="str">
        <f t="shared" si="92"/>
        <v>1</v>
      </c>
      <c r="D528" s="4" t="str">
        <f>"5"</f>
        <v>5</v>
      </c>
      <c r="E528" s="4" t="str">
        <f t="shared" si="91"/>
        <v>1</v>
      </c>
      <c r="F528" s="5">
        <v>1325468500</v>
      </c>
    </row>
    <row r="529" spans="1:6" x14ac:dyDescent="0.25">
      <c r="A529" s="4" t="str">
        <f t="shared" ref="A529:A535" si="93">"2770"</f>
        <v>2770</v>
      </c>
      <c r="B529" s="4" t="str">
        <f t="shared" ref="B529:B535" si="94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529" s="4" t="str">
        <f t="shared" si="92"/>
        <v>1</v>
      </c>
      <c r="D529" s="4" t="str">
        <f>"5"</f>
        <v>5</v>
      </c>
      <c r="E529" s="4" t="str">
        <f t="shared" si="91"/>
        <v>1</v>
      </c>
      <c r="F529" s="5">
        <v>3760</v>
      </c>
    </row>
    <row r="530" spans="1:6" x14ac:dyDescent="0.25">
      <c r="A530" s="4" t="str">
        <f t="shared" si="93"/>
        <v>2770</v>
      </c>
      <c r="B530" s="4" t="str">
        <f t="shared" si="94"/>
        <v>Начисленные расходы по административно-хозяйственной деятельности</v>
      </c>
      <c r="C530" s="4" t="str">
        <f t="shared" si="92"/>
        <v>1</v>
      </c>
      <c r="D530" s="4" t="str">
        <f>"7"</f>
        <v>7</v>
      </c>
      <c r="E530" s="4" t="str">
        <f t="shared" si="91"/>
        <v>1</v>
      </c>
      <c r="F530" s="5">
        <v>481287362.44</v>
      </c>
    </row>
    <row r="531" spans="1:6" x14ac:dyDescent="0.25">
      <c r="A531" s="4" t="str">
        <f t="shared" si="93"/>
        <v>2770</v>
      </c>
      <c r="B531" s="4" t="str">
        <f t="shared" si="94"/>
        <v>Начисленные расходы по административно-хозяйственной деятельности</v>
      </c>
      <c r="C531" s="4" t="str">
        <f t="shared" si="92"/>
        <v>1</v>
      </c>
      <c r="D531" s="4" t="str">
        <f>"6"</f>
        <v>6</v>
      </c>
      <c r="E531" s="4" t="str">
        <f t="shared" si="91"/>
        <v>1</v>
      </c>
      <c r="F531" s="5">
        <v>75071336.390000001</v>
      </c>
    </row>
    <row r="532" spans="1:6" x14ac:dyDescent="0.25">
      <c r="A532" s="4" t="str">
        <f t="shared" si="93"/>
        <v>2770</v>
      </c>
      <c r="B532" s="4" t="str">
        <f t="shared" si="94"/>
        <v>Начисленные расходы по административно-хозяйственной деятельности</v>
      </c>
      <c r="C532" s="4" t="str">
        <f t="shared" si="92"/>
        <v>1</v>
      </c>
      <c r="D532" s="4" t="str">
        <f>"1"</f>
        <v>1</v>
      </c>
      <c r="E532" s="4" t="str">
        <f t="shared" si="91"/>
        <v>1</v>
      </c>
      <c r="F532" s="5">
        <v>3881</v>
      </c>
    </row>
    <row r="533" spans="1:6" x14ac:dyDescent="0.25">
      <c r="A533" s="4" t="str">
        <f t="shared" si="93"/>
        <v>2770</v>
      </c>
      <c r="B533" s="4" t="str">
        <f t="shared" si="94"/>
        <v>Начисленные расходы по административно-хозяйственной деятельности</v>
      </c>
      <c r="C533" s="4" t="str">
        <f t="shared" si="92"/>
        <v>1</v>
      </c>
      <c r="D533" s="4" t="str">
        <f>"8"</f>
        <v>8</v>
      </c>
      <c r="E533" s="4" t="str">
        <f t="shared" si="91"/>
        <v>1</v>
      </c>
      <c r="F533" s="5">
        <v>2371716.06</v>
      </c>
    </row>
    <row r="534" spans="1:6" x14ac:dyDescent="0.25">
      <c r="A534" s="4" t="str">
        <f t="shared" si="93"/>
        <v>2770</v>
      </c>
      <c r="B534" s="4" t="str">
        <f t="shared" si="94"/>
        <v>Начисленные расходы по административно-хозяйственной деятельности</v>
      </c>
      <c r="C534" s="4" t="str">
        <f>"2"</f>
        <v>2</v>
      </c>
      <c r="D534" s="4" t="str">
        <f>"7"</f>
        <v>7</v>
      </c>
      <c r="E534" s="4" t="str">
        <f t="shared" si="91"/>
        <v>1</v>
      </c>
      <c r="F534" s="5">
        <v>305225673.37</v>
      </c>
    </row>
    <row r="535" spans="1:6" x14ac:dyDescent="0.25">
      <c r="A535" s="4" t="str">
        <f t="shared" si="93"/>
        <v>2770</v>
      </c>
      <c r="B535" s="4" t="str">
        <f t="shared" si="94"/>
        <v>Начисленные расходы по административно-хозяйственной деятельности</v>
      </c>
      <c r="C535" s="4" t="str">
        <f>"1"</f>
        <v>1</v>
      </c>
      <c r="D535" s="4" t="str">
        <f>"9"</f>
        <v>9</v>
      </c>
      <c r="E535" s="4" t="str">
        <f t="shared" si="91"/>
        <v>1</v>
      </c>
      <c r="F535" s="5">
        <v>220820409.41</v>
      </c>
    </row>
    <row r="536" spans="1:6" x14ac:dyDescent="0.25">
      <c r="A536" s="4" t="str">
        <f>"2792"</f>
        <v>2792</v>
      </c>
      <c r="B536" s="4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C536" s="4" t="str">
        <f>"2"</f>
        <v>2</v>
      </c>
      <c r="D536" s="4" t="str">
        <f>"7"</f>
        <v>7</v>
      </c>
      <c r="E536" s="4" t="str">
        <f>"3"</f>
        <v>3</v>
      </c>
      <c r="F536" s="5">
        <v>1.62</v>
      </c>
    </row>
    <row r="537" spans="1:6" x14ac:dyDescent="0.25">
      <c r="A537" s="4" t="str">
        <f>"2792"</f>
        <v>2792</v>
      </c>
      <c r="B537" s="4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C537" s="4" t="str">
        <f>"2"</f>
        <v>2</v>
      </c>
      <c r="D537" s="4" t="str">
        <f>"7"</f>
        <v>7</v>
      </c>
      <c r="E537" s="4" t="str">
        <f>"2"</f>
        <v>2</v>
      </c>
      <c r="F537" s="5">
        <v>13.64</v>
      </c>
    </row>
    <row r="538" spans="1:6" x14ac:dyDescent="0.25">
      <c r="A538" s="4" t="str">
        <f t="shared" ref="A538:A545" si="95">"2794"</f>
        <v>2794</v>
      </c>
      <c r="B538" s="4" t="str">
        <f t="shared" ref="B538:B545" si="96">"Доходы будущих периодов"</f>
        <v>Доходы будущих периодов</v>
      </c>
      <c r="C538" s="4" t="str">
        <f>"1"</f>
        <v>1</v>
      </c>
      <c r="D538" s="4" t="str">
        <f>"6"</f>
        <v>6</v>
      </c>
      <c r="E538" s="4" t="str">
        <f t="shared" ref="E538:E543" si="97">"1"</f>
        <v>1</v>
      </c>
      <c r="F538" s="5">
        <v>23211.68</v>
      </c>
    </row>
    <row r="539" spans="1:6" x14ac:dyDescent="0.25">
      <c r="A539" s="4" t="str">
        <f t="shared" si="95"/>
        <v>2794</v>
      </c>
      <c r="B539" s="4" t="str">
        <f t="shared" si="96"/>
        <v>Доходы будущих периодов</v>
      </c>
      <c r="C539" s="4" t="str">
        <f>"2"</f>
        <v>2</v>
      </c>
      <c r="D539" s="4" t="str">
        <f>"7"</f>
        <v>7</v>
      </c>
      <c r="E539" s="4" t="str">
        <f t="shared" si="97"/>
        <v>1</v>
      </c>
      <c r="F539" s="5">
        <v>8548000</v>
      </c>
    </row>
    <row r="540" spans="1:6" x14ac:dyDescent="0.25">
      <c r="A540" s="4" t="str">
        <f t="shared" si="95"/>
        <v>2794</v>
      </c>
      <c r="B540" s="4" t="str">
        <f t="shared" si="96"/>
        <v>Доходы будущих периодов</v>
      </c>
      <c r="C540" s="4" t="str">
        <f>"1"</f>
        <v>1</v>
      </c>
      <c r="D540" s="4" t="str">
        <f>"7"</f>
        <v>7</v>
      </c>
      <c r="E540" s="4" t="str">
        <f t="shared" si="97"/>
        <v>1</v>
      </c>
      <c r="F540" s="5">
        <v>260939326.16999999</v>
      </c>
    </row>
    <row r="541" spans="1:6" x14ac:dyDescent="0.25">
      <c r="A541" s="4" t="str">
        <f t="shared" si="95"/>
        <v>2794</v>
      </c>
      <c r="B541" s="4" t="str">
        <f t="shared" si="96"/>
        <v>Доходы будущих периодов</v>
      </c>
      <c r="C541" s="4" t="str">
        <f>"1"</f>
        <v>1</v>
      </c>
      <c r="D541" s="4" t="str">
        <f>"5"</f>
        <v>5</v>
      </c>
      <c r="E541" s="4" t="str">
        <f t="shared" si="97"/>
        <v>1</v>
      </c>
      <c r="F541" s="5">
        <v>16663883.16</v>
      </c>
    </row>
    <row r="542" spans="1:6" x14ac:dyDescent="0.25">
      <c r="A542" s="4" t="str">
        <f t="shared" si="95"/>
        <v>2794</v>
      </c>
      <c r="B542" s="4" t="str">
        <f t="shared" si="96"/>
        <v>Доходы будущих периодов</v>
      </c>
      <c r="C542" s="4" t="str">
        <f>"1"</f>
        <v>1</v>
      </c>
      <c r="D542" s="4" t="str">
        <f>"9"</f>
        <v>9</v>
      </c>
      <c r="E542" s="4" t="str">
        <f t="shared" si="97"/>
        <v>1</v>
      </c>
      <c r="F542" s="5">
        <v>129086504.11</v>
      </c>
    </row>
    <row r="543" spans="1:6" x14ac:dyDescent="0.25">
      <c r="A543" s="4" t="str">
        <f t="shared" si="95"/>
        <v>2794</v>
      </c>
      <c r="B543" s="4" t="str">
        <f t="shared" si="96"/>
        <v>Доходы будущих периодов</v>
      </c>
      <c r="C543" s="4" t="str">
        <f>"2"</f>
        <v>2</v>
      </c>
      <c r="D543" s="4" t="str">
        <f>"9"</f>
        <v>9</v>
      </c>
      <c r="E543" s="4" t="str">
        <f t="shared" si="97"/>
        <v>1</v>
      </c>
      <c r="F543" s="5">
        <v>20856215.710000001</v>
      </c>
    </row>
    <row r="544" spans="1:6" x14ac:dyDescent="0.25">
      <c r="A544" s="4" t="str">
        <f t="shared" si="95"/>
        <v>2794</v>
      </c>
      <c r="B544" s="4" t="str">
        <f t="shared" si="96"/>
        <v>Доходы будущих периодов</v>
      </c>
      <c r="C544" s="4" t="str">
        <f>"1"</f>
        <v>1</v>
      </c>
      <c r="D544" s="4" t="str">
        <f>"7"</f>
        <v>7</v>
      </c>
      <c r="E544" s="4" t="str">
        <f>"2"</f>
        <v>2</v>
      </c>
      <c r="F544" s="5">
        <v>242574598.5</v>
      </c>
    </row>
    <row r="545" spans="1:6" x14ac:dyDescent="0.25">
      <c r="A545" s="4" t="str">
        <f t="shared" si="95"/>
        <v>2794</v>
      </c>
      <c r="B545" s="4" t="str">
        <f t="shared" si="96"/>
        <v>Доходы будущих периодов</v>
      </c>
      <c r="C545" s="4" t="str">
        <f>"1"</f>
        <v>1</v>
      </c>
      <c r="D545" s="4" t="str">
        <f>"8"</f>
        <v>8</v>
      </c>
      <c r="E545" s="4" t="str">
        <f>"1"</f>
        <v>1</v>
      </c>
      <c r="F545" s="5">
        <v>1000</v>
      </c>
    </row>
    <row r="546" spans="1:6" x14ac:dyDescent="0.25">
      <c r="A546" s="4" t="str">
        <f>"2799"</f>
        <v>2799</v>
      </c>
      <c r="B546" s="4" t="str">
        <f>"Прочие предоплаты"</f>
        <v>Прочие предоплаты</v>
      </c>
      <c r="C546" s="4" t="str">
        <f>"1"</f>
        <v>1</v>
      </c>
      <c r="D546" s="4" t="str">
        <f>"9"</f>
        <v>9</v>
      </c>
      <c r="E546" s="4" t="str">
        <f>"1"</f>
        <v>1</v>
      </c>
      <c r="F546" s="5">
        <v>505716683.06999999</v>
      </c>
    </row>
    <row r="547" spans="1:6" x14ac:dyDescent="0.25">
      <c r="A547" s="4" t="str">
        <f>"2799"</f>
        <v>2799</v>
      </c>
      <c r="B547" s="4" t="str">
        <f>"Прочие предоплаты"</f>
        <v>Прочие предоплаты</v>
      </c>
      <c r="C547" s="4" t="str">
        <f>"1"</f>
        <v>1</v>
      </c>
      <c r="D547" s="4" t="str">
        <f>"7"</f>
        <v>7</v>
      </c>
      <c r="E547" s="4" t="str">
        <f>"1"</f>
        <v>1</v>
      </c>
      <c r="F547" s="5">
        <v>1000100</v>
      </c>
    </row>
    <row r="548" spans="1:6" x14ac:dyDescent="0.25">
      <c r="A548" s="4" t="str">
        <f>"2811"</f>
        <v>2811</v>
      </c>
      <c r="B548" s="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48" s="4" t="str">
        <f>"1"</f>
        <v>1</v>
      </c>
      <c r="D548" s="6">
        <v>0</v>
      </c>
      <c r="E548" s="4" t="str">
        <f>"1"</f>
        <v>1</v>
      </c>
      <c r="F548" s="5">
        <v>20759235.620000001</v>
      </c>
    </row>
    <row r="549" spans="1:6" x14ac:dyDescent="0.25">
      <c r="A549" s="4" t="str">
        <f>"2811"</f>
        <v>2811</v>
      </c>
      <c r="B549" s="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49" s="4" t="str">
        <f>"2"</f>
        <v>2</v>
      </c>
      <c r="D549" s="6">
        <v>0</v>
      </c>
      <c r="E549" s="4" t="str">
        <f>"2"</f>
        <v>2</v>
      </c>
      <c r="F549" s="5">
        <v>17733118.579999998</v>
      </c>
    </row>
    <row r="550" spans="1:6" x14ac:dyDescent="0.25">
      <c r="A550" s="4" t="str">
        <f>"2811"</f>
        <v>2811</v>
      </c>
      <c r="B550" s="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50" s="4" t="str">
        <f>"1"</f>
        <v>1</v>
      </c>
      <c r="D550" s="6">
        <v>0</v>
      </c>
      <c r="E550" s="4" t="str">
        <f>"2"</f>
        <v>2</v>
      </c>
      <c r="F550" s="5">
        <v>8454.82</v>
      </c>
    </row>
    <row r="551" spans="1:6" x14ac:dyDescent="0.25">
      <c r="A551" s="4" t="str">
        <f>"2812"</f>
        <v>2812</v>
      </c>
      <c r="B551" s="4" t="str">
        <f>"Начисленные комиссионные расходы по агентским услугам"</f>
        <v>Начисленные комиссионные расходы по агентским услугам</v>
      </c>
      <c r="C551" s="4" t="str">
        <f>"1"</f>
        <v>1</v>
      </c>
      <c r="D551" s="6">
        <v>0</v>
      </c>
      <c r="E551" s="4" t="str">
        <f>"1"</f>
        <v>1</v>
      </c>
      <c r="F551" s="5">
        <v>1679063.32</v>
      </c>
    </row>
    <row r="552" spans="1:6" x14ac:dyDescent="0.25">
      <c r="A552" s="4" t="str">
        <f>"2813"</f>
        <v>2813</v>
      </c>
      <c r="B552" s="4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C552" s="4" t="str">
        <f>"1"</f>
        <v>1</v>
      </c>
      <c r="D552" s="6">
        <v>0</v>
      </c>
      <c r="E552" s="4" t="str">
        <f>"1"</f>
        <v>1</v>
      </c>
      <c r="F552" s="5">
        <v>979713.55</v>
      </c>
    </row>
    <row r="553" spans="1:6" x14ac:dyDescent="0.25">
      <c r="A553" s="4" t="str">
        <f>"2817"</f>
        <v>2817</v>
      </c>
      <c r="B553" s="4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53" s="4" t="str">
        <f>"2"</f>
        <v>2</v>
      </c>
      <c r="D553" s="6">
        <v>0</v>
      </c>
      <c r="E553" s="4" t="str">
        <f>"1"</f>
        <v>1</v>
      </c>
      <c r="F553" s="5">
        <v>49696.04</v>
      </c>
    </row>
    <row r="554" spans="1:6" x14ac:dyDescent="0.25">
      <c r="A554" s="4" t="str">
        <f>"2817"</f>
        <v>2817</v>
      </c>
      <c r="B554" s="4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54" s="4" t="str">
        <f>"2"</f>
        <v>2</v>
      </c>
      <c r="D554" s="6">
        <v>0</v>
      </c>
      <c r="E554" s="4" t="str">
        <f>"3"</f>
        <v>3</v>
      </c>
      <c r="F554" s="5">
        <v>768984.14</v>
      </c>
    </row>
    <row r="555" spans="1:6" x14ac:dyDescent="0.25">
      <c r="A555" s="4" t="str">
        <f>"2817"</f>
        <v>2817</v>
      </c>
      <c r="B555" s="4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55" s="4" t="str">
        <f>"2"</f>
        <v>2</v>
      </c>
      <c r="D555" s="6">
        <v>0</v>
      </c>
      <c r="E555" s="4" t="str">
        <f>"2"</f>
        <v>2</v>
      </c>
      <c r="F555" s="5">
        <v>69457390.239999995</v>
      </c>
    </row>
    <row r="556" spans="1:6" x14ac:dyDescent="0.25">
      <c r="A556" s="4" t="str">
        <f>"2817"</f>
        <v>2817</v>
      </c>
      <c r="B556" s="4" t="str">
        <f>"Начисленные комиссионные расходы за услуги по открытию и ведению банковских счетов клиентов"</f>
        <v>Начисленные комиссионные расходы за услуги по открытию и ведению банковских счетов клиентов</v>
      </c>
      <c r="C556" s="4" t="str">
        <f>"1"</f>
        <v>1</v>
      </c>
      <c r="D556" s="6">
        <v>0</v>
      </c>
      <c r="E556" s="4" t="str">
        <f>"3"</f>
        <v>3</v>
      </c>
      <c r="F556" s="5">
        <v>40380.79</v>
      </c>
    </row>
    <row r="557" spans="1:6" x14ac:dyDescent="0.25">
      <c r="A557" s="4" t="str">
        <f>"2818"</f>
        <v>2818</v>
      </c>
      <c r="B557" s="4" t="str">
        <f>"Начисленные прочие комиссионные расходы"</f>
        <v>Начисленные прочие комиссионные расходы</v>
      </c>
      <c r="C557" s="4" t="str">
        <f>"1"</f>
        <v>1</v>
      </c>
      <c r="D557" s="6">
        <v>0</v>
      </c>
      <c r="E557" s="4" t="str">
        <f>"1"</f>
        <v>1</v>
      </c>
      <c r="F557" s="5">
        <v>8238332.9299999997</v>
      </c>
    </row>
    <row r="558" spans="1:6" x14ac:dyDescent="0.25">
      <c r="A558" s="4" t="str">
        <f>"2819"</f>
        <v>2819</v>
      </c>
      <c r="B558" s="4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C558" s="4" t="str">
        <f>"1"</f>
        <v>1</v>
      </c>
      <c r="D558" s="6">
        <v>0</v>
      </c>
      <c r="E558" s="4" t="str">
        <f>"1"</f>
        <v>1</v>
      </c>
      <c r="F558" s="5">
        <v>2160000</v>
      </c>
    </row>
    <row r="559" spans="1:6" x14ac:dyDescent="0.25">
      <c r="A559" s="4" t="str">
        <f>"2819"</f>
        <v>2819</v>
      </c>
      <c r="B559" s="4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C559" s="4" t="str">
        <f>"2"</f>
        <v>2</v>
      </c>
      <c r="D559" s="6">
        <v>0</v>
      </c>
      <c r="E559" s="4" t="str">
        <f>"1"</f>
        <v>1</v>
      </c>
      <c r="F559" s="5">
        <v>4000000</v>
      </c>
    </row>
    <row r="560" spans="1:6" x14ac:dyDescent="0.25">
      <c r="A560" s="4" t="str">
        <f>"2820"</f>
        <v>2820</v>
      </c>
      <c r="B560" s="4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C560" s="4" t="str">
        <f>"1"</f>
        <v>1</v>
      </c>
      <c r="D560" s="6">
        <v>0</v>
      </c>
      <c r="E560" s="4" t="str">
        <f>"1"</f>
        <v>1</v>
      </c>
      <c r="F560" s="5">
        <v>216593333.28999999</v>
      </c>
    </row>
    <row r="561" spans="1:6" x14ac:dyDescent="0.25">
      <c r="A561" s="4" t="str">
        <f>"2851"</f>
        <v>2851</v>
      </c>
      <c r="B561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561" s="4" t="str">
        <f>"1"</f>
        <v>1</v>
      </c>
      <c r="D561" s="4" t="str">
        <f>"1"</f>
        <v>1</v>
      </c>
      <c r="E561" s="4" t="str">
        <f>"1"</f>
        <v>1</v>
      </c>
      <c r="F561" s="5">
        <v>3341517453.7600002</v>
      </c>
    </row>
    <row r="562" spans="1:6" x14ac:dyDescent="0.25">
      <c r="A562" s="4" t="str">
        <f>"2854"</f>
        <v>2854</v>
      </c>
      <c r="B562" s="4" t="str">
        <f>"Расчеты с работниками"</f>
        <v>Расчеты с работниками</v>
      </c>
      <c r="C562" s="6">
        <v>0</v>
      </c>
      <c r="D562" s="6">
        <v>0</v>
      </c>
      <c r="E562" s="6">
        <v>0</v>
      </c>
      <c r="F562" s="5">
        <v>8775653061.7999992</v>
      </c>
    </row>
    <row r="563" spans="1:6" x14ac:dyDescent="0.25">
      <c r="A563" s="4" t="str">
        <f>"2855"</f>
        <v>2855</v>
      </c>
      <c r="B563" s="4" t="str">
        <f>"Кредиторы по документарным расчетам"</f>
        <v>Кредиторы по документарным расчетам</v>
      </c>
      <c r="C563" s="4" t="str">
        <f>"1"</f>
        <v>1</v>
      </c>
      <c r="D563" s="4" t="str">
        <f>"7"</f>
        <v>7</v>
      </c>
      <c r="E563" s="4" t="str">
        <f>"2"</f>
        <v>2</v>
      </c>
      <c r="F563" s="5">
        <v>337571826.80000001</v>
      </c>
    </row>
    <row r="564" spans="1:6" x14ac:dyDescent="0.25">
      <c r="A564" s="4" t="str">
        <f>"2856"</f>
        <v>2856</v>
      </c>
      <c r="B564" s="4" t="str">
        <f>"Кредиторы по капитальным вложениям"</f>
        <v>Кредиторы по капитальным вложениям</v>
      </c>
      <c r="C564" s="4" t="str">
        <f>"1"</f>
        <v>1</v>
      </c>
      <c r="D564" s="4" t="str">
        <f>"7"</f>
        <v>7</v>
      </c>
      <c r="E564" s="4" t="str">
        <f>"1"</f>
        <v>1</v>
      </c>
      <c r="F564" s="5">
        <v>169507346.80000001</v>
      </c>
    </row>
    <row r="565" spans="1:6" x14ac:dyDescent="0.25">
      <c r="A565" s="4" t="str">
        <f>"2857"</f>
        <v>2857</v>
      </c>
      <c r="B565" s="4" t="str">
        <f>"Отложенные налоговые обязательства"</f>
        <v>Отложенные налоговые обязательства</v>
      </c>
      <c r="C565" s="6">
        <v>0</v>
      </c>
      <c r="D565" s="6">
        <v>0</v>
      </c>
      <c r="E565" s="6">
        <v>0</v>
      </c>
      <c r="F565" s="5">
        <v>16883940505.389999</v>
      </c>
    </row>
    <row r="566" spans="1:6" x14ac:dyDescent="0.25">
      <c r="A566" s="4" t="str">
        <f t="shared" ref="A566:A581" si="98">"2860"</f>
        <v>2860</v>
      </c>
      <c r="B566" s="4" t="str">
        <f t="shared" ref="B566:B581" si="99">"Прочие кредиторы по банковской деятельности"</f>
        <v>Прочие кредиторы по банковской деятельности</v>
      </c>
      <c r="C566" s="4" t="str">
        <f>"1"</f>
        <v>1</v>
      </c>
      <c r="D566" s="4" t="str">
        <f>"9"</f>
        <v>9</v>
      </c>
      <c r="E566" s="4" t="str">
        <f>"1"</f>
        <v>1</v>
      </c>
      <c r="F566" s="5">
        <v>4618720307.2700005</v>
      </c>
    </row>
    <row r="567" spans="1:6" x14ac:dyDescent="0.25">
      <c r="A567" s="4" t="str">
        <f t="shared" si="98"/>
        <v>2860</v>
      </c>
      <c r="B567" s="4" t="str">
        <f t="shared" si="99"/>
        <v>Прочие кредиторы по банковской деятельности</v>
      </c>
      <c r="C567" s="4" t="str">
        <f>"1"</f>
        <v>1</v>
      </c>
      <c r="D567" s="4" t="str">
        <f>"6"</f>
        <v>6</v>
      </c>
      <c r="E567" s="4" t="str">
        <f>"1"</f>
        <v>1</v>
      </c>
      <c r="F567" s="5">
        <v>13841025.630000001</v>
      </c>
    </row>
    <row r="568" spans="1:6" x14ac:dyDescent="0.25">
      <c r="A568" s="4" t="str">
        <f t="shared" si="98"/>
        <v>2860</v>
      </c>
      <c r="B568" s="4" t="str">
        <f t="shared" si="99"/>
        <v>Прочие кредиторы по банковской деятельности</v>
      </c>
      <c r="C568" s="4" t="str">
        <f>"2"</f>
        <v>2</v>
      </c>
      <c r="D568" s="4" t="str">
        <f>"9"</f>
        <v>9</v>
      </c>
      <c r="E568" s="4" t="str">
        <f>"1"</f>
        <v>1</v>
      </c>
      <c r="F568" s="5">
        <v>7537607.2000000002</v>
      </c>
    </row>
    <row r="569" spans="1:6" x14ac:dyDescent="0.25">
      <c r="A569" s="4" t="str">
        <f t="shared" si="98"/>
        <v>2860</v>
      </c>
      <c r="B569" s="4" t="str">
        <f t="shared" si="99"/>
        <v>Прочие кредиторы по банковской деятельности</v>
      </c>
      <c r="C569" s="4" t="str">
        <f>"2"</f>
        <v>2</v>
      </c>
      <c r="D569" s="4" t="str">
        <f>"9"</f>
        <v>9</v>
      </c>
      <c r="E569" s="4" t="str">
        <f>"3"</f>
        <v>3</v>
      </c>
      <c r="F569" s="5">
        <v>47426.720000000001</v>
      </c>
    </row>
    <row r="570" spans="1:6" x14ac:dyDescent="0.25">
      <c r="A570" s="4" t="str">
        <f t="shared" si="98"/>
        <v>2860</v>
      </c>
      <c r="B570" s="4" t="str">
        <f t="shared" si="99"/>
        <v>Прочие кредиторы по банковской деятельности</v>
      </c>
      <c r="C570" s="4" t="str">
        <f>"2"</f>
        <v>2</v>
      </c>
      <c r="D570" s="4" t="str">
        <f>"7"</f>
        <v>7</v>
      </c>
      <c r="E570" s="4" t="str">
        <f>"2"</f>
        <v>2</v>
      </c>
      <c r="F570" s="5">
        <v>70301.7</v>
      </c>
    </row>
    <row r="571" spans="1:6" x14ac:dyDescent="0.25">
      <c r="A571" s="4" t="str">
        <f t="shared" si="98"/>
        <v>2860</v>
      </c>
      <c r="B571" s="4" t="str">
        <f t="shared" si="99"/>
        <v>Прочие кредиторы по банковской деятельности</v>
      </c>
      <c r="C571" s="4" t="str">
        <f>"1"</f>
        <v>1</v>
      </c>
      <c r="D571" s="4" t="str">
        <f>"3"</f>
        <v>3</v>
      </c>
      <c r="E571" s="4" t="str">
        <f>"1"</f>
        <v>1</v>
      </c>
      <c r="F571" s="5">
        <v>1936058.65</v>
      </c>
    </row>
    <row r="572" spans="1:6" x14ac:dyDescent="0.25">
      <c r="A572" s="4" t="str">
        <f t="shared" si="98"/>
        <v>2860</v>
      </c>
      <c r="B572" s="4" t="str">
        <f t="shared" si="99"/>
        <v>Прочие кредиторы по банковской деятельности</v>
      </c>
      <c r="C572" s="4" t="str">
        <f>"2"</f>
        <v>2</v>
      </c>
      <c r="D572" s="4" t="str">
        <f>"9"</f>
        <v>9</v>
      </c>
      <c r="E572" s="4" t="str">
        <f>"2"</f>
        <v>2</v>
      </c>
      <c r="F572" s="5">
        <v>233171.11</v>
      </c>
    </row>
    <row r="573" spans="1:6" x14ac:dyDescent="0.25">
      <c r="A573" s="4" t="str">
        <f t="shared" si="98"/>
        <v>2860</v>
      </c>
      <c r="B573" s="4" t="str">
        <f t="shared" si="99"/>
        <v>Прочие кредиторы по банковской деятельности</v>
      </c>
      <c r="C573" s="4" t="str">
        <f>"2"</f>
        <v>2</v>
      </c>
      <c r="D573" s="4" t="str">
        <f>"7"</f>
        <v>7</v>
      </c>
      <c r="E573" s="4" t="str">
        <f>"1"</f>
        <v>1</v>
      </c>
      <c r="F573" s="5">
        <v>25376366.120000001</v>
      </c>
    </row>
    <row r="574" spans="1:6" x14ac:dyDescent="0.25">
      <c r="A574" s="4" t="str">
        <f t="shared" si="98"/>
        <v>2860</v>
      </c>
      <c r="B574" s="4" t="str">
        <f t="shared" si="99"/>
        <v>Прочие кредиторы по банковской деятельности</v>
      </c>
      <c r="C574" s="4" t="str">
        <f>"1"</f>
        <v>1</v>
      </c>
      <c r="D574" s="4" t="str">
        <f>"7"</f>
        <v>7</v>
      </c>
      <c r="E574" s="4" t="str">
        <f>"1"</f>
        <v>1</v>
      </c>
      <c r="F574" s="5">
        <v>9129764373.5400009</v>
      </c>
    </row>
    <row r="575" spans="1:6" x14ac:dyDescent="0.25">
      <c r="A575" s="4" t="str">
        <f t="shared" si="98"/>
        <v>2860</v>
      </c>
      <c r="B575" s="4" t="str">
        <f t="shared" si="99"/>
        <v>Прочие кредиторы по банковской деятельности</v>
      </c>
      <c r="C575" s="4" t="str">
        <f>"1"</f>
        <v>1</v>
      </c>
      <c r="D575" s="4" t="str">
        <f>"9"</f>
        <v>9</v>
      </c>
      <c r="E575" s="4" t="str">
        <f>"2"</f>
        <v>2</v>
      </c>
      <c r="F575" s="5">
        <v>24349942.609999999</v>
      </c>
    </row>
    <row r="576" spans="1:6" x14ac:dyDescent="0.25">
      <c r="A576" s="4" t="str">
        <f t="shared" si="98"/>
        <v>2860</v>
      </c>
      <c r="B576" s="4" t="str">
        <f t="shared" si="99"/>
        <v>Прочие кредиторы по банковской деятельности</v>
      </c>
      <c r="C576" s="4" t="str">
        <f>"1"</f>
        <v>1</v>
      </c>
      <c r="D576" s="4" t="str">
        <f>"5"</f>
        <v>5</v>
      </c>
      <c r="E576" s="4" t="str">
        <f>"1"</f>
        <v>1</v>
      </c>
      <c r="F576" s="5">
        <v>810529882.40999997</v>
      </c>
    </row>
    <row r="577" spans="1:6" x14ac:dyDescent="0.25">
      <c r="A577" s="4" t="str">
        <f t="shared" si="98"/>
        <v>2860</v>
      </c>
      <c r="B577" s="4" t="str">
        <f t="shared" si="99"/>
        <v>Прочие кредиторы по банковской деятельности</v>
      </c>
      <c r="C577" s="4" t="str">
        <f>"1"</f>
        <v>1</v>
      </c>
      <c r="D577" s="4" t="str">
        <f>"1"</f>
        <v>1</v>
      </c>
      <c r="E577" s="4" t="str">
        <f>"1"</f>
        <v>1</v>
      </c>
      <c r="F577" s="5">
        <v>353293110.60000002</v>
      </c>
    </row>
    <row r="578" spans="1:6" x14ac:dyDescent="0.25">
      <c r="A578" s="4" t="str">
        <f t="shared" si="98"/>
        <v>2860</v>
      </c>
      <c r="B578" s="4" t="str">
        <f t="shared" si="99"/>
        <v>Прочие кредиторы по банковской деятельности</v>
      </c>
      <c r="C578" s="4" t="str">
        <f>"2"</f>
        <v>2</v>
      </c>
      <c r="D578" s="4" t="str">
        <f>"5"</f>
        <v>5</v>
      </c>
      <c r="E578" s="4" t="str">
        <f>"2"</f>
        <v>2</v>
      </c>
      <c r="F578" s="5">
        <v>767630644.55999994</v>
      </c>
    </row>
    <row r="579" spans="1:6" x14ac:dyDescent="0.25">
      <c r="A579" s="4" t="str">
        <f t="shared" si="98"/>
        <v>2860</v>
      </c>
      <c r="B579" s="4" t="str">
        <f t="shared" si="99"/>
        <v>Прочие кредиторы по банковской деятельности</v>
      </c>
      <c r="C579" s="4" t="str">
        <f>"1"</f>
        <v>1</v>
      </c>
      <c r="D579" s="4" t="str">
        <f>"4"</f>
        <v>4</v>
      </c>
      <c r="E579" s="4" t="str">
        <f>"1"</f>
        <v>1</v>
      </c>
      <c r="F579" s="5">
        <v>10529175552.93</v>
      </c>
    </row>
    <row r="580" spans="1:6" x14ac:dyDescent="0.25">
      <c r="A580" s="4" t="str">
        <f t="shared" si="98"/>
        <v>2860</v>
      </c>
      <c r="B580" s="4" t="str">
        <f t="shared" si="99"/>
        <v>Прочие кредиторы по банковской деятельности</v>
      </c>
      <c r="C580" s="4" t="str">
        <f>"1"</f>
        <v>1</v>
      </c>
      <c r="D580" s="4" t="str">
        <f>"9"</f>
        <v>9</v>
      </c>
      <c r="E580" s="4" t="str">
        <f>"3"</f>
        <v>3</v>
      </c>
      <c r="F580" s="5">
        <v>172973.87</v>
      </c>
    </row>
    <row r="581" spans="1:6" x14ac:dyDescent="0.25">
      <c r="A581" s="4" t="str">
        <f t="shared" si="98"/>
        <v>2860</v>
      </c>
      <c r="B581" s="4" t="str">
        <f t="shared" si="99"/>
        <v>Прочие кредиторы по банковской деятельности</v>
      </c>
      <c r="C581" s="4" t="str">
        <f>"2"</f>
        <v>2</v>
      </c>
      <c r="D581" s="4" t="str">
        <f>"7"</f>
        <v>7</v>
      </c>
      <c r="E581" s="4" t="str">
        <f>"3"</f>
        <v>3</v>
      </c>
      <c r="F581" s="5">
        <v>418580.05</v>
      </c>
    </row>
    <row r="582" spans="1:6" x14ac:dyDescent="0.25">
      <c r="A582" s="4" t="str">
        <f>"2861"</f>
        <v>2861</v>
      </c>
      <c r="B582" s="4" t="str">
        <f>"Резерв на отпускные выплаты"</f>
        <v>Резерв на отпускные выплаты</v>
      </c>
      <c r="C582" s="6">
        <v>0</v>
      </c>
      <c r="D582" s="6">
        <v>0</v>
      </c>
      <c r="E582" s="6">
        <v>0</v>
      </c>
      <c r="F582" s="5">
        <v>2341418377.7600002</v>
      </c>
    </row>
    <row r="583" spans="1:6" x14ac:dyDescent="0.25">
      <c r="A583" s="4" t="str">
        <f>"2865"</f>
        <v>2865</v>
      </c>
      <c r="B583" s="4" t="str">
        <f>"Обязательства по выпущенным электронным деньгам"</f>
        <v>Обязательства по выпущенным электронным деньгам</v>
      </c>
      <c r="C583" s="4" t="str">
        <f t="shared" ref="C583:C591" si="100">"1"</f>
        <v>1</v>
      </c>
      <c r="D583" s="4" t="str">
        <f>"7"</f>
        <v>7</v>
      </c>
      <c r="E583" s="4" t="str">
        <f>"1"</f>
        <v>1</v>
      </c>
      <c r="F583" s="5">
        <v>264923177.58000001</v>
      </c>
    </row>
    <row r="584" spans="1:6" x14ac:dyDescent="0.25">
      <c r="A584" s="4" t="str">
        <f>"2865"</f>
        <v>2865</v>
      </c>
      <c r="B584" s="4" t="str">
        <f>"Обязательства по выпущенным электронным деньгам"</f>
        <v>Обязательства по выпущенным электронным деньгам</v>
      </c>
      <c r="C584" s="4" t="str">
        <f t="shared" si="100"/>
        <v>1</v>
      </c>
      <c r="D584" s="4" t="str">
        <f>"9"</f>
        <v>9</v>
      </c>
      <c r="E584" s="4" t="str">
        <f>"1"</f>
        <v>1</v>
      </c>
      <c r="F584" s="5">
        <v>564572.31000000006</v>
      </c>
    </row>
    <row r="585" spans="1:6" x14ac:dyDescent="0.25">
      <c r="A585" s="4" t="str">
        <f>"2867"</f>
        <v>2867</v>
      </c>
      <c r="B585" s="4" t="str">
        <f>"Прочие кредиторы по неосновной деятельности"</f>
        <v>Прочие кредиторы по неосновной деятельности</v>
      </c>
      <c r="C585" s="4" t="str">
        <f t="shared" si="100"/>
        <v>1</v>
      </c>
      <c r="D585" s="4" t="str">
        <f>"7"</f>
        <v>7</v>
      </c>
      <c r="E585" s="4" t="str">
        <f>"1"</f>
        <v>1</v>
      </c>
      <c r="F585" s="5">
        <v>8604238.0800000001</v>
      </c>
    </row>
    <row r="586" spans="1:6" x14ac:dyDescent="0.25">
      <c r="A586" s="4" t="str">
        <f t="shared" ref="A586:A591" si="101">"2869"</f>
        <v>2869</v>
      </c>
      <c r="B586" s="4" t="str">
        <f t="shared" ref="B586:B591" si="102">"Выданные гарантии"</f>
        <v>Выданные гарантии</v>
      </c>
      <c r="C586" s="4" t="str">
        <f t="shared" si="100"/>
        <v>1</v>
      </c>
      <c r="D586" s="4" t="str">
        <f>"6"</f>
        <v>6</v>
      </c>
      <c r="E586" s="4" t="str">
        <f>"1"</f>
        <v>1</v>
      </c>
      <c r="F586" s="5">
        <v>614797.65</v>
      </c>
    </row>
    <row r="587" spans="1:6" x14ac:dyDescent="0.25">
      <c r="A587" s="4" t="str">
        <f t="shared" si="101"/>
        <v>2869</v>
      </c>
      <c r="B587" s="4" t="str">
        <f t="shared" si="102"/>
        <v>Выданные гарантии</v>
      </c>
      <c r="C587" s="4" t="str">
        <f t="shared" si="100"/>
        <v>1</v>
      </c>
      <c r="D587" s="4" t="str">
        <f>"7"</f>
        <v>7</v>
      </c>
      <c r="E587" s="4" t="str">
        <f>"2"</f>
        <v>2</v>
      </c>
      <c r="F587" s="5">
        <v>170104715.34</v>
      </c>
    </row>
    <row r="588" spans="1:6" x14ac:dyDescent="0.25">
      <c r="A588" s="4" t="str">
        <f t="shared" si="101"/>
        <v>2869</v>
      </c>
      <c r="B588" s="4" t="str">
        <f t="shared" si="102"/>
        <v>Выданные гарантии</v>
      </c>
      <c r="C588" s="4" t="str">
        <f t="shared" si="100"/>
        <v>1</v>
      </c>
      <c r="D588" s="4" t="str">
        <f>"7"</f>
        <v>7</v>
      </c>
      <c r="E588" s="4" t="str">
        <f>"1"</f>
        <v>1</v>
      </c>
      <c r="F588" s="5">
        <v>2641728347.0500002</v>
      </c>
    </row>
    <row r="589" spans="1:6" x14ac:dyDescent="0.25">
      <c r="A589" s="4" t="str">
        <f t="shared" si="101"/>
        <v>2869</v>
      </c>
      <c r="B589" s="4" t="str">
        <f t="shared" si="102"/>
        <v>Выданные гарантии</v>
      </c>
      <c r="C589" s="4" t="str">
        <f t="shared" si="100"/>
        <v>1</v>
      </c>
      <c r="D589" s="4" t="str">
        <f>"7"</f>
        <v>7</v>
      </c>
      <c r="E589" s="4" t="str">
        <f>"3"</f>
        <v>3</v>
      </c>
      <c r="F589" s="5">
        <v>24556253.879999999</v>
      </c>
    </row>
    <row r="590" spans="1:6" x14ac:dyDescent="0.25">
      <c r="A590" s="4" t="str">
        <f t="shared" si="101"/>
        <v>2869</v>
      </c>
      <c r="B590" s="4" t="str">
        <f t="shared" si="102"/>
        <v>Выданные гарантии</v>
      </c>
      <c r="C590" s="4" t="str">
        <f t="shared" si="100"/>
        <v>1</v>
      </c>
      <c r="D590" s="4" t="str">
        <f>"8"</f>
        <v>8</v>
      </c>
      <c r="E590" s="4" t="str">
        <f>"1"</f>
        <v>1</v>
      </c>
      <c r="F590" s="5">
        <v>11296.72</v>
      </c>
    </row>
    <row r="591" spans="1:6" x14ac:dyDescent="0.25">
      <c r="A591" s="4" t="str">
        <f t="shared" si="101"/>
        <v>2869</v>
      </c>
      <c r="B591" s="4" t="str">
        <f t="shared" si="102"/>
        <v>Выданные гарантии</v>
      </c>
      <c r="C591" s="4" t="str">
        <f t="shared" si="100"/>
        <v>1</v>
      </c>
      <c r="D591" s="4" t="str">
        <f>"9"</f>
        <v>9</v>
      </c>
      <c r="E591" s="4" t="str">
        <f>"1"</f>
        <v>1</v>
      </c>
      <c r="F591" s="5">
        <v>3195105.41</v>
      </c>
    </row>
    <row r="592" spans="1:6" x14ac:dyDescent="0.25">
      <c r="A592" s="4" t="str">
        <f t="shared" ref="A592:A603" si="103">"2870"</f>
        <v>2870</v>
      </c>
      <c r="B592" s="4" t="str">
        <f t="shared" ref="B592:B603" si="104">"Прочие транзитные счета"</f>
        <v>Прочие транзитные счета</v>
      </c>
      <c r="C592" s="4" t="str">
        <f>"2"</f>
        <v>2</v>
      </c>
      <c r="D592" s="4" t="str">
        <f>"7"</f>
        <v>7</v>
      </c>
      <c r="E592" s="4" t="str">
        <f>"2"</f>
        <v>2</v>
      </c>
      <c r="F592" s="5">
        <v>346545.6</v>
      </c>
    </row>
    <row r="593" spans="1:6" x14ac:dyDescent="0.25">
      <c r="A593" s="4" t="str">
        <f t="shared" si="103"/>
        <v>2870</v>
      </c>
      <c r="B593" s="4" t="str">
        <f t="shared" si="104"/>
        <v>Прочие транзитные счета</v>
      </c>
      <c r="C593" s="4" t="str">
        <f>"2"</f>
        <v>2</v>
      </c>
      <c r="D593" s="4" t="str">
        <f>"4"</f>
        <v>4</v>
      </c>
      <c r="E593" s="4" t="str">
        <f>"3"</f>
        <v>3</v>
      </c>
      <c r="F593" s="5">
        <v>167225841.33000001</v>
      </c>
    </row>
    <row r="594" spans="1:6" x14ac:dyDescent="0.25">
      <c r="A594" s="4" t="str">
        <f t="shared" si="103"/>
        <v>2870</v>
      </c>
      <c r="B594" s="4" t="str">
        <f t="shared" si="104"/>
        <v>Прочие транзитные счета</v>
      </c>
      <c r="C594" s="4" t="str">
        <f>"2"</f>
        <v>2</v>
      </c>
      <c r="D594" s="4" t="str">
        <f>"9"</f>
        <v>9</v>
      </c>
      <c r="E594" s="4" t="str">
        <f>"3"</f>
        <v>3</v>
      </c>
      <c r="F594" s="5">
        <v>25300</v>
      </c>
    </row>
    <row r="595" spans="1:6" x14ac:dyDescent="0.25">
      <c r="A595" s="4" t="str">
        <f t="shared" si="103"/>
        <v>2870</v>
      </c>
      <c r="B595" s="4" t="str">
        <f t="shared" si="104"/>
        <v>Прочие транзитные счета</v>
      </c>
      <c r="C595" s="4" t="str">
        <f>"1"</f>
        <v>1</v>
      </c>
      <c r="D595" s="4" t="str">
        <f>"7"</f>
        <v>7</v>
      </c>
      <c r="E595" s="4" t="str">
        <f>"2"</f>
        <v>2</v>
      </c>
      <c r="F595" s="5">
        <v>40091331.259999998</v>
      </c>
    </row>
    <row r="596" spans="1:6" x14ac:dyDescent="0.25">
      <c r="A596" s="4" t="str">
        <f t="shared" si="103"/>
        <v>2870</v>
      </c>
      <c r="B596" s="4" t="str">
        <f t="shared" si="104"/>
        <v>Прочие транзитные счета</v>
      </c>
      <c r="C596" s="4" t="str">
        <f>"1"</f>
        <v>1</v>
      </c>
      <c r="D596" s="4" t="str">
        <f>"3"</f>
        <v>3</v>
      </c>
      <c r="E596" s="4" t="str">
        <f>"1"</f>
        <v>1</v>
      </c>
      <c r="F596" s="5">
        <v>278930</v>
      </c>
    </row>
    <row r="597" spans="1:6" x14ac:dyDescent="0.25">
      <c r="A597" s="4" t="str">
        <f t="shared" si="103"/>
        <v>2870</v>
      </c>
      <c r="B597" s="4" t="str">
        <f t="shared" si="104"/>
        <v>Прочие транзитные счета</v>
      </c>
      <c r="C597" s="4" t="str">
        <f>"1"</f>
        <v>1</v>
      </c>
      <c r="D597" s="4" t="str">
        <f>"9"</f>
        <v>9</v>
      </c>
      <c r="E597" s="4" t="str">
        <f>"3"</f>
        <v>3</v>
      </c>
      <c r="F597" s="5">
        <v>526492.32999999996</v>
      </c>
    </row>
    <row r="598" spans="1:6" x14ac:dyDescent="0.25">
      <c r="A598" s="4" t="str">
        <f t="shared" si="103"/>
        <v>2870</v>
      </c>
      <c r="B598" s="4" t="str">
        <f t="shared" si="104"/>
        <v>Прочие транзитные счета</v>
      </c>
      <c r="C598" s="4" t="str">
        <f>"1"</f>
        <v>1</v>
      </c>
      <c r="D598" s="4" t="str">
        <f>"9"</f>
        <v>9</v>
      </c>
      <c r="E598" s="4" t="str">
        <f>"2"</f>
        <v>2</v>
      </c>
      <c r="F598" s="5">
        <v>282784939.17000002</v>
      </c>
    </row>
    <row r="599" spans="1:6" x14ac:dyDescent="0.25">
      <c r="A599" s="4" t="str">
        <f t="shared" si="103"/>
        <v>2870</v>
      </c>
      <c r="B599" s="4" t="str">
        <f t="shared" si="104"/>
        <v>Прочие транзитные счета</v>
      </c>
      <c r="C599" s="4" t="str">
        <f>"2"</f>
        <v>2</v>
      </c>
      <c r="D599" s="4" t="str">
        <f>"4"</f>
        <v>4</v>
      </c>
      <c r="E599" s="4" t="str">
        <f>"2"</f>
        <v>2</v>
      </c>
      <c r="F599" s="5">
        <v>1970953767.8199999</v>
      </c>
    </row>
    <row r="600" spans="1:6" x14ac:dyDescent="0.25">
      <c r="A600" s="4" t="str">
        <f t="shared" si="103"/>
        <v>2870</v>
      </c>
      <c r="B600" s="4" t="str">
        <f t="shared" si="104"/>
        <v>Прочие транзитные счета</v>
      </c>
      <c r="C600" s="4" t="str">
        <f>"1"</f>
        <v>1</v>
      </c>
      <c r="D600" s="4" t="str">
        <f>"9"</f>
        <v>9</v>
      </c>
      <c r="E600" s="4" t="str">
        <f>"1"</f>
        <v>1</v>
      </c>
      <c r="F600" s="5">
        <v>1627091229.1300001</v>
      </c>
    </row>
    <row r="601" spans="1:6" x14ac:dyDescent="0.25">
      <c r="A601" s="4" t="str">
        <f t="shared" si="103"/>
        <v>2870</v>
      </c>
      <c r="B601" s="4" t="str">
        <f t="shared" si="104"/>
        <v>Прочие транзитные счета</v>
      </c>
      <c r="C601" s="4" t="str">
        <f>"1"</f>
        <v>1</v>
      </c>
      <c r="D601" s="4" t="str">
        <f>"4"</f>
        <v>4</v>
      </c>
      <c r="E601" s="4" t="str">
        <f>"2"</f>
        <v>2</v>
      </c>
      <c r="F601" s="5">
        <v>1760283.6</v>
      </c>
    </row>
    <row r="602" spans="1:6" x14ac:dyDescent="0.25">
      <c r="A602" s="4" t="str">
        <f t="shared" si="103"/>
        <v>2870</v>
      </c>
      <c r="B602" s="4" t="str">
        <f t="shared" si="104"/>
        <v>Прочие транзитные счета</v>
      </c>
      <c r="C602" s="4" t="str">
        <f>"1"</f>
        <v>1</v>
      </c>
      <c r="D602" s="4" t="str">
        <f>"7"</f>
        <v>7</v>
      </c>
      <c r="E602" s="4" t="str">
        <f>"3"</f>
        <v>3</v>
      </c>
      <c r="F602" s="5">
        <v>1837940.92</v>
      </c>
    </row>
    <row r="603" spans="1:6" x14ac:dyDescent="0.25">
      <c r="A603" s="4" t="str">
        <f t="shared" si="103"/>
        <v>2870</v>
      </c>
      <c r="B603" s="4" t="str">
        <f t="shared" si="104"/>
        <v>Прочие транзитные счета</v>
      </c>
      <c r="C603" s="4" t="str">
        <f>"1"</f>
        <v>1</v>
      </c>
      <c r="D603" s="4" t="str">
        <f>"7"</f>
        <v>7</v>
      </c>
      <c r="E603" s="4" t="str">
        <f>"1"</f>
        <v>1</v>
      </c>
      <c r="F603" s="5">
        <v>5367712.54</v>
      </c>
    </row>
    <row r="604" spans="1:6" x14ac:dyDescent="0.25">
      <c r="A604" s="4" t="str">
        <f>"2874"</f>
        <v>2874</v>
      </c>
      <c r="B604" s="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4" s="4" t="str">
        <f>"2"</f>
        <v>2</v>
      </c>
      <c r="D604" s="6">
        <v>0</v>
      </c>
      <c r="E604" s="4" t="str">
        <f>"1"</f>
        <v>1</v>
      </c>
      <c r="F604" s="5">
        <v>12000</v>
      </c>
    </row>
    <row r="605" spans="1:6" x14ac:dyDescent="0.25">
      <c r="A605" s="4" t="str">
        <f>"2874"</f>
        <v>2874</v>
      </c>
      <c r="B605" s="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5" s="4" t="str">
        <f>"1"</f>
        <v>1</v>
      </c>
      <c r="D605" s="6">
        <v>0</v>
      </c>
      <c r="E605" s="4" t="str">
        <f>"1"</f>
        <v>1</v>
      </c>
      <c r="F605" s="5">
        <v>12987180.199999999</v>
      </c>
    </row>
    <row r="606" spans="1:6" x14ac:dyDescent="0.25">
      <c r="A606" s="4" t="str">
        <f>"2874"</f>
        <v>2874</v>
      </c>
      <c r="B606" s="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6" s="4" t="str">
        <f>"1"</f>
        <v>1</v>
      </c>
      <c r="D606" s="6">
        <v>0</v>
      </c>
      <c r="E606" s="4" t="str">
        <f>"3"</f>
        <v>3</v>
      </c>
      <c r="F606" s="5">
        <v>5687.44</v>
      </c>
    </row>
    <row r="607" spans="1:6" x14ac:dyDescent="0.25">
      <c r="A607" s="4" t="str">
        <f>"2874"</f>
        <v>2874</v>
      </c>
      <c r="B607" s="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607" s="4" t="str">
        <f>"1"</f>
        <v>1</v>
      </c>
      <c r="D607" s="6">
        <v>0</v>
      </c>
      <c r="E607" s="4" t="str">
        <f>"2"</f>
        <v>2</v>
      </c>
      <c r="F607" s="5">
        <v>2351996.02</v>
      </c>
    </row>
    <row r="608" spans="1:6" x14ac:dyDescent="0.25">
      <c r="A608" s="4" t="str">
        <f t="shared" ref="A608:A614" si="105">"2875"</f>
        <v>2875</v>
      </c>
      <c r="B608" s="4" t="str">
        <f t="shared" ref="B608:B614" si="106"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608" s="4" t="str">
        <f>"2"</f>
        <v>2</v>
      </c>
      <c r="D608" s="4" t="str">
        <f>"7"</f>
        <v>7</v>
      </c>
      <c r="E608" s="4" t="str">
        <f>"1"</f>
        <v>1</v>
      </c>
      <c r="F608" s="5">
        <v>60000000</v>
      </c>
    </row>
    <row r="609" spans="1:6" x14ac:dyDescent="0.25">
      <c r="A609" s="4" t="str">
        <f t="shared" si="105"/>
        <v>2875</v>
      </c>
      <c r="B609" s="4" t="str">
        <f t="shared" si="106"/>
        <v>Резервы (провизии) на покрытие убытков по условным обязательствам</v>
      </c>
      <c r="C609" s="4" t="str">
        <f>"1"</f>
        <v>1</v>
      </c>
      <c r="D609" s="4" t="str">
        <f>"9"</f>
        <v>9</v>
      </c>
      <c r="E609" s="4" t="str">
        <f>"1"</f>
        <v>1</v>
      </c>
      <c r="F609" s="5">
        <v>103387283.11</v>
      </c>
    </row>
    <row r="610" spans="1:6" x14ac:dyDescent="0.25">
      <c r="A610" s="4" t="str">
        <f t="shared" si="105"/>
        <v>2875</v>
      </c>
      <c r="B610" s="4" t="str">
        <f t="shared" si="106"/>
        <v>Резервы (провизии) на покрытие убытков по условным обязательствам</v>
      </c>
      <c r="C610" s="4" t="str">
        <f>"1"</f>
        <v>1</v>
      </c>
      <c r="D610" s="4" t="str">
        <f>"6"</f>
        <v>6</v>
      </c>
      <c r="E610" s="4" t="str">
        <f>"1"</f>
        <v>1</v>
      </c>
      <c r="F610" s="5">
        <v>634000</v>
      </c>
    </row>
    <row r="611" spans="1:6" x14ac:dyDescent="0.25">
      <c r="A611" s="4" t="str">
        <f t="shared" si="105"/>
        <v>2875</v>
      </c>
      <c r="B611" s="4" t="str">
        <f t="shared" si="106"/>
        <v>Резервы (провизии) на покрытие убытков по условным обязательствам</v>
      </c>
      <c r="C611" s="4" t="str">
        <f>"2"</f>
        <v>2</v>
      </c>
      <c r="D611" s="4" t="str">
        <f>"7"</f>
        <v>7</v>
      </c>
      <c r="E611" s="4" t="str">
        <f>"2"</f>
        <v>2</v>
      </c>
      <c r="F611" s="5">
        <v>34467912.030000001</v>
      </c>
    </row>
    <row r="612" spans="1:6" x14ac:dyDescent="0.25">
      <c r="A612" s="4" t="str">
        <f t="shared" si="105"/>
        <v>2875</v>
      </c>
      <c r="B612" s="4" t="str">
        <f t="shared" si="106"/>
        <v>Резервы (провизии) на покрытие убытков по условным обязательствам</v>
      </c>
      <c r="C612" s="4" t="str">
        <f>"1"</f>
        <v>1</v>
      </c>
      <c r="D612" s="4" t="str">
        <f>"7"</f>
        <v>7</v>
      </c>
      <c r="E612" s="4" t="str">
        <f>"1"</f>
        <v>1</v>
      </c>
      <c r="F612" s="5">
        <v>125654130.62</v>
      </c>
    </row>
    <row r="613" spans="1:6" x14ac:dyDescent="0.25">
      <c r="A613" s="4" t="str">
        <f t="shared" si="105"/>
        <v>2875</v>
      </c>
      <c r="B613" s="4" t="str">
        <f t="shared" si="106"/>
        <v>Резервы (провизии) на покрытие убытков по условным обязательствам</v>
      </c>
      <c r="C613" s="4" t="str">
        <f>"1"</f>
        <v>1</v>
      </c>
      <c r="D613" s="4" t="str">
        <f>"7"</f>
        <v>7</v>
      </c>
      <c r="E613" s="4" t="str">
        <f>"2"</f>
        <v>2</v>
      </c>
      <c r="F613" s="5">
        <v>458032.84</v>
      </c>
    </row>
    <row r="614" spans="1:6" x14ac:dyDescent="0.25">
      <c r="A614" s="4" t="str">
        <f t="shared" si="105"/>
        <v>2875</v>
      </c>
      <c r="B614" s="4" t="str">
        <f t="shared" si="106"/>
        <v>Резервы (провизии) на покрытие убытков по условным обязательствам</v>
      </c>
      <c r="C614" s="4" t="str">
        <f>"2"</f>
        <v>2</v>
      </c>
      <c r="D614" s="4" t="str">
        <f>"9"</f>
        <v>9</v>
      </c>
      <c r="E614" s="4" t="str">
        <f>"1"</f>
        <v>1</v>
      </c>
      <c r="F614" s="5">
        <v>245553.88</v>
      </c>
    </row>
    <row r="615" spans="1:6" x14ac:dyDescent="0.25">
      <c r="A615" s="4" t="str">
        <f>"2880"</f>
        <v>2880</v>
      </c>
      <c r="B615" s="4" t="str">
        <f>"Обязательства по секьюритизируемым активам"</f>
        <v>Обязательства по секьюритизируемым активам</v>
      </c>
      <c r="C615" s="4" t="str">
        <f t="shared" ref="C615:C620" si="107">"1"</f>
        <v>1</v>
      </c>
      <c r="D615" s="6">
        <v>0</v>
      </c>
      <c r="E615" s="4" t="str">
        <f>"1"</f>
        <v>1</v>
      </c>
      <c r="F615" s="5">
        <v>3211626222.8499999</v>
      </c>
    </row>
    <row r="616" spans="1:6" x14ac:dyDescent="0.25">
      <c r="A616" s="4" t="str">
        <f>"2892"</f>
        <v>2892</v>
      </c>
      <c r="B616" s="4" t="str">
        <f>"Обязательства по операциям форвард"</f>
        <v>Обязательства по операциям форвард</v>
      </c>
      <c r="C616" s="4" t="str">
        <f t="shared" si="107"/>
        <v>1</v>
      </c>
      <c r="D616" s="4" t="str">
        <f>"5"</f>
        <v>5</v>
      </c>
      <c r="E616" s="4" t="str">
        <f>"1"</f>
        <v>1</v>
      </c>
      <c r="F616" s="5">
        <v>266692.39</v>
      </c>
    </row>
    <row r="617" spans="1:6" x14ac:dyDescent="0.25">
      <c r="A617" s="4" t="str">
        <f>"2894"</f>
        <v>2894</v>
      </c>
      <c r="B617" s="4" t="str">
        <f>"Обязательства по операциям спот"</f>
        <v>Обязательства по операциям спот</v>
      </c>
      <c r="C617" s="4" t="str">
        <f t="shared" si="107"/>
        <v>1</v>
      </c>
      <c r="D617" s="4" t="str">
        <f>"4"</f>
        <v>4</v>
      </c>
      <c r="E617" s="4" t="str">
        <f>"1"</f>
        <v>1</v>
      </c>
      <c r="F617" s="5">
        <v>4555300000</v>
      </c>
    </row>
    <row r="618" spans="1:6" x14ac:dyDescent="0.25">
      <c r="A618" s="4" t="str">
        <f>"2894"</f>
        <v>2894</v>
      </c>
      <c r="B618" s="4" t="str">
        <f>"Обязательства по операциям спот"</f>
        <v>Обязательства по операциям спот</v>
      </c>
      <c r="C618" s="4" t="str">
        <f t="shared" si="107"/>
        <v>1</v>
      </c>
      <c r="D618" s="4" t="str">
        <f>"4"</f>
        <v>4</v>
      </c>
      <c r="E618" s="4" t="str">
        <f>"2"</f>
        <v>2</v>
      </c>
      <c r="F618" s="5">
        <v>41762240000</v>
      </c>
    </row>
    <row r="619" spans="1:6" x14ac:dyDescent="0.25">
      <c r="A619" s="4" t="str">
        <f>"2894"</f>
        <v>2894</v>
      </c>
      <c r="B619" s="4" t="str">
        <f>"Обязательства по операциям спот"</f>
        <v>Обязательства по операциям спот</v>
      </c>
      <c r="C619" s="4" t="str">
        <f t="shared" si="107"/>
        <v>1</v>
      </c>
      <c r="D619" s="4" t="str">
        <f>"5"</f>
        <v>5</v>
      </c>
      <c r="E619" s="4" t="str">
        <f>"1"</f>
        <v>1</v>
      </c>
      <c r="F619" s="5">
        <v>3207156000</v>
      </c>
    </row>
    <row r="620" spans="1:6" x14ac:dyDescent="0.25">
      <c r="A620" s="4" t="str">
        <f>"2895"</f>
        <v>2895</v>
      </c>
      <c r="B620" s="4" t="str">
        <f>"Обязательства по операциям своп"</f>
        <v>Обязательства по операциям своп</v>
      </c>
      <c r="C620" s="4" t="str">
        <f t="shared" si="107"/>
        <v>1</v>
      </c>
      <c r="D620" s="4" t="str">
        <f>"5"</f>
        <v>5</v>
      </c>
      <c r="E620" s="4" t="str">
        <f>"1"</f>
        <v>1</v>
      </c>
      <c r="F620" s="5">
        <v>64485199.960000001</v>
      </c>
    </row>
    <row r="621" spans="1:6" x14ac:dyDescent="0.25">
      <c r="A621" s="4" t="str">
        <f>"2895"</f>
        <v>2895</v>
      </c>
      <c r="B621" s="4" t="str">
        <f>"Обязательства по операциям своп"</f>
        <v>Обязательства по операциям своп</v>
      </c>
      <c r="C621" s="4" t="str">
        <f>"2"</f>
        <v>2</v>
      </c>
      <c r="D621" s="4" t="str">
        <f>"4"</f>
        <v>4</v>
      </c>
      <c r="E621" s="4" t="str">
        <f>"1"</f>
        <v>1</v>
      </c>
      <c r="F621" s="5">
        <v>69609720.079999998</v>
      </c>
    </row>
    <row r="622" spans="1:6" x14ac:dyDescent="0.25">
      <c r="A622" s="4" t="str">
        <f>"3001"</f>
        <v>3001</v>
      </c>
      <c r="B622" s="4" t="str">
        <f>"Уставный капитал – простые акции"</f>
        <v>Уставный капитал – простые акции</v>
      </c>
      <c r="C622" s="6">
        <v>0</v>
      </c>
      <c r="D622" s="6">
        <v>0</v>
      </c>
      <c r="E622" s="6">
        <v>0</v>
      </c>
      <c r="F622" s="5">
        <v>61135196834.199997</v>
      </c>
    </row>
    <row r="623" spans="1:6" x14ac:dyDescent="0.25">
      <c r="A623" s="4" t="str">
        <f>"3101"</f>
        <v>3101</v>
      </c>
      <c r="B623" s="4" t="str">
        <f>"Дополнительный оплаченный капитал"</f>
        <v>Дополнительный оплаченный капитал</v>
      </c>
      <c r="C623" s="6">
        <v>0</v>
      </c>
      <c r="D623" s="6">
        <v>0</v>
      </c>
      <c r="E623" s="6">
        <v>0</v>
      </c>
      <c r="F623" s="5">
        <v>2025632000</v>
      </c>
    </row>
    <row r="624" spans="1:6" x14ac:dyDescent="0.25">
      <c r="A624" s="4" t="str">
        <f>"3510"</f>
        <v>3510</v>
      </c>
      <c r="B624" s="4" t="str">
        <f>"Резервный капитал"</f>
        <v>Резервный капитал</v>
      </c>
      <c r="C624" s="6">
        <v>0</v>
      </c>
      <c r="D624" s="6">
        <v>0</v>
      </c>
      <c r="E624" s="6">
        <v>0</v>
      </c>
      <c r="F624" s="5">
        <v>8616900749.1700001</v>
      </c>
    </row>
    <row r="625" spans="1:6" x14ac:dyDescent="0.25">
      <c r="A625" s="4" t="str">
        <f>"3561"</f>
        <v>3561</v>
      </c>
      <c r="B625" s="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25" s="4" t="str">
        <f>"1"</f>
        <v>1</v>
      </c>
      <c r="D625" s="6">
        <v>0</v>
      </c>
      <c r="E625" s="4" t="str">
        <f>"1"</f>
        <v>1</v>
      </c>
      <c r="F625" s="5">
        <v>7033337394.54</v>
      </c>
    </row>
    <row r="626" spans="1:6" x14ac:dyDescent="0.25">
      <c r="A626" s="4" t="str">
        <f>"3561"</f>
        <v>3561</v>
      </c>
      <c r="B626" s="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26" s="4" t="str">
        <f>"1"</f>
        <v>1</v>
      </c>
      <c r="D626" s="6">
        <v>0</v>
      </c>
      <c r="E626" s="4" t="str">
        <f>"2"</f>
        <v>2</v>
      </c>
      <c r="F626" s="5">
        <v>-1604962322.0699999</v>
      </c>
    </row>
    <row r="627" spans="1:6" x14ac:dyDescent="0.25">
      <c r="A627" s="4" t="str">
        <f>"3561"</f>
        <v>3561</v>
      </c>
      <c r="B627" s="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27" s="4" t="str">
        <f>"2"</f>
        <v>2</v>
      </c>
      <c r="D627" s="6">
        <v>0</v>
      </c>
      <c r="E627" s="4" t="str">
        <f>"2"</f>
        <v>2</v>
      </c>
      <c r="F627" s="5">
        <v>-3634368396.8499999</v>
      </c>
    </row>
    <row r="628" spans="1:6" x14ac:dyDescent="0.25">
      <c r="A628" s="4" t="str">
        <f>"3562"</f>
        <v>3562</v>
      </c>
      <c r="B628" s="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28" s="4" t="str">
        <f>"1"</f>
        <v>1</v>
      </c>
      <c r="D628" s="6">
        <v>0</v>
      </c>
      <c r="E628" s="4" t="str">
        <f>"2"</f>
        <v>2</v>
      </c>
      <c r="F628" s="5">
        <v>32453329.379999999</v>
      </c>
    </row>
    <row r="629" spans="1:6" x14ac:dyDescent="0.25">
      <c r="A629" s="4" t="str">
        <f>"3562"</f>
        <v>3562</v>
      </c>
      <c r="B629" s="4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29" s="4" t="str">
        <f>"2"</f>
        <v>2</v>
      </c>
      <c r="D629" s="6">
        <v>0</v>
      </c>
      <c r="E629" s="4" t="str">
        <f>"2"</f>
        <v>2</v>
      </c>
      <c r="F629" s="5">
        <v>11835598388.969999</v>
      </c>
    </row>
    <row r="630" spans="1:6" x14ac:dyDescent="0.25">
      <c r="A630" s="4" t="str">
        <f>"3580"</f>
        <v>3580</v>
      </c>
      <c r="B630" s="4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C630" s="6">
        <v>0</v>
      </c>
      <c r="D630" s="6">
        <v>0</v>
      </c>
      <c r="E630" s="6">
        <v>0</v>
      </c>
      <c r="F630" s="5">
        <v>128795421194.94</v>
      </c>
    </row>
    <row r="631" spans="1:6" x14ac:dyDescent="0.25">
      <c r="A631" s="4" t="str">
        <f>"3599"</f>
        <v>3599</v>
      </c>
      <c r="B631" s="4" t="str">
        <f>"Нераспределенная чистая прибыль (непокрытый убыток)"</f>
        <v>Нераспределенная чистая прибыль (непокрытый убыток)</v>
      </c>
      <c r="C631" s="6">
        <v>0</v>
      </c>
      <c r="D631" s="6">
        <v>0</v>
      </c>
      <c r="E631" s="6">
        <v>0</v>
      </c>
      <c r="F631" s="5">
        <v>97035541026.339996</v>
      </c>
    </row>
    <row r="632" spans="1:6" x14ac:dyDescent="0.25">
      <c r="A632" s="4" t="str">
        <f>"4052"</f>
        <v>4052</v>
      </c>
      <c r="B632" s="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C632" s="6">
        <v>0</v>
      </c>
      <c r="D632" s="6">
        <v>0</v>
      </c>
      <c r="E632" s="6">
        <v>0</v>
      </c>
      <c r="F632" s="5">
        <v>4959731492.3599997</v>
      </c>
    </row>
    <row r="633" spans="1:6" x14ac:dyDescent="0.25">
      <c r="A633" s="4" t="str">
        <f>"4101"</f>
        <v>4101</v>
      </c>
      <c r="B633" s="4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C633" s="6">
        <v>0</v>
      </c>
      <c r="D633" s="6">
        <v>0</v>
      </c>
      <c r="E633" s="6">
        <v>0</v>
      </c>
      <c r="F633" s="5">
        <v>1229923611.1099999</v>
      </c>
    </row>
    <row r="634" spans="1:6" x14ac:dyDescent="0.25">
      <c r="A634" s="4" t="str">
        <f>"4103"</f>
        <v>4103</v>
      </c>
      <c r="B634" s="4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C634" s="6">
        <v>0</v>
      </c>
      <c r="D634" s="6">
        <v>0</v>
      </c>
      <c r="E634" s="6">
        <v>0</v>
      </c>
      <c r="F634" s="5">
        <v>15016364177.25</v>
      </c>
    </row>
    <row r="635" spans="1:6" x14ac:dyDescent="0.25">
      <c r="A635" s="4" t="str">
        <f>"4251"</f>
        <v>4251</v>
      </c>
      <c r="B635" s="4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C635" s="6">
        <v>0</v>
      </c>
      <c r="D635" s="6">
        <v>0</v>
      </c>
      <c r="E635" s="6">
        <v>0</v>
      </c>
      <c r="F635" s="5">
        <v>884037152.38999999</v>
      </c>
    </row>
    <row r="636" spans="1:6" x14ac:dyDescent="0.25">
      <c r="A636" s="4" t="str">
        <f>"4253"</f>
        <v>4253</v>
      </c>
      <c r="B636" s="4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C636" s="6">
        <v>0</v>
      </c>
      <c r="D636" s="6">
        <v>0</v>
      </c>
      <c r="E636" s="6">
        <v>0</v>
      </c>
      <c r="F636" s="5">
        <v>68448634.709999993</v>
      </c>
    </row>
    <row r="637" spans="1:6" x14ac:dyDescent="0.25">
      <c r="A637" s="4" t="str">
        <f>"4254"</f>
        <v>4254</v>
      </c>
      <c r="B637" s="4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C637" s="6">
        <v>0</v>
      </c>
      <c r="D637" s="6">
        <v>0</v>
      </c>
      <c r="E637" s="6">
        <v>0</v>
      </c>
      <c r="F637" s="5">
        <v>461284720.52999997</v>
      </c>
    </row>
    <row r="638" spans="1:6" x14ac:dyDescent="0.25">
      <c r="A638" s="4" t="str">
        <f>"4267"</f>
        <v>4267</v>
      </c>
      <c r="B638" s="4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C638" s="6">
        <v>0</v>
      </c>
      <c r="D638" s="6">
        <v>0</v>
      </c>
      <c r="E638" s="6">
        <v>0</v>
      </c>
      <c r="F638" s="5">
        <v>417221601.72000003</v>
      </c>
    </row>
    <row r="639" spans="1:6" x14ac:dyDescent="0.25">
      <c r="A639" s="4" t="str">
        <f>"4302"</f>
        <v>4302</v>
      </c>
      <c r="B639" s="4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C639" s="6">
        <v>0</v>
      </c>
      <c r="D639" s="6">
        <v>0</v>
      </c>
      <c r="E639" s="6">
        <v>0</v>
      </c>
      <c r="F639" s="5">
        <v>31283821.379999999</v>
      </c>
    </row>
    <row r="640" spans="1:6" x14ac:dyDescent="0.25">
      <c r="A640" s="4" t="str">
        <f>"4304"</f>
        <v>4304</v>
      </c>
      <c r="B640" s="4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C640" s="6">
        <v>0</v>
      </c>
      <c r="D640" s="6">
        <v>0</v>
      </c>
      <c r="E640" s="6">
        <v>0</v>
      </c>
      <c r="F640" s="5">
        <v>17258171.039999999</v>
      </c>
    </row>
    <row r="641" spans="1:6" x14ac:dyDescent="0.25">
      <c r="A641" s="4" t="str">
        <f>"4403"</f>
        <v>4403</v>
      </c>
      <c r="B641" s="4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C641" s="6">
        <v>0</v>
      </c>
      <c r="D641" s="6">
        <v>0</v>
      </c>
      <c r="E641" s="6">
        <v>0</v>
      </c>
      <c r="F641" s="5">
        <v>480449549.95999998</v>
      </c>
    </row>
    <row r="642" spans="1:6" x14ac:dyDescent="0.25">
      <c r="A642" s="4" t="str">
        <f>"4411"</f>
        <v>4411</v>
      </c>
      <c r="B642" s="4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C642" s="6">
        <v>0</v>
      </c>
      <c r="D642" s="6">
        <v>0</v>
      </c>
      <c r="E642" s="6">
        <v>0</v>
      </c>
      <c r="F642" s="5">
        <v>2378366516.1300001</v>
      </c>
    </row>
    <row r="643" spans="1:6" x14ac:dyDescent="0.25">
      <c r="A643" s="4" t="str">
        <f>"4417"</f>
        <v>4417</v>
      </c>
      <c r="B643" s="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C643" s="6">
        <v>0</v>
      </c>
      <c r="D643" s="6">
        <v>0</v>
      </c>
      <c r="E643" s="6">
        <v>0</v>
      </c>
      <c r="F643" s="5">
        <v>246876858115.19</v>
      </c>
    </row>
    <row r="644" spans="1:6" x14ac:dyDescent="0.25">
      <c r="A644" s="4" t="str">
        <f>"4424"</f>
        <v>4424</v>
      </c>
      <c r="B644" s="4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C644" s="6">
        <v>0</v>
      </c>
      <c r="D644" s="6">
        <v>0</v>
      </c>
      <c r="E644" s="6">
        <v>0</v>
      </c>
      <c r="F644" s="5">
        <v>1325145480.2</v>
      </c>
    </row>
    <row r="645" spans="1:6" x14ac:dyDescent="0.25">
      <c r="A645" s="4" t="str">
        <f>"4429"</f>
        <v>4429</v>
      </c>
      <c r="B645" s="4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C645" s="6">
        <v>0</v>
      </c>
      <c r="D645" s="6">
        <v>0</v>
      </c>
      <c r="E645" s="6">
        <v>0</v>
      </c>
      <c r="F645" s="5">
        <v>7274035749.3800001</v>
      </c>
    </row>
    <row r="646" spans="1:6" x14ac:dyDescent="0.25">
      <c r="A646" s="4" t="str">
        <f>"4434"</f>
        <v>4434</v>
      </c>
      <c r="B646" s="4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C646" s="6">
        <v>0</v>
      </c>
      <c r="D646" s="6">
        <v>0</v>
      </c>
      <c r="E646" s="6">
        <v>0</v>
      </c>
      <c r="F646" s="5">
        <v>30577657720.869999</v>
      </c>
    </row>
    <row r="647" spans="1:6" x14ac:dyDescent="0.25">
      <c r="A647" s="4" t="str">
        <f>"4436"</f>
        <v>4436</v>
      </c>
      <c r="B647" s="4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C647" s="6">
        <v>0</v>
      </c>
      <c r="D647" s="6">
        <v>0</v>
      </c>
      <c r="E647" s="6">
        <v>0</v>
      </c>
      <c r="F647" s="5">
        <v>17887732</v>
      </c>
    </row>
    <row r="648" spans="1:6" x14ac:dyDescent="0.25">
      <c r="A648" s="4" t="str">
        <f>"4452"</f>
        <v>4452</v>
      </c>
      <c r="B648" s="4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C648" s="6">
        <v>0</v>
      </c>
      <c r="D648" s="6">
        <v>0</v>
      </c>
      <c r="E648" s="6">
        <v>0</v>
      </c>
      <c r="F648" s="5">
        <v>25455404522.470001</v>
      </c>
    </row>
    <row r="649" spans="1:6" x14ac:dyDescent="0.25">
      <c r="A649" s="4" t="str">
        <f>"4453"</f>
        <v>4453</v>
      </c>
      <c r="B649" s="4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C649" s="6">
        <v>0</v>
      </c>
      <c r="D649" s="6">
        <v>0</v>
      </c>
      <c r="E649" s="6">
        <v>0</v>
      </c>
      <c r="F649" s="5">
        <v>6456144852.4899998</v>
      </c>
    </row>
    <row r="650" spans="1:6" x14ac:dyDescent="0.25">
      <c r="A650" s="4" t="str">
        <f>"4454"</f>
        <v>4454</v>
      </c>
      <c r="B650" s="4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C650" s="6">
        <v>0</v>
      </c>
      <c r="D650" s="6">
        <v>0</v>
      </c>
      <c r="E650" s="6">
        <v>0</v>
      </c>
      <c r="F650" s="5">
        <v>23336987.609999999</v>
      </c>
    </row>
    <row r="651" spans="1:6" x14ac:dyDescent="0.25">
      <c r="A651" s="4" t="str">
        <f>"4465"</f>
        <v>4465</v>
      </c>
      <c r="B651" s="4" t="str">
        <f>"Доходы по операциям «РЕПО» с ценными бумагами"</f>
        <v>Доходы по операциям «РЕПО» с ценными бумагами</v>
      </c>
      <c r="C651" s="6">
        <v>0</v>
      </c>
      <c r="D651" s="6">
        <v>0</v>
      </c>
      <c r="E651" s="6">
        <v>0</v>
      </c>
      <c r="F651" s="5">
        <v>115146688.23999999</v>
      </c>
    </row>
    <row r="652" spans="1:6" x14ac:dyDescent="0.25">
      <c r="A652" s="4" t="str">
        <f>"4481"</f>
        <v>4481</v>
      </c>
      <c r="B652" s="4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C652" s="6">
        <v>0</v>
      </c>
      <c r="D652" s="6">
        <v>0</v>
      </c>
      <c r="E652" s="6">
        <v>0</v>
      </c>
      <c r="F652" s="5">
        <v>10418899415.15</v>
      </c>
    </row>
    <row r="653" spans="1:6" x14ac:dyDescent="0.25">
      <c r="A653" s="4" t="str">
        <f>"4482"</f>
        <v>4482</v>
      </c>
      <c r="B653" s="4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C653" s="6">
        <v>0</v>
      </c>
      <c r="D653" s="6">
        <v>0</v>
      </c>
      <c r="E653" s="6">
        <v>0</v>
      </c>
      <c r="F653" s="5">
        <v>2008058824.46</v>
      </c>
    </row>
    <row r="654" spans="1:6" x14ac:dyDescent="0.25">
      <c r="A654" s="4" t="str">
        <f>"4491"</f>
        <v>4491</v>
      </c>
      <c r="B654" s="4" t="str">
        <f>"Доходы, связанные с получением вознаграждения по прочим финансовым активам, учитываемым по амортизированной стоимости"</f>
        <v>Доходы, связанные с получением вознаграждения по прочим финансовым активам, учитываемым по амортизированной стоимости</v>
      </c>
      <c r="C654" s="6">
        <v>0</v>
      </c>
      <c r="D654" s="6">
        <v>0</v>
      </c>
      <c r="E654" s="6">
        <v>0</v>
      </c>
      <c r="F654" s="5">
        <v>3185789.09</v>
      </c>
    </row>
    <row r="655" spans="1:6" x14ac:dyDescent="0.25">
      <c r="A655" s="4" t="str">
        <f>"4510"</f>
        <v>4510</v>
      </c>
      <c r="B655" s="4" t="str">
        <f>"Доходы по купле-продаже ценных бумаг"</f>
        <v>Доходы по купле-продаже ценных бумаг</v>
      </c>
      <c r="C655" s="6">
        <v>0</v>
      </c>
      <c r="D655" s="6">
        <v>0</v>
      </c>
      <c r="E655" s="6">
        <v>0</v>
      </c>
      <c r="F655" s="5">
        <v>189630366.11000001</v>
      </c>
    </row>
    <row r="656" spans="1:6" x14ac:dyDescent="0.25">
      <c r="A656" s="4" t="str">
        <f>"4530"</f>
        <v>4530</v>
      </c>
      <c r="B656" s="4" t="str">
        <f>"Доходы по купле-продаже иностранной валюты"</f>
        <v>Доходы по купле-продаже иностранной валюты</v>
      </c>
      <c r="C656" s="6">
        <v>0</v>
      </c>
      <c r="D656" s="6">
        <v>0</v>
      </c>
      <c r="E656" s="6">
        <v>0</v>
      </c>
      <c r="F656" s="5">
        <v>126182183775.31</v>
      </c>
    </row>
    <row r="657" spans="1:6" x14ac:dyDescent="0.25">
      <c r="A657" s="4" t="str">
        <f>"4540"</f>
        <v>4540</v>
      </c>
      <c r="B657" s="4" t="str">
        <f>"Доходы от продажи аффинированных драгоценных металлов"</f>
        <v>Доходы от продажи аффинированных драгоценных металлов</v>
      </c>
      <c r="C657" s="6">
        <v>0</v>
      </c>
      <c r="D657" s="6">
        <v>0</v>
      </c>
      <c r="E657" s="6">
        <v>0</v>
      </c>
      <c r="F657" s="5">
        <v>11411001.48</v>
      </c>
    </row>
    <row r="658" spans="1:6" x14ac:dyDescent="0.25">
      <c r="A658" s="4" t="str">
        <f>"4570"</f>
        <v>4570</v>
      </c>
      <c r="B658" s="4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C658" s="6">
        <v>0</v>
      </c>
      <c r="D658" s="6">
        <v>0</v>
      </c>
      <c r="E658" s="6">
        <v>0</v>
      </c>
      <c r="F658" s="5">
        <v>1909171.2</v>
      </c>
    </row>
    <row r="659" spans="1:6" x14ac:dyDescent="0.25">
      <c r="A659" s="4" t="str">
        <f>"4593"</f>
        <v>4593</v>
      </c>
      <c r="B659" s="4" t="str">
        <f>"Доходы от переоценки операций своп"</f>
        <v>Доходы от переоценки операций своп</v>
      </c>
      <c r="C659" s="6">
        <v>0</v>
      </c>
      <c r="D659" s="6">
        <v>0</v>
      </c>
      <c r="E659" s="6">
        <v>0</v>
      </c>
      <c r="F659" s="5">
        <v>991992550</v>
      </c>
    </row>
    <row r="660" spans="1:6" x14ac:dyDescent="0.25">
      <c r="A660" s="4" t="str">
        <f>"4601"</f>
        <v>4601</v>
      </c>
      <c r="B660" s="4" t="str">
        <f>"Комиссионные доходы за услуги по переводным операциям"</f>
        <v>Комиссионные доходы за услуги по переводным операциям</v>
      </c>
      <c r="C660" s="6">
        <v>0</v>
      </c>
      <c r="D660" s="6">
        <v>0</v>
      </c>
      <c r="E660" s="6">
        <v>0</v>
      </c>
      <c r="F660" s="5">
        <v>5585811138.1300001</v>
      </c>
    </row>
    <row r="661" spans="1:6" x14ac:dyDescent="0.25">
      <c r="A661" s="4" t="str">
        <f>"4602"</f>
        <v>4602</v>
      </c>
      <c r="B661" s="4" t="str">
        <f>"Комиссионные доходы за агентские услуги"</f>
        <v>Комиссионные доходы за агентские услуги</v>
      </c>
      <c r="C661" s="6">
        <v>0</v>
      </c>
      <c r="D661" s="6">
        <v>0</v>
      </c>
      <c r="E661" s="6">
        <v>0</v>
      </c>
      <c r="F661" s="5">
        <v>24627167707.599998</v>
      </c>
    </row>
    <row r="662" spans="1:6" x14ac:dyDescent="0.25">
      <c r="A662" s="4" t="str">
        <f>"4605"</f>
        <v>4605</v>
      </c>
      <c r="B662" s="4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C662" s="6">
        <v>0</v>
      </c>
      <c r="D662" s="6">
        <v>0</v>
      </c>
      <c r="E662" s="6">
        <v>0</v>
      </c>
      <c r="F662" s="5">
        <v>125822555.8</v>
      </c>
    </row>
    <row r="663" spans="1:6" x14ac:dyDescent="0.25">
      <c r="A663" s="4" t="str">
        <f>"4606"</f>
        <v>4606</v>
      </c>
      <c r="B663" s="4" t="str">
        <f>"Комиссионные доходы за услуги по операциям с гарантиями"</f>
        <v>Комиссионные доходы за услуги по операциям с гарантиями</v>
      </c>
      <c r="C663" s="6">
        <v>0</v>
      </c>
      <c r="D663" s="6">
        <v>0</v>
      </c>
      <c r="E663" s="6">
        <v>0</v>
      </c>
      <c r="F663" s="5">
        <v>989947790.86000001</v>
      </c>
    </row>
    <row r="664" spans="1:6" x14ac:dyDescent="0.25">
      <c r="A664" s="4" t="str">
        <f>"4607"</f>
        <v>4607</v>
      </c>
      <c r="B664" s="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C664" s="6">
        <v>0</v>
      </c>
      <c r="D664" s="6">
        <v>0</v>
      </c>
      <c r="E664" s="6">
        <v>0</v>
      </c>
      <c r="F664" s="5">
        <v>743268978.39999998</v>
      </c>
    </row>
    <row r="665" spans="1:6" x14ac:dyDescent="0.25">
      <c r="A665" s="4" t="str">
        <f>"4608"</f>
        <v>4608</v>
      </c>
      <c r="B665" s="4" t="str">
        <f>"Прочие комиссионные доходы"</f>
        <v>Прочие комиссионные доходы</v>
      </c>
      <c r="C665" s="6">
        <v>0</v>
      </c>
      <c r="D665" s="6">
        <v>0</v>
      </c>
      <c r="E665" s="6">
        <v>0</v>
      </c>
      <c r="F665" s="5">
        <v>10090580325.700001</v>
      </c>
    </row>
    <row r="666" spans="1:6" x14ac:dyDescent="0.25">
      <c r="A666" s="4" t="str">
        <f>"4609"</f>
        <v>4609</v>
      </c>
      <c r="B666" s="4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C666" s="6">
        <v>0</v>
      </c>
      <c r="D666" s="6">
        <v>0</v>
      </c>
      <c r="E666" s="6">
        <v>0</v>
      </c>
      <c r="F666" s="5">
        <v>240039763.02000001</v>
      </c>
    </row>
    <row r="667" spans="1:6" x14ac:dyDescent="0.25">
      <c r="A667" s="4" t="str">
        <f>"4611"</f>
        <v>4611</v>
      </c>
      <c r="B667" s="4" t="str">
        <f>"Комиссионные доходы за услуги по кассовым операциям"</f>
        <v>Комиссионные доходы за услуги по кассовым операциям</v>
      </c>
      <c r="C667" s="6">
        <v>0</v>
      </c>
      <c r="D667" s="6">
        <v>0</v>
      </c>
      <c r="E667" s="6">
        <v>0</v>
      </c>
      <c r="F667" s="5">
        <v>2279273961.1900001</v>
      </c>
    </row>
    <row r="668" spans="1:6" x14ac:dyDescent="0.25">
      <c r="A668" s="4" t="str">
        <f>"4612"</f>
        <v>4612</v>
      </c>
      <c r="B668" s="4" t="str">
        <f>"Комиссионные доходы по документарным расчетам"</f>
        <v>Комиссионные доходы по документарным расчетам</v>
      </c>
      <c r="C668" s="6">
        <v>0</v>
      </c>
      <c r="D668" s="6">
        <v>0</v>
      </c>
      <c r="E668" s="6">
        <v>0</v>
      </c>
      <c r="F668" s="5">
        <v>74968946.959999993</v>
      </c>
    </row>
    <row r="669" spans="1:6" x14ac:dyDescent="0.25">
      <c r="A669" s="4" t="str">
        <f>"4615"</f>
        <v>4615</v>
      </c>
      <c r="B669" s="4" t="str">
        <f>"Комиссионные доходы за услуги по инкассации"</f>
        <v>Комиссионные доходы за услуги по инкассации</v>
      </c>
      <c r="C669" s="6">
        <v>0</v>
      </c>
      <c r="D669" s="6">
        <v>0</v>
      </c>
      <c r="E669" s="6">
        <v>0</v>
      </c>
      <c r="F669" s="5">
        <v>27899518.98</v>
      </c>
    </row>
    <row r="670" spans="1:6" x14ac:dyDescent="0.25">
      <c r="A670" s="4" t="str">
        <f>"4617"</f>
        <v>4617</v>
      </c>
      <c r="B670" s="4" t="str">
        <f>"Комиссионные доходы за услуги по сейфовым операциям"</f>
        <v>Комиссионные доходы за услуги по сейфовым операциям</v>
      </c>
      <c r="C670" s="6">
        <v>0</v>
      </c>
      <c r="D670" s="6">
        <v>0</v>
      </c>
      <c r="E670" s="6">
        <v>0</v>
      </c>
      <c r="F670" s="5">
        <v>110136716.93000001</v>
      </c>
    </row>
    <row r="671" spans="1:6" x14ac:dyDescent="0.25">
      <c r="A671" s="4" t="str">
        <f>"4619"</f>
        <v>4619</v>
      </c>
      <c r="B671" s="4" t="str">
        <f>"Комиссионные доходы за обслуживание платежных карточек"</f>
        <v>Комиссионные доходы за обслуживание платежных карточек</v>
      </c>
      <c r="C671" s="6">
        <v>0</v>
      </c>
      <c r="D671" s="6">
        <v>0</v>
      </c>
      <c r="E671" s="6">
        <v>0</v>
      </c>
      <c r="F671" s="5">
        <v>7467039.25</v>
      </c>
    </row>
    <row r="672" spans="1:6" x14ac:dyDescent="0.25">
      <c r="A672" s="4" t="str">
        <f>"4703"</f>
        <v>4703</v>
      </c>
      <c r="B672" s="4" t="str">
        <f>"Доход от переоценки иностранной валюты"</f>
        <v>Доход от переоценки иностранной валюты</v>
      </c>
      <c r="C672" s="6">
        <v>0</v>
      </c>
      <c r="D672" s="6">
        <v>0</v>
      </c>
      <c r="E672" s="6">
        <v>0</v>
      </c>
      <c r="F672" s="5">
        <v>326624984435.34003</v>
      </c>
    </row>
    <row r="673" spans="1:6" x14ac:dyDescent="0.25">
      <c r="A673" s="4" t="str">
        <f>"4704"</f>
        <v>4704</v>
      </c>
      <c r="B673" s="4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C673" s="6">
        <v>0</v>
      </c>
      <c r="D673" s="6">
        <v>0</v>
      </c>
      <c r="E673" s="6">
        <v>0</v>
      </c>
      <c r="F673" s="5">
        <v>228357010.09999999</v>
      </c>
    </row>
    <row r="674" spans="1:6" x14ac:dyDescent="0.25">
      <c r="A674" s="4" t="str">
        <f>"4709"</f>
        <v>4709</v>
      </c>
      <c r="B674" s="4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C674" s="6">
        <v>0</v>
      </c>
      <c r="D674" s="6">
        <v>0</v>
      </c>
      <c r="E674" s="6">
        <v>0</v>
      </c>
      <c r="F674" s="5">
        <v>2899792.09</v>
      </c>
    </row>
    <row r="675" spans="1:6" x14ac:dyDescent="0.25">
      <c r="A675" s="4" t="str">
        <f>"4733"</f>
        <v>4733</v>
      </c>
      <c r="B675" s="4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C675" s="6">
        <v>0</v>
      </c>
      <c r="D675" s="6">
        <v>0</v>
      </c>
      <c r="E675" s="6">
        <v>0</v>
      </c>
      <c r="F675" s="5">
        <v>8392721707.6999998</v>
      </c>
    </row>
    <row r="676" spans="1:6" x14ac:dyDescent="0.25">
      <c r="A676" s="4" t="str">
        <f>"4852"</f>
        <v>4852</v>
      </c>
      <c r="B676" s="4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C676" s="6">
        <v>0</v>
      </c>
      <c r="D676" s="6">
        <v>0</v>
      </c>
      <c r="E676" s="6">
        <v>0</v>
      </c>
      <c r="F676" s="5">
        <v>10151785.710000001</v>
      </c>
    </row>
    <row r="677" spans="1:6" x14ac:dyDescent="0.25">
      <c r="A677" s="4" t="str">
        <f>"4853"</f>
        <v>4853</v>
      </c>
      <c r="B677" s="4" t="str">
        <f>"Доходы от реализации запасов"</f>
        <v>Доходы от реализации запасов</v>
      </c>
      <c r="C677" s="6">
        <v>0</v>
      </c>
      <c r="D677" s="6">
        <v>0</v>
      </c>
      <c r="E677" s="6">
        <v>0</v>
      </c>
      <c r="F677" s="5">
        <v>559035.76</v>
      </c>
    </row>
    <row r="678" spans="1:6" x14ac:dyDescent="0.25">
      <c r="A678" s="4" t="str">
        <f>"4854"</f>
        <v>4854</v>
      </c>
      <c r="B678" s="4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C678" s="6">
        <v>0</v>
      </c>
      <c r="D678" s="6">
        <v>0</v>
      </c>
      <c r="E678" s="6">
        <v>0</v>
      </c>
      <c r="F678" s="5">
        <v>426100650</v>
      </c>
    </row>
    <row r="679" spans="1:6" x14ac:dyDescent="0.25">
      <c r="A679" s="4" t="str">
        <f>"4892"</f>
        <v>4892</v>
      </c>
      <c r="B679" s="4" t="str">
        <f>"Доходы по операциям форвард"</f>
        <v>Доходы по операциям форвард</v>
      </c>
      <c r="C679" s="6">
        <v>0</v>
      </c>
      <c r="D679" s="6">
        <v>0</v>
      </c>
      <c r="E679" s="6">
        <v>0</v>
      </c>
      <c r="F679" s="5">
        <v>3580553334.6999998</v>
      </c>
    </row>
    <row r="680" spans="1:6" x14ac:dyDescent="0.25">
      <c r="A680" s="4" t="str">
        <f>"4895"</f>
        <v>4895</v>
      </c>
      <c r="B680" s="4" t="str">
        <f>"Доходы по операциям своп"</f>
        <v>Доходы по операциям своп</v>
      </c>
      <c r="C680" s="6">
        <v>0</v>
      </c>
      <c r="D680" s="6">
        <v>0</v>
      </c>
      <c r="E680" s="6">
        <v>0</v>
      </c>
      <c r="F680" s="5">
        <v>42610827051.059998</v>
      </c>
    </row>
    <row r="681" spans="1:6" x14ac:dyDescent="0.25">
      <c r="A681" s="4" t="str">
        <f>"4900"</f>
        <v>4900</v>
      </c>
      <c r="B681" s="4" t="str">
        <f>"Неустойка (штраф, пеня)"</f>
        <v>Неустойка (штраф, пеня)</v>
      </c>
      <c r="C681" s="6">
        <v>0</v>
      </c>
      <c r="D681" s="6">
        <v>0</v>
      </c>
      <c r="E681" s="6">
        <v>0</v>
      </c>
      <c r="F681" s="5">
        <v>2305747599.3899999</v>
      </c>
    </row>
    <row r="682" spans="1:6" x14ac:dyDescent="0.25">
      <c r="A682" s="4" t="str">
        <f>"4921"</f>
        <v>4921</v>
      </c>
      <c r="B682" s="4" t="str">
        <f>"Прочие доходы от банковской деятельности"</f>
        <v>Прочие доходы от банковской деятельности</v>
      </c>
      <c r="C682" s="6">
        <v>0</v>
      </c>
      <c r="D682" s="6">
        <v>0</v>
      </c>
      <c r="E682" s="6">
        <v>0</v>
      </c>
      <c r="F682" s="5">
        <v>433590437.37</v>
      </c>
    </row>
    <row r="683" spans="1:6" x14ac:dyDescent="0.25">
      <c r="A683" s="4" t="str">
        <f>"4922"</f>
        <v>4922</v>
      </c>
      <c r="B683" s="4" t="str">
        <f>"Прочие доходы от неосновной деятельности"</f>
        <v>Прочие доходы от неосновной деятельности</v>
      </c>
      <c r="C683" s="6">
        <v>0</v>
      </c>
      <c r="D683" s="6">
        <v>0</v>
      </c>
      <c r="E683" s="6">
        <v>0</v>
      </c>
      <c r="F683" s="5">
        <v>118164813.68000001</v>
      </c>
    </row>
    <row r="684" spans="1:6" x14ac:dyDescent="0.25">
      <c r="A684" s="4" t="str">
        <f>"4951"</f>
        <v>4951</v>
      </c>
      <c r="B684" s="4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C684" s="6">
        <v>0</v>
      </c>
      <c r="D684" s="6">
        <v>0</v>
      </c>
      <c r="E684" s="6">
        <v>0</v>
      </c>
      <c r="F684" s="5">
        <v>26185987.239999998</v>
      </c>
    </row>
    <row r="685" spans="1:6" x14ac:dyDescent="0.25">
      <c r="A685" s="4" t="str">
        <f>"4952"</f>
        <v>4952</v>
      </c>
      <c r="B685" s="4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C685" s="6">
        <v>0</v>
      </c>
      <c r="D685" s="6">
        <v>0</v>
      </c>
      <c r="E685" s="6">
        <v>0</v>
      </c>
      <c r="F685" s="5">
        <v>85597669.349999994</v>
      </c>
    </row>
    <row r="686" spans="1:6" x14ac:dyDescent="0.25">
      <c r="A686" s="4" t="str">
        <f>"4953"</f>
        <v>4953</v>
      </c>
      <c r="B686" s="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C686" s="6">
        <v>0</v>
      </c>
      <c r="D686" s="6">
        <v>0</v>
      </c>
      <c r="E686" s="6">
        <v>0</v>
      </c>
      <c r="F686" s="5">
        <v>5926252798.04</v>
      </c>
    </row>
    <row r="687" spans="1:6" x14ac:dyDescent="0.25">
      <c r="A687" s="4" t="str">
        <f>"4954"</f>
        <v>4954</v>
      </c>
      <c r="B687" s="4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C687" s="6">
        <v>0</v>
      </c>
      <c r="D687" s="6">
        <v>0</v>
      </c>
      <c r="E687" s="6">
        <v>0</v>
      </c>
      <c r="F687" s="5">
        <v>11119415077.540001</v>
      </c>
    </row>
    <row r="688" spans="1:6" x14ac:dyDescent="0.25">
      <c r="A688" s="4" t="str">
        <f>"4955"</f>
        <v>4955</v>
      </c>
      <c r="B688" s="4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C688" s="6">
        <v>0</v>
      </c>
      <c r="D688" s="6">
        <v>0</v>
      </c>
      <c r="E688" s="6">
        <v>0</v>
      </c>
      <c r="F688" s="5">
        <v>278199369091.94</v>
      </c>
    </row>
    <row r="689" spans="1:6" x14ac:dyDescent="0.25">
      <c r="A689" s="4" t="str">
        <f>"4956"</f>
        <v>4956</v>
      </c>
      <c r="B689" s="4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C689" s="6">
        <v>0</v>
      </c>
      <c r="D689" s="6">
        <v>0</v>
      </c>
      <c r="E689" s="6">
        <v>0</v>
      </c>
      <c r="F689" s="5">
        <v>606968577.46000004</v>
      </c>
    </row>
    <row r="690" spans="1:6" x14ac:dyDescent="0.25">
      <c r="A690" s="4" t="str">
        <f>"4957"</f>
        <v>4957</v>
      </c>
      <c r="B690" s="4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C690" s="6">
        <v>0</v>
      </c>
      <c r="D690" s="6">
        <v>0</v>
      </c>
      <c r="E690" s="6">
        <v>0</v>
      </c>
      <c r="F690" s="5">
        <v>337776712.41000003</v>
      </c>
    </row>
    <row r="691" spans="1:6" x14ac:dyDescent="0.25">
      <c r="A691" s="4" t="str">
        <f>"4958"</f>
        <v>4958</v>
      </c>
      <c r="B691" s="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C691" s="6">
        <v>0</v>
      </c>
      <c r="D691" s="6">
        <v>0</v>
      </c>
      <c r="E691" s="6">
        <v>0</v>
      </c>
      <c r="F691" s="5">
        <v>2757452284.0300002</v>
      </c>
    </row>
    <row r="692" spans="1:6" x14ac:dyDescent="0.25">
      <c r="A692" s="4" t="str">
        <f>"4959"</f>
        <v>4959</v>
      </c>
      <c r="B692" s="4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C692" s="6">
        <v>0</v>
      </c>
      <c r="D692" s="6">
        <v>0</v>
      </c>
      <c r="E692" s="6">
        <v>0</v>
      </c>
      <c r="F692" s="5">
        <v>1052458.73</v>
      </c>
    </row>
    <row r="693" spans="1:6" x14ac:dyDescent="0.25">
      <c r="A693" s="4" t="str">
        <f>"5036"</f>
        <v>5036</v>
      </c>
      <c r="B693" s="4" t="s">
        <v>8</v>
      </c>
      <c r="C693" s="6">
        <v>0</v>
      </c>
      <c r="D693" s="6">
        <v>0</v>
      </c>
      <c r="E693" s="6">
        <v>0</v>
      </c>
      <c r="F693" s="5">
        <v>11736006.039999999</v>
      </c>
    </row>
    <row r="694" spans="1:6" x14ac:dyDescent="0.25">
      <c r="A694" s="4" t="str">
        <f>"5056"</f>
        <v>5056</v>
      </c>
      <c r="B694" s="4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C694" s="6">
        <v>0</v>
      </c>
      <c r="D694" s="6">
        <v>0</v>
      </c>
      <c r="E694" s="6">
        <v>0</v>
      </c>
      <c r="F694" s="5">
        <v>251192371.5</v>
      </c>
    </row>
    <row r="695" spans="1:6" x14ac:dyDescent="0.25">
      <c r="A695" s="4" t="str">
        <f>"5066"</f>
        <v>5066</v>
      </c>
      <c r="B695" s="4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C695" s="6">
        <v>0</v>
      </c>
      <c r="D695" s="6">
        <v>0</v>
      </c>
      <c r="E695" s="6">
        <v>0</v>
      </c>
      <c r="F695" s="5">
        <v>671087281.69000006</v>
      </c>
    </row>
    <row r="696" spans="1:6" x14ac:dyDescent="0.25">
      <c r="A696" s="4" t="str">
        <f>"5126"</f>
        <v>5126</v>
      </c>
      <c r="B696" s="4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C696" s="6">
        <v>0</v>
      </c>
      <c r="D696" s="6">
        <v>0</v>
      </c>
      <c r="E696" s="6">
        <v>0</v>
      </c>
      <c r="F696" s="5">
        <v>201274762.41</v>
      </c>
    </row>
    <row r="697" spans="1:6" x14ac:dyDescent="0.25">
      <c r="A697" s="4" t="str">
        <f>"5211"</f>
        <v>5211</v>
      </c>
      <c r="B697" s="4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C697" s="6">
        <v>0</v>
      </c>
      <c r="D697" s="6">
        <v>0</v>
      </c>
      <c r="E697" s="6">
        <v>0</v>
      </c>
      <c r="F697" s="5">
        <v>2366410578.3000002</v>
      </c>
    </row>
    <row r="698" spans="1:6" x14ac:dyDescent="0.25">
      <c r="A698" s="4" t="str">
        <f>"5215"</f>
        <v>5215</v>
      </c>
      <c r="B698" s="4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C698" s="6">
        <v>0</v>
      </c>
      <c r="D698" s="6">
        <v>0</v>
      </c>
      <c r="E698" s="6">
        <v>0</v>
      </c>
      <c r="F698" s="5">
        <v>37191300999.580002</v>
      </c>
    </row>
    <row r="699" spans="1:6" x14ac:dyDescent="0.25">
      <c r="A699" s="4" t="str">
        <f>"5217"</f>
        <v>5217</v>
      </c>
      <c r="B699" s="4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C699" s="6">
        <v>0</v>
      </c>
      <c r="D699" s="6">
        <v>0</v>
      </c>
      <c r="E699" s="6">
        <v>0</v>
      </c>
      <c r="F699" s="5">
        <v>51825319223.260002</v>
      </c>
    </row>
    <row r="700" spans="1:6" x14ac:dyDescent="0.25">
      <c r="A700" s="4" t="str">
        <f>"5218"</f>
        <v>5218</v>
      </c>
      <c r="B700" s="4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C700" s="6">
        <v>0</v>
      </c>
      <c r="D700" s="6">
        <v>0</v>
      </c>
      <c r="E700" s="6">
        <v>0</v>
      </c>
      <c r="F700" s="5">
        <v>21041195136.709999</v>
      </c>
    </row>
    <row r="701" spans="1:6" x14ac:dyDescent="0.25">
      <c r="A701" s="4" t="str">
        <f>"5219"</f>
        <v>5219</v>
      </c>
      <c r="B701" s="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C701" s="6">
        <v>0</v>
      </c>
      <c r="D701" s="6">
        <v>0</v>
      </c>
      <c r="E701" s="6">
        <v>0</v>
      </c>
      <c r="F701" s="5">
        <v>362613.72</v>
      </c>
    </row>
    <row r="702" spans="1:6" x14ac:dyDescent="0.25">
      <c r="A702" s="4" t="str">
        <f>"5220"</f>
        <v>5220</v>
      </c>
      <c r="B702" s="4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C702" s="6">
        <v>0</v>
      </c>
      <c r="D702" s="6">
        <v>0</v>
      </c>
      <c r="E702" s="6">
        <v>0</v>
      </c>
      <c r="F702" s="5">
        <v>777271747.34000003</v>
      </c>
    </row>
    <row r="703" spans="1:6" x14ac:dyDescent="0.25">
      <c r="A703" s="4" t="str">
        <f>"5223"</f>
        <v>5223</v>
      </c>
      <c r="B703" s="4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C703" s="6">
        <v>0</v>
      </c>
      <c r="D703" s="6">
        <v>0</v>
      </c>
      <c r="E703" s="6">
        <v>0</v>
      </c>
      <c r="F703" s="5">
        <v>3281106940.3600001</v>
      </c>
    </row>
    <row r="704" spans="1:6" x14ac:dyDescent="0.25">
      <c r="A704" s="4" t="str">
        <f>"5227"</f>
        <v>5227</v>
      </c>
      <c r="B704" s="4" t="str">
        <f>"Процентные расходы по обязательствам по аренде"</f>
        <v>Процентные расходы по обязательствам по аренде</v>
      </c>
      <c r="C704" s="6">
        <v>0</v>
      </c>
      <c r="D704" s="6">
        <v>0</v>
      </c>
      <c r="E704" s="6">
        <v>0</v>
      </c>
      <c r="F704" s="5">
        <v>376471847.41000003</v>
      </c>
    </row>
    <row r="705" spans="1:6" x14ac:dyDescent="0.25">
      <c r="A705" s="4" t="str">
        <f>"5232"</f>
        <v>5232</v>
      </c>
      <c r="B705" s="4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C705" s="6">
        <v>0</v>
      </c>
      <c r="D705" s="6">
        <v>0</v>
      </c>
      <c r="E705" s="6">
        <v>0</v>
      </c>
      <c r="F705" s="5">
        <v>8449218.5099999998</v>
      </c>
    </row>
    <row r="706" spans="1:6" x14ac:dyDescent="0.25">
      <c r="A706" s="4" t="str">
        <f>"5240"</f>
        <v>5240</v>
      </c>
      <c r="B706" s="4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C706" s="6">
        <v>0</v>
      </c>
      <c r="D706" s="6">
        <v>0</v>
      </c>
      <c r="E706" s="6">
        <v>0</v>
      </c>
      <c r="F706" s="5">
        <v>4600452987.4099998</v>
      </c>
    </row>
    <row r="707" spans="1:6" x14ac:dyDescent="0.25">
      <c r="A707" s="4" t="str">
        <f>"5241"</f>
        <v>5241</v>
      </c>
      <c r="B707" s="4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C707" s="6">
        <v>0</v>
      </c>
      <c r="D707" s="6">
        <v>0</v>
      </c>
      <c r="E707" s="6">
        <v>0</v>
      </c>
      <c r="F707" s="5">
        <v>756856586.87</v>
      </c>
    </row>
    <row r="708" spans="1:6" x14ac:dyDescent="0.25">
      <c r="A708" s="4" t="str">
        <f>"5250"</f>
        <v>5250</v>
      </c>
      <c r="B708" s="4" t="s">
        <v>6</v>
      </c>
      <c r="C708" s="6">
        <v>0</v>
      </c>
      <c r="D708" s="6">
        <v>0</v>
      </c>
      <c r="E708" s="6">
        <v>0</v>
      </c>
      <c r="F708" s="5">
        <v>18611459215.939999</v>
      </c>
    </row>
    <row r="709" spans="1:6" x14ac:dyDescent="0.25">
      <c r="A709" s="4" t="str">
        <f>"5301"</f>
        <v>5301</v>
      </c>
      <c r="B709" s="4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C709" s="6">
        <v>0</v>
      </c>
      <c r="D709" s="6">
        <v>0</v>
      </c>
      <c r="E709" s="6">
        <v>0</v>
      </c>
      <c r="F709" s="5">
        <v>1575979540.3900001</v>
      </c>
    </row>
    <row r="710" spans="1:6" x14ac:dyDescent="0.25">
      <c r="A710" s="4" t="str">
        <f>"5306"</f>
        <v>5306</v>
      </c>
      <c r="B710" s="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C710" s="6">
        <v>0</v>
      </c>
      <c r="D710" s="6">
        <v>0</v>
      </c>
      <c r="E710" s="6">
        <v>0</v>
      </c>
      <c r="F710" s="5">
        <v>847769586.48000002</v>
      </c>
    </row>
    <row r="711" spans="1:6" x14ac:dyDescent="0.25">
      <c r="A711" s="4" t="str">
        <f>"5307"</f>
        <v>5307</v>
      </c>
      <c r="B711" s="4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C711" s="6">
        <v>0</v>
      </c>
      <c r="D711" s="6">
        <v>0</v>
      </c>
      <c r="E711" s="6">
        <v>0</v>
      </c>
      <c r="F711" s="5">
        <v>97948634.140000001</v>
      </c>
    </row>
    <row r="712" spans="1:6" x14ac:dyDescent="0.25">
      <c r="A712" s="4" t="str">
        <f>"5308"</f>
        <v>5308</v>
      </c>
      <c r="B712" s="4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C712" s="6">
        <v>0</v>
      </c>
      <c r="D712" s="6">
        <v>0</v>
      </c>
      <c r="E712" s="6">
        <v>0</v>
      </c>
      <c r="F712" s="5">
        <v>1558989917.54</v>
      </c>
    </row>
    <row r="713" spans="1:6" x14ac:dyDescent="0.25">
      <c r="A713" s="4" t="str">
        <f>"5309"</f>
        <v>5309</v>
      </c>
      <c r="B713" s="4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C713" s="6">
        <v>0</v>
      </c>
      <c r="D713" s="6">
        <v>0</v>
      </c>
      <c r="E713" s="6">
        <v>0</v>
      </c>
      <c r="F713" s="5">
        <v>302394550.68000001</v>
      </c>
    </row>
    <row r="714" spans="1:6" x14ac:dyDescent="0.25">
      <c r="A714" s="4" t="str">
        <f>"5404"</f>
        <v>5404</v>
      </c>
      <c r="B714" s="4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C714" s="6">
        <v>0</v>
      </c>
      <c r="D714" s="6">
        <v>0</v>
      </c>
      <c r="E714" s="6">
        <v>0</v>
      </c>
      <c r="F714" s="5">
        <v>4873367700.1199999</v>
      </c>
    </row>
    <row r="715" spans="1:6" x14ac:dyDescent="0.25">
      <c r="A715" s="4" t="str">
        <f>"5406"</f>
        <v>5406</v>
      </c>
      <c r="B715" s="4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C715" s="6">
        <v>0</v>
      </c>
      <c r="D715" s="6">
        <v>0</v>
      </c>
      <c r="E715" s="6">
        <v>0</v>
      </c>
      <c r="F715" s="5">
        <v>7781568470.8299999</v>
      </c>
    </row>
    <row r="716" spans="1:6" x14ac:dyDescent="0.25">
      <c r="A716" s="4" t="str">
        <f>"5451"</f>
        <v>5451</v>
      </c>
      <c r="B716" s="4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C716" s="6">
        <v>0</v>
      </c>
      <c r="D716" s="6">
        <v>0</v>
      </c>
      <c r="E716" s="6">
        <v>0</v>
      </c>
      <c r="F716" s="5">
        <v>61514863.229999997</v>
      </c>
    </row>
    <row r="717" spans="1:6" x14ac:dyDescent="0.25">
      <c r="A717" s="4" t="str">
        <f>"5452"</f>
        <v>5452</v>
      </c>
      <c r="B717" s="4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C717" s="6">
        <v>0</v>
      </c>
      <c r="D717" s="6">
        <v>0</v>
      </c>
      <c r="E717" s="6">
        <v>0</v>
      </c>
      <c r="F717" s="5">
        <v>91891087.120000005</v>
      </c>
    </row>
    <row r="718" spans="1:6" x14ac:dyDescent="0.25">
      <c r="A718" s="4" t="str">
        <f>"5453"</f>
        <v>5453</v>
      </c>
      <c r="B718" s="4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C718" s="6">
        <v>0</v>
      </c>
      <c r="D718" s="6">
        <v>0</v>
      </c>
      <c r="E718" s="6">
        <v>0</v>
      </c>
      <c r="F718" s="5">
        <v>7849001643.5699997</v>
      </c>
    </row>
    <row r="719" spans="1:6" x14ac:dyDescent="0.25">
      <c r="A719" s="4" t="str">
        <f>"5455"</f>
        <v>5455</v>
      </c>
      <c r="B719" s="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C719" s="6">
        <v>0</v>
      </c>
      <c r="D719" s="6">
        <v>0</v>
      </c>
      <c r="E719" s="6">
        <v>0</v>
      </c>
      <c r="F719" s="5">
        <v>341445854551.12</v>
      </c>
    </row>
    <row r="720" spans="1:6" x14ac:dyDescent="0.25">
      <c r="A720" s="4" t="str">
        <f>"5456"</f>
        <v>5456</v>
      </c>
      <c r="B720" s="4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C720" s="6">
        <v>0</v>
      </c>
      <c r="D720" s="6">
        <v>0</v>
      </c>
      <c r="E720" s="6">
        <v>0</v>
      </c>
      <c r="F720" s="5">
        <v>266603673.40000001</v>
      </c>
    </row>
    <row r="721" spans="1:6" x14ac:dyDescent="0.25">
      <c r="A721" s="4" t="str">
        <f>"5457"</f>
        <v>5457</v>
      </c>
      <c r="B721" s="4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C721" s="6">
        <v>0</v>
      </c>
      <c r="D721" s="6">
        <v>0</v>
      </c>
      <c r="E721" s="6">
        <v>0</v>
      </c>
      <c r="F721" s="5">
        <v>511406000.91000003</v>
      </c>
    </row>
    <row r="722" spans="1:6" x14ac:dyDescent="0.25">
      <c r="A722" s="4" t="str">
        <f>"5459"</f>
        <v>5459</v>
      </c>
      <c r="B722" s="4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C722" s="6">
        <v>0</v>
      </c>
      <c r="D722" s="6">
        <v>0</v>
      </c>
      <c r="E722" s="6">
        <v>0</v>
      </c>
      <c r="F722" s="5">
        <v>7472503367.8699999</v>
      </c>
    </row>
    <row r="723" spans="1:6" x14ac:dyDescent="0.25">
      <c r="A723" s="4" t="str">
        <f>"5464"</f>
        <v>5464</v>
      </c>
      <c r="B723" s="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C723" s="6">
        <v>0</v>
      </c>
      <c r="D723" s="6">
        <v>0</v>
      </c>
      <c r="E723" s="6">
        <v>0</v>
      </c>
      <c r="F723" s="5">
        <v>22674204011.529999</v>
      </c>
    </row>
    <row r="724" spans="1:6" x14ac:dyDescent="0.25">
      <c r="A724" s="4" t="str">
        <f>"5465"</f>
        <v>5465</v>
      </c>
      <c r="B724" s="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C724" s="6">
        <v>0</v>
      </c>
      <c r="D724" s="6">
        <v>0</v>
      </c>
      <c r="E724" s="6">
        <v>0</v>
      </c>
      <c r="F724" s="5">
        <v>4850230435.5100002</v>
      </c>
    </row>
    <row r="725" spans="1:6" x14ac:dyDescent="0.25">
      <c r="A725" s="4" t="str">
        <f>"5510"</f>
        <v>5510</v>
      </c>
      <c r="B725" s="4" t="str">
        <f>"Расходы по купле-продаже ценных бумаг"</f>
        <v>Расходы по купле-продаже ценных бумаг</v>
      </c>
      <c r="C725" s="6">
        <v>0</v>
      </c>
      <c r="D725" s="6">
        <v>0</v>
      </c>
      <c r="E725" s="6">
        <v>0</v>
      </c>
      <c r="F725" s="5">
        <v>5580847539.0699997</v>
      </c>
    </row>
    <row r="726" spans="1:6" x14ac:dyDescent="0.25">
      <c r="A726" s="4" t="str">
        <f>"5530"</f>
        <v>5530</v>
      </c>
      <c r="B726" s="4" t="str">
        <f>"Расходы по купле-продаже иностранной валюты"</f>
        <v>Расходы по купле-продаже иностранной валюты</v>
      </c>
      <c r="C726" s="6">
        <v>0</v>
      </c>
      <c r="D726" s="6">
        <v>0</v>
      </c>
      <c r="E726" s="6">
        <v>0</v>
      </c>
      <c r="F726" s="5">
        <v>76710402667.070007</v>
      </c>
    </row>
    <row r="727" spans="1:6" x14ac:dyDescent="0.25">
      <c r="A727" s="4" t="str">
        <f>"5540"</f>
        <v>5540</v>
      </c>
      <c r="B727" s="4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C727" s="6">
        <v>0</v>
      </c>
      <c r="D727" s="6">
        <v>0</v>
      </c>
      <c r="E727" s="6">
        <v>0</v>
      </c>
      <c r="F727" s="5">
        <v>141835.76999999999</v>
      </c>
    </row>
    <row r="728" spans="1:6" x14ac:dyDescent="0.25">
      <c r="A728" s="4" t="str">
        <f>"5570"</f>
        <v>5570</v>
      </c>
      <c r="B728" s="4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C728" s="6">
        <v>0</v>
      </c>
      <c r="D728" s="6">
        <v>0</v>
      </c>
      <c r="E728" s="6">
        <v>0</v>
      </c>
      <c r="F728" s="5">
        <v>2175863.59</v>
      </c>
    </row>
    <row r="729" spans="1:6" x14ac:dyDescent="0.25">
      <c r="A729" s="4" t="str">
        <f>"5593"</f>
        <v>5593</v>
      </c>
      <c r="B729" s="4" t="str">
        <f>"Расходы от переоценки операций своп"</f>
        <v>Расходы от переоценки операций своп</v>
      </c>
      <c r="C729" s="6">
        <v>0</v>
      </c>
      <c r="D729" s="6">
        <v>0</v>
      </c>
      <c r="E729" s="6">
        <v>0</v>
      </c>
      <c r="F729" s="5">
        <v>822292420.01999998</v>
      </c>
    </row>
    <row r="730" spans="1:6" x14ac:dyDescent="0.25">
      <c r="A730" s="4" t="str">
        <f>"5601"</f>
        <v>5601</v>
      </c>
      <c r="B730" s="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C730" s="6">
        <v>0</v>
      </c>
      <c r="D730" s="6">
        <v>0</v>
      </c>
      <c r="E730" s="6">
        <v>0</v>
      </c>
      <c r="F730" s="5">
        <v>1036687919.84</v>
      </c>
    </row>
    <row r="731" spans="1:6" x14ac:dyDescent="0.25">
      <c r="A731" s="4" t="str">
        <f>"5602"</f>
        <v>5602</v>
      </c>
      <c r="B731" s="4" t="str">
        <f>"Комиссионные расходы по полученным агентским услугам"</f>
        <v>Комиссионные расходы по полученным агентским услугам</v>
      </c>
      <c r="C731" s="6">
        <v>0</v>
      </c>
      <c r="D731" s="6">
        <v>0</v>
      </c>
      <c r="E731" s="6">
        <v>0</v>
      </c>
      <c r="F731" s="5">
        <v>5623390248.6400003</v>
      </c>
    </row>
    <row r="732" spans="1:6" x14ac:dyDescent="0.25">
      <c r="A732" s="4" t="str">
        <f>"5603"</f>
        <v>5603</v>
      </c>
      <c r="B732" s="4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C732" s="6">
        <v>0</v>
      </c>
      <c r="D732" s="6">
        <v>0</v>
      </c>
      <c r="E732" s="6">
        <v>0</v>
      </c>
      <c r="F732" s="5">
        <v>42244403.990000002</v>
      </c>
    </row>
    <row r="733" spans="1:6" x14ac:dyDescent="0.25">
      <c r="A733" s="4" t="str">
        <f>"5604"</f>
        <v>5604</v>
      </c>
      <c r="B733" s="4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C733" s="6">
        <v>0</v>
      </c>
      <c r="D733" s="6">
        <v>0</v>
      </c>
      <c r="E733" s="6">
        <v>0</v>
      </c>
      <c r="F733" s="5">
        <v>35536105.369999997</v>
      </c>
    </row>
    <row r="734" spans="1:6" x14ac:dyDescent="0.25">
      <c r="A734" s="4" t="str">
        <f>"5607"</f>
        <v>5607</v>
      </c>
      <c r="B734" s="4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C734" s="6">
        <v>0</v>
      </c>
      <c r="D734" s="6">
        <v>0</v>
      </c>
      <c r="E734" s="6">
        <v>0</v>
      </c>
      <c r="F734" s="5">
        <v>272787659.81</v>
      </c>
    </row>
    <row r="735" spans="1:6" x14ac:dyDescent="0.25">
      <c r="A735" s="4" t="str">
        <f>"5608"</f>
        <v>5608</v>
      </c>
      <c r="B735" s="4" t="str">
        <f>"Прочие комиссионные расходы"</f>
        <v>Прочие комиссионные расходы</v>
      </c>
      <c r="C735" s="6">
        <v>0</v>
      </c>
      <c r="D735" s="6">
        <v>0</v>
      </c>
      <c r="E735" s="6">
        <v>0</v>
      </c>
      <c r="F735" s="5">
        <v>13871593597.049999</v>
      </c>
    </row>
    <row r="736" spans="1:6" x14ac:dyDescent="0.25">
      <c r="A736" s="4" t="str">
        <f>"5609"</f>
        <v>5609</v>
      </c>
      <c r="B736" s="4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C736" s="6">
        <v>0</v>
      </c>
      <c r="D736" s="6">
        <v>0</v>
      </c>
      <c r="E736" s="6">
        <v>0</v>
      </c>
      <c r="F736" s="5">
        <v>316375201.64999998</v>
      </c>
    </row>
    <row r="737" spans="1:6" x14ac:dyDescent="0.25">
      <c r="A737" s="4" t="str">
        <f>"5703"</f>
        <v>5703</v>
      </c>
      <c r="B737" s="4" t="str">
        <f>"Расходы от переоценки иностранной валюты"</f>
        <v>Расходы от переоценки иностранной валюты</v>
      </c>
      <c r="C737" s="6">
        <v>0</v>
      </c>
      <c r="D737" s="6">
        <v>0</v>
      </c>
      <c r="E737" s="6">
        <v>0</v>
      </c>
      <c r="F737" s="5">
        <v>330916291229.22998</v>
      </c>
    </row>
    <row r="738" spans="1:6" x14ac:dyDescent="0.25">
      <c r="A738" s="4" t="str">
        <f>"5704"</f>
        <v>5704</v>
      </c>
      <c r="B738" s="4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C738" s="6">
        <v>0</v>
      </c>
      <c r="D738" s="6">
        <v>0</v>
      </c>
      <c r="E738" s="6">
        <v>0</v>
      </c>
      <c r="F738" s="5">
        <v>208018859.50999999</v>
      </c>
    </row>
    <row r="739" spans="1:6" x14ac:dyDescent="0.25">
      <c r="A739" s="4" t="str">
        <f>"5709"</f>
        <v>5709</v>
      </c>
      <c r="B739" s="4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C739" s="6">
        <v>0</v>
      </c>
      <c r="D739" s="6">
        <v>0</v>
      </c>
      <c r="E739" s="6">
        <v>0</v>
      </c>
      <c r="F739" s="5">
        <v>3897859.16</v>
      </c>
    </row>
    <row r="740" spans="1:6" x14ac:dyDescent="0.25">
      <c r="A740" s="4" t="str">
        <f>"5711"</f>
        <v>5711</v>
      </c>
      <c r="B740" s="4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C740" s="6">
        <v>0</v>
      </c>
      <c r="D740" s="6">
        <v>0</v>
      </c>
      <c r="E740" s="6">
        <v>0</v>
      </c>
      <c r="F740" s="5">
        <v>87645000</v>
      </c>
    </row>
    <row r="741" spans="1:6" x14ac:dyDescent="0.25">
      <c r="A741" s="4" t="str">
        <f>"5721"</f>
        <v>5721</v>
      </c>
      <c r="B741" s="4" t="str">
        <f>"Расходы по оплате труда"</f>
        <v>Расходы по оплате труда</v>
      </c>
      <c r="C741" s="6">
        <v>0</v>
      </c>
      <c r="D741" s="6">
        <v>0</v>
      </c>
      <c r="E741" s="6">
        <v>0</v>
      </c>
      <c r="F741" s="5">
        <v>38710947427.07</v>
      </c>
    </row>
    <row r="742" spans="1:6" x14ac:dyDescent="0.25">
      <c r="A742" s="4" t="str">
        <f>"5722"</f>
        <v>5722</v>
      </c>
      <c r="B742" s="4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C742" s="6">
        <v>0</v>
      </c>
      <c r="D742" s="6">
        <v>0</v>
      </c>
      <c r="E742" s="6">
        <v>0</v>
      </c>
      <c r="F742" s="5">
        <v>1169101649</v>
      </c>
    </row>
    <row r="743" spans="1:6" x14ac:dyDescent="0.25">
      <c r="A743" s="4" t="str">
        <f>"5729"</f>
        <v>5729</v>
      </c>
      <c r="B743" s="4" t="str">
        <f>"Прочие выплаты"</f>
        <v>Прочие выплаты</v>
      </c>
      <c r="C743" s="6">
        <v>0</v>
      </c>
      <c r="D743" s="6">
        <v>0</v>
      </c>
      <c r="E743" s="6">
        <v>0</v>
      </c>
      <c r="F743" s="5">
        <v>1057521089.79</v>
      </c>
    </row>
    <row r="744" spans="1:6" x14ac:dyDescent="0.25">
      <c r="A744" s="4" t="str">
        <f>"5733"</f>
        <v>5733</v>
      </c>
      <c r="B744" s="4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C744" s="6">
        <v>0</v>
      </c>
      <c r="D744" s="6">
        <v>0</v>
      </c>
      <c r="E744" s="6">
        <v>0</v>
      </c>
      <c r="F744" s="5">
        <v>240699805.27000001</v>
      </c>
    </row>
    <row r="745" spans="1:6" x14ac:dyDescent="0.25">
      <c r="A745" s="4" t="str">
        <f>"5741"</f>
        <v>5741</v>
      </c>
      <c r="B745" s="4" t="str">
        <f>"Транспортные расходы"</f>
        <v>Транспортные расходы</v>
      </c>
      <c r="C745" s="6">
        <v>0</v>
      </c>
      <c r="D745" s="6">
        <v>0</v>
      </c>
      <c r="E745" s="6">
        <v>0</v>
      </c>
      <c r="F745" s="5">
        <v>76039198.700000003</v>
      </c>
    </row>
    <row r="746" spans="1:6" x14ac:dyDescent="0.25">
      <c r="A746" s="4" t="str">
        <f>"5742"</f>
        <v>5742</v>
      </c>
      <c r="B746" s="4" t="str">
        <f>"Административные расходы"</f>
        <v>Административные расходы</v>
      </c>
      <c r="C746" s="6">
        <v>0</v>
      </c>
      <c r="D746" s="6">
        <v>0</v>
      </c>
      <c r="E746" s="6">
        <v>0</v>
      </c>
      <c r="F746" s="5">
        <v>6903165434.4399996</v>
      </c>
    </row>
    <row r="747" spans="1:6" x14ac:dyDescent="0.25">
      <c r="A747" s="4" t="str">
        <f>"5743"</f>
        <v>5743</v>
      </c>
      <c r="B747" s="4" t="str">
        <f>"Расходы на инкассацию"</f>
        <v>Расходы на инкассацию</v>
      </c>
      <c r="C747" s="6">
        <v>0</v>
      </c>
      <c r="D747" s="6">
        <v>0</v>
      </c>
      <c r="E747" s="6">
        <v>0</v>
      </c>
      <c r="F747" s="5">
        <v>499341883.57999998</v>
      </c>
    </row>
    <row r="748" spans="1:6" x14ac:dyDescent="0.25">
      <c r="A748" s="4" t="str">
        <f>"5744"</f>
        <v>5744</v>
      </c>
      <c r="B748" s="4" t="str">
        <f>"Расходы на ремонт"</f>
        <v>Расходы на ремонт</v>
      </c>
      <c r="C748" s="6">
        <v>0</v>
      </c>
      <c r="D748" s="6">
        <v>0</v>
      </c>
      <c r="E748" s="6">
        <v>0</v>
      </c>
      <c r="F748" s="5">
        <v>967179975.16999996</v>
      </c>
    </row>
    <row r="749" spans="1:6" x14ac:dyDescent="0.25">
      <c r="A749" s="4" t="str">
        <f>"5745"</f>
        <v>5745</v>
      </c>
      <c r="B749" s="4" t="str">
        <f>"Расходы на рекламу"</f>
        <v>Расходы на рекламу</v>
      </c>
      <c r="C749" s="6">
        <v>0</v>
      </c>
      <c r="D749" s="6">
        <v>0</v>
      </c>
      <c r="E749" s="6">
        <v>0</v>
      </c>
      <c r="F749" s="5">
        <v>805887567.51999998</v>
      </c>
    </row>
    <row r="750" spans="1:6" x14ac:dyDescent="0.25">
      <c r="A750" s="4" t="str">
        <f>"5746"</f>
        <v>5746</v>
      </c>
      <c r="B750" s="4" t="str">
        <f>"Расходы на охрану и сигнализацию"</f>
        <v>Расходы на охрану и сигнализацию</v>
      </c>
      <c r="C750" s="6">
        <v>0</v>
      </c>
      <c r="D750" s="6">
        <v>0</v>
      </c>
      <c r="E750" s="6">
        <v>0</v>
      </c>
      <c r="F750" s="5">
        <v>1385579700.8299999</v>
      </c>
    </row>
    <row r="751" spans="1:6" x14ac:dyDescent="0.25">
      <c r="A751" s="4" t="str">
        <f>"5747"</f>
        <v>5747</v>
      </c>
      <c r="B751" s="4" t="str">
        <f>"Представительские расходы"</f>
        <v>Представительские расходы</v>
      </c>
      <c r="C751" s="6">
        <v>0</v>
      </c>
      <c r="D751" s="6">
        <v>0</v>
      </c>
      <c r="E751" s="6">
        <v>0</v>
      </c>
      <c r="F751" s="5">
        <v>1490347</v>
      </c>
    </row>
    <row r="752" spans="1:6" x14ac:dyDescent="0.25">
      <c r="A752" s="4" t="str">
        <f>"5748"</f>
        <v>5748</v>
      </c>
      <c r="B752" s="4" t="str">
        <f>"Прочие общехозяйственные расходы"</f>
        <v>Прочие общехозяйственные расходы</v>
      </c>
      <c r="C752" s="6">
        <v>0</v>
      </c>
      <c r="D752" s="6">
        <v>0</v>
      </c>
      <c r="E752" s="6">
        <v>0</v>
      </c>
      <c r="F752" s="5">
        <v>6988842.1900000004</v>
      </c>
    </row>
    <row r="753" spans="1:6" x14ac:dyDescent="0.25">
      <c r="A753" s="4" t="str">
        <f>"5749"</f>
        <v>5749</v>
      </c>
      <c r="B753" s="4" t="str">
        <f>"Расходы на служебные командировки"</f>
        <v>Расходы на служебные командировки</v>
      </c>
      <c r="C753" s="6">
        <v>0</v>
      </c>
      <c r="D753" s="6">
        <v>0</v>
      </c>
      <c r="E753" s="6">
        <v>0</v>
      </c>
      <c r="F753" s="5">
        <v>347146993.69999999</v>
      </c>
    </row>
    <row r="754" spans="1:6" x14ac:dyDescent="0.25">
      <c r="A754" s="4" t="str">
        <f>"5750"</f>
        <v>5750</v>
      </c>
      <c r="B754" s="4" t="str">
        <f>"Расходы по аудиту и консультационным услугам"</f>
        <v>Расходы по аудиту и консультационным услугам</v>
      </c>
      <c r="C754" s="6">
        <v>0</v>
      </c>
      <c r="D754" s="6">
        <v>0</v>
      </c>
      <c r="E754" s="6">
        <v>0</v>
      </c>
      <c r="F754" s="5">
        <v>217264188.69999999</v>
      </c>
    </row>
    <row r="755" spans="1:6" x14ac:dyDescent="0.25">
      <c r="A755" s="4" t="str">
        <f>"5752"</f>
        <v>5752</v>
      </c>
      <c r="B755" s="4" t="str">
        <f>"Расходы по страхованию"</f>
        <v>Расходы по страхованию</v>
      </c>
      <c r="C755" s="6">
        <v>0</v>
      </c>
      <c r="D755" s="6">
        <v>0</v>
      </c>
      <c r="E755" s="6">
        <v>0</v>
      </c>
      <c r="F755" s="5">
        <v>85045165.810000002</v>
      </c>
    </row>
    <row r="756" spans="1:6" x14ac:dyDescent="0.25">
      <c r="A756" s="4" t="str">
        <f>"5753"</f>
        <v>5753</v>
      </c>
      <c r="B756" s="4" t="str">
        <f>"Расходы по услугам связи"</f>
        <v>Расходы по услугам связи</v>
      </c>
      <c r="C756" s="6">
        <v>0</v>
      </c>
      <c r="D756" s="6">
        <v>0</v>
      </c>
      <c r="E756" s="6">
        <v>0</v>
      </c>
      <c r="F756" s="5">
        <v>1776134181.8099999</v>
      </c>
    </row>
    <row r="757" spans="1:6" x14ac:dyDescent="0.25">
      <c r="A757" s="4" t="str">
        <f>"5754"</f>
        <v>5754</v>
      </c>
      <c r="B757" s="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C757" s="6">
        <v>0</v>
      </c>
      <c r="D757" s="6">
        <v>0</v>
      </c>
      <c r="E757" s="6">
        <v>0</v>
      </c>
      <c r="F757" s="5">
        <v>2852587791.1799998</v>
      </c>
    </row>
    <row r="758" spans="1:6" x14ac:dyDescent="0.25">
      <c r="A758" s="4" t="str">
        <f>"5761"</f>
        <v>5761</v>
      </c>
      <c r="B758" s="4" t="str">
        <f>"Налог на добавленную стоимость"</f>
        <v>Налог на добавленную стоимость</v>
      </c>
      <c r="C758" s="6">
        <v>0</v>
      </c>
      <c r="D758" s="6">
        <v>0</v>
      </c>
      <c r="E758" s="6">
        <v>0</v>
      </c>
      <c r="F758" s="5">
        <v>2025800449.95</v>
      </c>
    </row>
    <row r="759" spans="1:6" x14ac:dyDescent="0.25">
      <c r="A759" s="4" t="str">
        <f>"5763"</f>
        <v>5763</v>
      </c>
      <c r="B759" s="4" t="str">
        <f>"Социальный налог"</f>
        <v>Социальный налог</v>
      </c>
      <c r="C759" s="6">
        <v>0</v>
      </c>
      <c r="D759" s="6">
        <v>0</v>
      </c>
      <c r="E759" s="6">
        <v>0</v>
      </c>
      <c r="F759" s="5">
        <v>2419561385.6300001</v>
      </c>
    </row>
    <row r="760" spans="1:6" x14ac:dyDescent="0.25">
      <c r="A760" s="4" t="str">
        <f>"5764"</f>
        <v>5764</v>
      </c>
      <c r="B760" s="4" t="str">
        <f>"Земельный налог"</f>
        <v>Земельный налог</v>
      </c>
      <c r="C760" s="6">
        <v>0</v>
      </c>
      <c r="D760" s="6">
        <v>0</v>
      </c>
      <c r="E760" s="6">
        <v>0</v>
      </c>
      <c r="F760" s="5">
        <v>2500899.4300000002</v>
      </c>
    </row>
    <row r="761" spans="1:6" x14ac:dyDescent="0.25">
      <c r="A761" s="4" t="str">
        <f>"5765"</f>
        <v>5765</v>
      </c>
      <c r="B761" s="4" t="str">
        <f>"Налог на имущество юридических лиц"</f>
        <v>Налог на имущество юридических лиц</v>
      </c>
      <c r="C761" s="6">
        <v>0</v>
      </c>
      <c r="D761" s="6">
        <v>0</v>
      </c>
      <c r="E761" s="6">
        <v>0</v>
      </c>
      <c r="F761" s="5">
        <v>174107406.16</v>
      </c>
    </row>
    <row r="762" spans="1:6" x14ac:dyDescent="0.25">
      <c r="A762" s="4" t="str">
        <f>"5766"</f>
        <v>5766</v>
      </c>
      <c r="B762" s="4" t="str">
        <f>"Налог на транспортные средства"</f>
        <v>Налог на транспортные средства</v>
      </c>
      <c r="C762" s="6">
        <v>0</v>
      </c>
      <c r="D762" s="6">
        <v>0</v>
      </c>
      <c r="E762" s="6">
        <v>0</v>
      </c>
      <c r="F762" s="5">
        <v>3114348.21</v>
      </c>
    </row>
    <row r="763" spans="1:6" x14ac:dyDescent="0.25">
      <c r="A763" s="4" t="str">
        <f>"5768"</f>
        <v>5768</v>
      </c>
      <c r="B763" s="4" t="str">
        <f>"Прочие налоги и обязательные платежи в бюджет"</f>
        <v>Прочие налоги и обязательные платежи в бюджет</v>
      </c>
      <c r="C763" s="6">
        <v>0</v>
      </c>
      <c r="D763" s="6">
        <v>0</v>
      </c>
      <c r="E763" s="6">
        <v>0</v>
      </c>
      <c r="F763" s="5">
        <v>15543968.789999999</v>
      </c>
    </row>
    <row r="764" spans="1:6" x14ac:dyDescent="0.25">
      <c r="A764" s="4" t="str">
        <f>"5781"</f>
        <v>5781</v>
      </c>
      <c r="B764" s="4" t="str">
        <f>"Расходы по амортизации зданий и сооружений"</f>
        <v>Расходы по амортизации зданий и сооружений</v>
      </c>
      <c r="C764" s="6">
        <v>0</v>
      </c>
      <c r="D764" s="6">
        <v>0</v>
      </c>
      <c r="E764" s="6">
        <v>0</v>
      </c>
      <c r="F764" s="5">
        <v>148713372</v>
      </c>
    </row>
    <row r="765" spans="1:6" x14ac:dyDescent="0.25">
      <c r="A765" s="4" t="str">
        <f>"5782"</f>
        <v>5782</v>
      </c>
      <c r="B765" s="4" t="str">
        <f>"Расходы по амортизации компьютерного оборудования"</f>
        <v>Расходы по амортизации компьютерного оборудования</v>
      </c>
      <c r="C765" s="6">
        <v>0</v>
      </c>
      <c r="D765" s="6">
        <v>0</v>
      </c>
      <c r="E765" s="6">
        <v>0</v>
      </c>
      <c r="F765" s="5">
        <v>820692687</v>
      </c>
    </row>
    <row r="766" spans="1:6" x14ac:dyDescent="0.25">
      <c r="A766" s="4" t="str">
        <f>"5783"</f>
        <v>5783</v>
      </c>
      <c r="B766" s="4" t="str">
        <f>"Расходы по амортизации прочих основных средств"</f>
        <v>Расходы по амортизации прочих основных средств</v>
      </c>
      <c r="C766" s="6">
        <v>0</v>
      </c>
      <c r="D766" s="6">
        <v>0</v>
      </c>
      <c r="E766" s="6">
        <v>0</v>
      </c>
      <c r="F766" s="5">
        <v>749153225.78999996</v>
      </c>
    </row>
    <row r="767" spans="1:6" x14ac:dyDescent="0.25">
      <c r="A767" s="4" t="str">
        <f>"5784"</f>
        <v>5784</v>
      </c>
      <c r="B767" s="4" t="str">
        <f>"Расходы по амортизации активов в форме права пользования"</f>
        <v>Расходы по амортизации активов в форме права пользования</v>
      </c>
      <c r="C767" s="6">
        <v>0</v>
      </c>
      <c r="D767" s="6">
        <v>0</v>
      </c>
      <c r="E767" s="6">
        <v>0</v>
      </c>
      <c r="F767" s="5">
        <v>1411996939.6600001</v>
      </c>
    </row>
    <row r="768" spans="1:6" x14ac:dyDescent="0.25">
      <c r="A768" s="4" t="str">
        <f>"5786"</f>
        <v>5786</v>
      </c>
      <c r="B768" s="4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C768" s="6">
        <v>0</v>
      </c>
      <c r="D768" s="6">
        <v>0</v>
      </c>
      <c r="E768" s="6">
        <v>0</v>
      </c>
      <c r="F768" s="5">
        <v>97836</v>
      </c>
    </row>
    <row r="769" spans="1:6" x14ac:dyDescent="0.25">
      <c r="A769" s="4" t="str">
        <f>"5787"</f>
        <v>5787</v>
      </c>
      <c r="B769" s="4" t="str">
        <f>"Расходы по амортизации транспортных средств"</f>
        <v>Расходы по амортизации транспортных средств</v>
      </c>
      <c r="C769" s="6">
        <v>0</v>
      </c>
      <c r="D769" s="6">
        <v>0</v>
      </c>
      <c r="E769" s="6">
        <v>0</v>
      </c>
      <c r="F769" s="5">
        <v>84747718</v>
      </c>
    </row>
    <row r="770" spans="1:6" x14ac:dyDescent="0.25">
      <c r="A770" s="4" t="str">
        <f>"5788"</f>
        <v>5788</v>
      </c>
      <c r="B770" s="4" t="str">
        <f>"Расходы по амортизации нематериальных активов"</f>
        <v>Расходы по амортизации нематериальных активов</v>
      </c>
      <c r="C770" s="6">
        <v>0</v>
      </c>
      <c r="D770" s="6">
        <v>0</v>
      </c>
      <c r="E770" s="6">
        <v>0</v>
      </c>
      <c r="F770" s="5">
        <v>1458668767.6600001</v>
      </c>
    </row>
    <row r="771" spans="1:6" x14ac:dyDescent="0.25">
      <c r="A771" s="4" t="str">
        <f>"5853"</f>
        <v>5853</v>
      </c>
      <c r="B771" s="4" t="str">
        <f>"Расходы от безвозмездной передачи основных средств, нематериальных активов и запасов"</f>
        <v>Расходы от безвозмездной передачи основных средств, нематериальных активов и запасов</v>
      </c>
      <c r="C771" s="6">
        <v>0</v>
      </c>
      <c r="D771" s="6">
        <v>0</v>
      </c>
      <c r="E771" s="6">
        <v>0</v>
      </c>
      <c r="F771" s="5">
        <v>540960</v>
      </c>
    </row>
    <row r="772" spans="1:6" x14ac:dyDescent="0.25">
      <c r="A772" s="4" t="str">
        <f>"5854"</f>
        <v>5854</v>
      </c>
      <c r="B772" s="4" t="str">
        <f>"Расходы от реализации запасов"</f>
        <v>Расходы от реализации запасов</v>
      </c>
      <c r="C772" s="6">
        <v>0</v>
      </c>
      <c r="D772" s="6">
        <v>0</v>
      </c>
      <c r="E772" s="6">
        <v>0</v>
      </c>
      <c r="F772" s="5">
        <v>2019810.15</v>
      </c>
    </row>
    <row r="773" spans="1:6" x14ac:dyDescent="0.25">
      <c r="A773" s="4" t="str">
        <f>"5857"</f>
        <v>5857</v>
      </c>
      <c r="B773" s="4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C773" s="6">
        <v>0</v>
      </c>
      <c r="D773" s="6">
        <v>0</v>
      </c>
      <c r="E773" s="6">
        <v>0</v>
      </c>
      <c r="F773" s="5">
        <v>4809000</v>
      </c>
    </row>
    <row r="774" spans="1:6" x14ac:dyDescent="0.25">
      <c r="A774" s="4" t="str">
        <f>"5892"</f>
        <v>5892</v>
      </c>
      <c r="B774" s="4" t="str">
        <f>"Расходы по операциям форвард"</f>
        <v>Расходы по операциям форвард</v>
      </c>
      <c r="C774" s="6">
        <v>0</v>
      </c>
      <c r="D774" s="6">
        <v>0</v>
      </c>
      <c r="E774" s="6">
        <v>0</v>
      </c>
      <c r="F774" s="5">
        <v>841013862.25999999</v>
      </c>
    </row>
    <row r="775" spans="1:6" x14ac:dyDescent="0.25">
      <c r="A775" s="4" t="str">
        <f>"5895"</f>
        <v>5895</v>
      </c>
      <c r="B775" s="4" t="str">
        <f>"Расходы по операциям своп"</f>
        <v>Расходы по операциям своп</v>
      </c>
      <c r="C775" s="6">
        <v>0</v>
      </c>
      <c r="D775" s="6">
        <v>0</v>
      </c>
      <c r="E775" s="6">
        <v>0</v>
      </c>
      <c r="F775" s="5">
        <v>36115587613.07</v>
      </c>
    </row>
    <row r="776" spans="1:6" x14ac:dyDescent="0.25">
      <c r="A776" s="4" t="str">
        <f>"5900"</f>
        <v>5900</v>
      </c>
      <c r="B776" s="4" t="str">
        <f>"Неустойка (штраф, пеня)"</f>
        <v>Неустойка (штраф, пеня)</v>
      </c>
      <c r="C776" s="6">
        <v>0</v>
      </c>
      <c r="D776" s="6">
        <v>0</v>
      </c>
      <c r="E776" s="6">
        <v>0</v>
      </c>
      <c r="F776" s="5">
        <v>48508815.909999996</v>
      </c>
    </row>
    <row r="777" spans="1:6" x14ac:dyDescent="0.25">
      <c r="A777" s="4" t="str">
        <f>"5921"</f>
        <v>5921</v>
      </c>
      <c r="B777" s="4" t="str">
        <f>"Прочие расходы от банковской деятельности"</f>
        <v>Прочие расходы от банковской деятельности</v>
      </c>
      <c r="C777" s="6">
        <v>0</v>
      </c>
      <c r="D777" s="6">
        <v>0</v>
      </c>
      <c r="E777" s="6">
        <v>0</v>
      </c>
      <c r="F777" s="5">
        <v>5894292490.2299995</v>
      </c>
    </row>
    <row r="778" spans="1:6" x14ac:dyDescent="0.25">
      <c r="A778" s="4" t="str">
        <f>"5922"</f>
        <v>5922</v>
      </c>
      <c r="B778" s="4" t="str">
        <f>"Прочие расходы от неосновной деятельности"</f>
        <v>Прочие расходы от неосновной деятельности</v>
      </c>
      <c r="C778" s="6">
        <v>0</v>
      </c>
      <c r="D778" s="6">
        <v>0</v>
      </c>
      <c r="E778" s="6">
        <v>0</v>
      </c>
      <c r="F778" s="5">
        <v>121552080.36</v>
      </c>
    </row>
    <row r="779" spans="1:6" x14ac:dyDescent="0.25">
      <c r="A779" s="4" t="str">
        <f>"5923"</f>
        <v>5923</v>
      </c>
      <c r="B779" s="4" t="str">
        <f>"Расходы по аренде"</f>
        <v>Расходы по аренде</v>
      </c>
      <c r="C779" s="6">
        <v>0</v>
      </c>
      <c r="D779" s="6">
        <v>0</v>
      </c>
      <c r="E779" s="6">
        <v>0</v>
      </c>
      <c r="F779" s="5">
        <v>633283665.66999996</v>
      </c>
    </row>
    <row r="780" spans="1:6" x14ac:dyDescent="0.25">
      <c r="A780" s="4" t="str">
        <f>"5999"</f>
        <v>5999</v>
      </c>
      <c r="B780" s="4" t="str">
        <f>"Корпоративный подоходный налог"</f>
        <v>Корпоративный подоходный налог</v>
      </c>
      <c r="C780" s="6">
        <v>0</v>
      </c>
      <c r="D780" s="6">
        <v>0</v>
      </c>
      <c r="E780" s="6">
        <v>0</v>
      </c>
      <c r="F780" s="5">
        <v>25692897411</v>
      </c>
    </row>
    <row r="781" spans="1:6" x14ac:dyDescent="0.25">
      <c r="A781" s="4" t="str">
        <f>"6020"</f>
        <v>6020</v>
      </c>
      <c r="B781" s="4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C781" s="6">
        <v>0</v>
      </c>
      <c r="D781" s="6">
        <v>0</v>
      </c>
      <c r="E781" s="6">
        <v>0</v>
      </c>
      <c r="F781" s="5">
        <v>337571826.80000001</v>
      </c>
    </row>
    <row r="782" spans="1:6" x14ac:dyDescent="0.25">
      <c r="A782" s="4" t="str">
        <f>"6055"</f>
        <v>6055</v>
      </c>
      <c r="B782" s="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C782" s="6">
        <v>0</v>
      </c>
      <c r="D782" s="6">
        <v>0</v>
      </c>
      <c r="E782" s="6">
        <v>0</v>
      </c>
      <c r="F782" s="5">
        <v>44748402340.589996</v>
      </c>
    </row>
    <row r="783" spans="1:6" x14ac:dyDescent="0.25">
      <c r="A783" s="4" t="str">
        <f>"6075"</f>
        <v>6075</v>
      </c>
      <c r="B783" s="4" t="str">
        <f>"Возможные требования по принятым гарантиям"</f>
        <v>Возможные требования по принятым гарантиям</v>
      </c>
      <c r="C783" s="6">
        <v>0</v>
      </c>
      <c r="D783" s="6">
        <v>0</v>
      </c>
      <c r="E783" s="6">
        <v>0</v>
      </c>
      <c r="F783" s="5">
        <v>3298751805787.1001</v>
      </c>
    </row>
    <row r="784" spans="1:6" x14ac:dyDescent="0.25">
      <c r="A784" s="4" t="str">
        <f>"6125"</f>
        <v>6125</v>
      </c>
      <c r="B784" s="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C784" s="6">
        <v>0</v>
      </c>
      <c r="D784" s="6">
        <v>0</v>
      </c>
      <c r="E784" s="6">
        <v>0</v>
      </c>
      <c r="F784" s="5">
        <v>187818979.40000001</v>
      </c>
    </row>
    <row r="785" spans="1:6" x14ac:dyDescent="0.25">
      <c r="A785" s="4" t="str">
        <f>"6126"</f>
        <v>6126</v>
      </c>
      <c r="B785" s="4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C785" s="6">
        <v>0</v>
      </c>
      <c r="D785" s="6">
        <v>0</v>
      </c>
      <c r="E785" s="6">
        <v>0</v>
      </c>
      <c r="F785" s="5">
        <v>197104149561.39001</v>
      </c>
    </row>
    <row r="786" spans="1:6" x14ac:dyDescent="0.25">
      <c r="A786" s="4" t="str">
        <f>"6130"</f>
        <v>6130</v>
      </c>
      <c r="B786" s="4" t="str">
        <f>"Неподвижные вклады клиентов"</f>
        <v>Неподвижные вклады клиентов</v>
      </c>
      <c r="C786" s="6">
        <v>0</v>
      </c>
      <c r="D786" s="6">
        <v>0</v>
      </c>
      <c r="E786" s="6">
        <v>0</v>
      </c>
      <c r="F786" s="5">
        <v>41149681.840000004</v>
      </c>
    </row>
    <row r="787" spans="1:6" x14ac:dyDescent="0.25">
      <c r="A787" s="4" t="str">
        <f>"6155"</f>
        <v>6155</v>
      </c>
      <c r="B787" s="4" t="str">
        <f>"Условные требования по получению вкладов в будущем"</f>
        <v>Условные требования по получению вкладов в будущем</v>
      </c>
      <c r="C787" s="6">
        <v>0</v>
      </c>
      <c r="D787" s="6">
        <v>0</v>
      </c>
      <c r="E787" s="6">
        <v>0</v>
      </c>
      <c r="F787" s="5">
        <v>8147983670.75</v>
      </c>
    </row>
    <row r="788" spans="1:6" x14ac:dyDescent="0.25">
      <c r="A788" s="4" t="str">
        <f>"6175"</f>
        <v>6175</v>
      </c>
      <c r="B788" s="4" t="str">
        <f>"Условные требования по получению займов в будущем"</f>
        <v>Условные требования по получению займов в будущем</v>
      </c>
      <c r="C788" s="6">
        <v>0</v>
      </c>
      <c r="D788" s="6">
        <v>0</v>
      </c>
      <c r="E788" s="6">
        <v>0</v>
      </c>
      <c r="F788" s="5">
        <v>68209995</v>
      </c>
    </row>
    <row r="789" spans="1:6" x14ac:dyDescent="0.25">
      <c r="A789" s="4" t="str">
        <f>"6177"</f>
        <v>6177</v>
      </c>
      <c r="B789" s="4" t="str">
        <f>"Условные требования по предоставленным займам"</f>
        <v>Условные требования по предоставленным займам</v>
      </c>
      <c r="C789" s="6">
        <v>0</v>
      </c>
      <c r="D789" s="6">
        <v>0</v>
      </c>
      <c r="E789" s="6">
        <v>0</v>
      </c>
      <c r="F789" s="5">
        <v>2479050.02</v>
      </c>
    </row>
    <row r="790" spans="1:6" x14ac:dyDescent="0.25">
      <c r="A790" s="4" t="str">
        <f>"6405"</f>
        <v>6405</v>
      </c>
      <c r="B790" s="4" t="str">
        <f>"Условные требования по купле-продаже иностранной валюты"</f>
        <v>Условные требования по купле-продаже иностранной валюты</v>
      </c>
      <c r="C790" s="6">
        <v>0</v>
      </c>
      <c r="D790" s="6">
        <v>0</v>
      </c>
      <c r="E790" s="6">
        <v>0</v>
      </c>
      <c r="F790" s="5">
        <v>151817718691.20001</v>
      </c>
    </row>
    <row r="791" spans="1:6" x14ac:dyDescent="0.25">
      <c r="A791" s="4" t="str">
        <f>"6520"</f>
        <v>6520</v>
      </c>
      <c r="B791" s="4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C791" s="6">
        <v>0</v>
      </c>
      <c r="D791" s="6">
        <v>0</v>
      </c>
      <c r="E791" s="6">
        <v>0</v>
      </c>
      <c r="F791" s="5">
        <v>337571826.80000001</v>
      </c>
    </row>
    <row r="792" spans="1:6" x14ac:dyDescent="0.25">
      <c r="A792" s="4" t="str">
        <f>"6555"</f>
        <v>6555</v>
      </c>
      <c r="B792" s="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C792" s="6">
        <v>0</v>
      </c>
      <c r="D792" s="6">
        <v>0</v>
      </c>
      <c r="E792" s="6">
        <v>0</v>
      </c>
      <c r="F792" s="5">
        <v>44748402340.589996</v>
      </c>
    </row>
    <row r="793" spans="1:6" x14ac:dyDescent="0.25">
      <c r="A793" s="4" t="str">
        <f>"6575"</f>
        <v>6575</v>
      </c>
      <c r="B793" s="4" t="str">
        <f>"Возможное уменьшение требований по принятым гарантиям"</f>
        <v>Возможное уменьшение требований по принятым гарантиям</v>
      </c>
      <c r="C793" s="6">
        <v>0</v>
      </c>
      <c r="D793" s="6">
        <v>0</v>
      </c>
      <c r="E793" s="6">
        <v>0</v>
      </c>
      <c r="F793" s="5">
        <v>3298751805787.1001</v>
      </c>
    </row>
    <row r="794" spans="1:6" x14ac:dyDescent="0.25">
      <c r="A794" s="4" t="str">
        <f>"6625"</f>
        <v>6625</v>
      </c>
      <c r="B794" s="4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C794" s="6">
        <v>0</v>
      </c>
      <c r="D794" s="6">
        <v>0</v>
      </c>
      <c r="E794" s="6">
        <v>0</v>
      </c>
      <c r="F794" s="5">
        <v>187818979.40000001</v>
      </c>
    </row>
    <row r="795" spans="1:6" x14ac:dyDescent="0.25">
      <c r="A795" s="4" t="str">
        <f>"6626"</f>
        <v>6626</v>
      </c>
      <c r="B795" s="4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C795" s="6">
        <v>0</v>
      </c>
      <c r="D795" s="6">
        <v>0</v>
      </c>
      <c r="E795" s="6">
        <v>0</v>
      </c>
      <c r="F795" s="5">
        <v>197104149561.39001</v>
      </c>
    </row>
    <row r="796" spans="1:6" x14ac:dyDescent="0.25">
      <c r="A796" s="4" t="str">
        <f>"6630"</f>
        <v>6630</v>
      </c>
      <c r="B796" s="4" t="str">
        <f>"Обязательства по неподвижным вкладам клиентов"</f>
        <v>Обязательства по неподвижным вкладам клиентов</v>
      </c>
      <c r="C796" s="6">
        <v>0</v>
      </c>
      <c r="D796" s="6">
        <v>0</v>
      </c>
      <c r="E796" s="6">
        <v>0</v>
      </c>
      <c r="F796" s="5">
        <v>41149681.840000004</v>
      </c>
    </row>
    <row r="797" spans="1:6" x14ac:dyDescent="0.25">
      <c r="A797" s="4" t="str">
        <f>"6655"</f>
        <v>6655</v>
      </c>
      <c r="B797" s="4" t="str">
        <f>"Будущие обязательства по получаемым вкладам"</f>
        <v>Будущие обязательства по получаемым вкладам</v>
      </c>
      <c r="C797" s="6">
        <v>0</v>
      </c>
      <c r="D797" s="6">
        <v>0</v>
      </c>
      <c r="E797" s="6">
        <v>0</v>
      </c>
      <c r="F797" s="5">
        <v>8147983670.75</v>
      </c>
    </row>
    <row r="798" spans="1:6" x14ac:dyDescent="0.25">
      <c r="A798" s="4" t="str">
        <f>"6675"</f>
        <v>6675</v>
      </c>
      <c r="B798" s="4" t="str">
        <f>"Будущие обязательства по получаемым займам"</f>
        <v>Будущие обязательства по получаемым займам</v>
      </c>
      <c r="C798" s="6">
        <v>0</v>
      </c>
      <c r="D798" s="6">
        <v>0</v>
      </c>
      <c r="E798" s="6">
        <v>0</v>
      </c>
      <c r="F798" s="5">
        <v>68209995</v>
      </c>
    </row>
    <row r="799" spans="1:6" x14ac:dyDescent="0.25">
      <c r="A799" s="4" t="str">
        <f>"6677"</f>
        <v>6677</v>
      </c>
      <c r="B799" s="4" t="str">
        <f>"Условные обязательства по предоставленным займам"</f>
        <v>Условные обязательства по предоставленным займам</v>
      </c>
      <c r="C799" s="6">
        <v>0</v>
      </c>
      <c r="D799" s="6">
        <v>0</v>
      </c>
      <c r="E799" s="6">
        <v>0</v>
      </c>
      <c r="F799" s="5">
        <v>2479050.02</v>
      </c>
    </row>
    <row r="800" spans="1:6" x14ac:dyDescent="0.25">
      <c r="A800" s="4" t="str">
        <f>"6905"</f>
        <v>6905</v>
      </c>
      <c r="B800" s="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C800" s="6">
        <v>0</v>
      </c>
      <c r="D800" s="6">
        <v>0</v>
      </c>
      <c r="E800" s="6">
        <v>0</v>
      </c>
      <c r="F800" s="5">
        <v>151706902320.01001</v>
      </c>
    </row>
    <row r="801" spans="1:6" x14ac:dyDescent="0.25">
      <c r="A801" s="4" t="str">
        <f>"6999"</f>
        <v>6999</v>
      </c>
      <c r="B801" s="4" t="str">
        <f>"Позиция по сделкам с иностранной валютой"</f>
        <v>Позиция по сделкам с иностранной валютой</v>
      </c>
      <c r="C801" s="6">
        <v>0</v>
      </c>
      <c r="D801" s="6">
        <v>0</v>
      </c>
      <c r="E801" s="6">
        <v>0</v>
      </c>
      <c r="F801" s="5">
        <v>110816371.19</v>
      </c>
    </row>
    <row r="802" spans="1:6" x14ac:dyDescent="0.25">
      <c r="A802" s="4" t="str">
        <f>"7150"</f>
        <v>7150</v>
      </c>
      <c r="B802" s="4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C802" s="6">
        <v>0</v>
      </c>
      <c r="D802" s="6">
        <v>0</v>
      </c>
      <c r="E802" s="6">
        <v>0</v>
      </c>
      <c r="F802" s="5">
        <v>1268813.5</v>
      </c>
    </row>
    <row r="803" spans="1:6" x14ac:dyDescent="0.25">
      <c r="A803" s="4" t="str">
        <f>"7160"</f>
        <v>7160</v>
      </c>
      <c r="B803" s="4" t="str">
        <f>"Имущество, переданное в обеспечение (залог) обязательств"</f>
        <v>Имущество, переданное в обеспечение (залог) обязательств</v>
      </c>
      <c r="C803" s="6">
        <v>0</v>
      </c>
      <c r="D803" s="6">
        <v>0</v>
      </c>
      <c r="E803" s="6">
        <v>0</v>
      </c>
      <c r="F803" s="5">
        <v>14094570227.200001</v>
      </c>
    </row>
    <row r="804" spans="1:6" x14ac:dyDescent="0.25">
      <c r="A804" s="4" t="str">
        <f>"7220"</f>
        <v>7220</v>
      </c>
      <c r="B804" s="4" t="str">
        <f>"Арендованные активы"</f>
        <v>Арендованные активы</v>
      </c>
      <c r="C804" s="6">
        <v>0</v>
      </c>
      <c r="D804" s="6">
        <v>0</v>
      </c>
      <c r="E804" s="6">
        <v>0</v>
      </c>
      <c r="F804" s="5">
        <v>382471485.10000002</v>
      </c>
    </row>
    <row r="805" spans="1:6" x14ac:dyDescent="0.25">
      <c r="A805" s="4" t="str">
        <f>"7240"</f>
        <v>7240</v>
      </c>
      <c r="B805" s="4" t="str">
        <f>"Документы и ценности, принятые на инкассо"</f>
        <v>Документы и ценности, принятые на инкассо</v>
      </c>
      <c r="C805" s="6">
        <v>0</v>
      </c>
      <c r="D805" s="6">
        <v>0</v>
      </c>
      <c r="E805" s="6">
        <v>0</v>
      </c>
      <c r="F805" s="5">
        <v>33952347</v>
      </c>
    </row>
    <row r="806" spans="1:6" x14ac:dyDescent="0.25">
      <c r="A806" s="4" t="str">
        <f>"7250"</f>
        <v>7250</v>
      </c>
      <c r="B806" s="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C806" s="6">
        <v>0</v>
      </c>
      <c r="D806" s="6">
        <v>0</v>
      </c>
      <c r="E806" s="6">
        <v>0</v>
      </c>
      <c r="F806" s="5">
        <v>1210689447398.29</v>
      </c>
    </row>
    <row r="807" spans="1:6" x14ac:dyDescent="0.25">
      <c r="A807" s="4" t="str">
        <f>"7303"</f>
        <v>7303</v>
      </c>
      <c r="B807" s="4" t="str">
        <f>"Платежные документы, не оплаченные в срок"</f>
        <v>Платежные документы, не оплаченные в срок</v>
      </c>
      <c r="C807" s="6">
        <v>0</v>
      </c>
      <c r="D807" s="6">
        <v>0</v>
      </c>
      <c r="E807" s="6">
        <v>0</v>
      </c>
      <c r="F807" s="5">
        <v>940446593012.71997</v>
      </c>
    </row>
    <row r="808" spans="1:6" x14ac:dyDescent="0.25">
      <c r="A808" s="4" t="str">
        <f>"7339"</f>
        <v>7339</v>
      </c>
      <c r="B808" s="4" t="str">
        <f>"Разные ценности и документы"</f>
        <v>Разные ценности и документы</v>
      </c>
      <c r="C808" s="6">
        <v>0</v>
      </c>
      <c r="D808" s="6">
        <v>0</v>
      </c>
      <c r="E808" s="6">
        <v>0</v>
      </c>
      <c r="F808" s="5">
        <v>144559</v>
      </c>
    </row>
    <row r="809" spans="1:6" x14ac:dyDescent="0.25">
      <c r="A809" s="4" t="str">
        <f>"7342"</f>
        <v>7342</v>
      </c>
      <c r="B809" s="4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C809" s="6">
        <v>0</v>
      </c>
      <c r="D809" s="6">
        <v>0</v>
      </c>
      <c r="E809" s="6">
        <v>0</v>
      </c>
      <c r="F809" s="5">
        <v>1808891</v>
      </c>
    </row>
    <row r="810" spans="1:6" x14ac:dyDescent="0.25">
      <c r="A810" s="4" t="str">
        <f>"7363"</f>
        <v>7363</v>
      </c>
      <c r="B810" s="4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C810" s="6">
        <v>0</v>
      </c>
      <c r="D810" s="6">
        <v>0</v>
      </c>
      <c r="E810" s="6">
        <v>0</v>
      </c>
      <c r="F810" s="5">
        <v>353976471601.59998</v>
      </c>
    </row>
    <row r="811" spans="1:6" x14ac:dyDescent="0.25">
      <c r="A811" s="4" t="str">
        <f>"7535"</f>
        <v>7535</v>
      </c>
      <c r="B811" s="4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C811" s="6">
        <v>0</v>
      </c>
      <c r="D811" s="6">
        <v>0</v>
      </c>
      <c r="E811" s="6">
        <v>0</v>
      </c>
      <c r="F811" s="5">
        <v>3246920656.4400001</v>
      </c>
    </row>
    <row r="812" spans="1:6" x14ac:dyDescent="0.25">
      <c r="A812" s="4" t="str">
        <f>"7536"</f>
        <v>7536</v>
      </c>
      <c r="B812" s="4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C812" s="6">
        <v>0</v>
      </c>
      <c r="D812" s="6">
        <v>0</v>
      </c>
      <c r="E812" s="6">
        <v>0</v>
      </c>
      <c r="F812" s="5">
        <v>654711.01</v>
      </c>
    </row>
    <row r="813" spans="1:6" x14ac:dyDescent="0.25">
      <c r="A813" s="4" t="str">
        <f>"7542"</f>
        <v>7542</v>
      </c>
      <c r="B813" s="4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C813" s="6">
        <v>0</v>
      </c>
      <c r="D813" s="6">
        <v>0</v>
      </c>
      <c r="E813" s="6">
        <v>0</v>
      </c>
      <c r="F813" s="5">
        <v>17358312.690000001</v>
      </c>
    </row>
    <row r="814" spans="1:6" x14ac:dyDescent="0.25">
      <c r="A814" s="4" t="str">
        <f>"7543"</f>
        <v>7543</v>
      </c>
      <c r="B814" s="4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C814" s="6">
        <v>0</v>
      </c>
      <c r="D814" s="6">
        <v>0</v>
      </c>
      <c r="E814" s="6">
        <v>0</v>
      </c>
      <c r="F814" s="5">
        <v>3688.34</v>
      </c>
    </row>
    <row r="815" spans="1:6" x14ac:dyDescent="0.25">
      <c r="A815" s="4" t="str">
        <f>"7544"</f>
        <v>7544</v>
      </c>
      <c r="B815" s="4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C815" s="6">
        <v>0</v>
      </c>
      <c r="D815" s="6">
        <v>0</v>
      </c>
      <c r="E815" s="6">
        <v>0</v>
      </c>
      <c r="F815" s="5">
        <v>692141.59</v>
      </c>
    </row>
    <row r="816" spans="1:6" x14ac:dyDescent="0.25">
      <c r="A816" s="4" t="str">
        <f>"7701"</f>
        <v>7701</v>
      </c>
      <c r="B816" s="4" t="str">
        <f>"Ценные бумаги"</f>
        <v>Ценные бумаги</v>
      </c>
      <c r="C816" s="6">
        <v>0</v>
      </c>
      <c r="D816" s="6">
        <v>0</v>
      </c>
      <c r="E816" s="6">
        <v>0</v>
      </c>
      <c r="F816" s="5">
        <v>35761113235.309998</v>
      </c>
    </row>
    <row r="817" spans="1:6" x14ac:dyDescent="0.25">
      <c r="A817" s="4" t="str">
        <f>"7702"</f>
        <v>7702</v>
      </c>
      <c r="B817" s="4" t="str">
        <f>"Вклады в других банках"</f>
        <v>Вклады в других банках</v>
      </c>
      <c r="C817" s="6">
        <v>0</v>
      </c>
      <c r="D817" s="6">
        <v>0</v>
      </c>
      <c r="E817" s="6">
        <v>0</v>
      </c>
      <c r="F817" s="5">
        <v>59578083.369999997</v>
      </c>
    </row>
    <row r="818" spans="1:6" x14ac:dyDescent="0.25">
      <c r="A818" s="4" t="str">
        <f>"7704"</f>
        <v>7704</v>
      </c>
      <c r="B818" s="4" t="str">
        <f>"Операции «обратное РЕПО»"</f>
        <v>Операции «обратное РЕПО»</v>
      </c>
      <c r="C818" s="6">
        <v>0</v>
      </c>
      <c r="D818" s="6">
        <v>0</v>
      </c>
      <c r="E818" s="6">
        <v>0</v>
      </c>
      <c r="F818" s="5">
        <v>1704121412.4400001</v>
      </c>
    </row>
    <row r="819" spans="1:6" x14ac:dyDescent="0.25">
      <c r="A819" s="4" t="str">
        <f>"7707"</f>
        <v>7707</v>
      </c>
      <c r="B819" s="4" t="str">
        <f>"Инвестиции в капитал"</f>
        <v>Инвестиции в капитал</v>
      </c>
      <c r="C819" s="6">
        <v>0</v>
      </c>
      <c r="D819" s="6">
        <v>0</v>
      </c>
      <c r="E819" s="6">
        <v>0</v>
      </c>
      <c r="F819" s="5">
        <v>3800885712.0300002</v>
      </c>
    </row>
    <row r="820" spans="1:6" x14ac:dyDescent="0.25">
      <c r="A820" s="4" t="str">
        <f>"7708"</f>
        <v>7708</v>
      </c>
      <c r="B820" s="4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C820" s="6">
        <v>0</v>
      </c>
      <c r="D820" s="6">
        <v>0</v>
      </c>
      <c r="E820" s="6">
        <v>0</v>
      </c>
      <c r="F820" s="5">
        <v>11260756469</v>
      </c>
    </row>
    <row r="821" spans="1:6" x14ac:dyDescent="0.25">
      <c r="A821" s="4" t="str">
        <f>"7711"</f>
        <v>7711</v>
      </c>
      <c r="B821" s="4" t="str">
        <f>"Вознаграждение"</f>
        <v>Вознаграждение</v>
      </c>
      <c r="C821" s="6">
        <v>0</v>
      </c>
      <c r="D821" s="6">
        <v>0</v>
      </c>
      <c r="E821" s="6">
        <v>0</v>
      </c>
      <c r="F821" s="5">
        <v>303372034.31</v>
      </c>
    </row>
    <row r="822" spans="1:6" x14ac:dyDescent="0.25">
      <c r="A822" s="4" t="str">
        <f>"7713"</f>
        <v>7713</v>
      </c>
      <c r="B822" s="4" t="str">
        <f>"Прочие требования"</f>
        <v>Прочие требования</v>
      </c>
      <c r="C822" s="6">
        <v>0</v>
      </c>
      <c r="D822" s="6">
        <v>0</v>
      </c>
      <c r="E822" s="6">
        <v>0</v>
      </c>
      <c r="F822" s="5">
        <v>4702556626.9200001</v>
      </c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Тыныбаева Гульмира Турсыновна</dc:creator>
  <cp:lastModifiedBy>Дарибаева Нургуль Асановна</cp:lastModifiedBy>
  <dcterms:created xsi:type="dcterms:W3CDTF">2024-01-08T09:19:06Z</dcterms:created>
  <dcterms:modified xsi:type="dcterms:W3CDTF">2024-01-12T12:07:26Z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7e166-4b10-4d44-9951-ddc92040c9bd_Enabled">
    <vt:lpwstr>true</vt:lpwstr>
  </property>
  <property fmtid="{D5CDD505-2E9C-101B-9397-08002B2CF9AE}" pid="3" name="MSIP_Label_5667e166-4b10-4d44-9951-ddc92040c9bd_SetDate">
    <vt:lpwstr>2024-01-12T12:07:26Z</vt:lpwstr>
  </property>
  <property fmtid="{D5CDD505-2E9C-101B-9397-08002B2CF9AE}" pid="4" name="MSIP_Label_5667e166-4b10-4d44-9951-ddc92040c9bd_Method">
    <vt:lpwstr>Standard</vt:lpwstr>
  </property>
  <property fmtid="{D5CDD505-2E9C-101B-9397-08002B2CF9AE}" pid="5" name="MSIP_Label_5667e166-4b10-4d44-9951-ddc92040c9bd_Name">
    <vt:lpwstr>С маркировкой</vt:lpwstr>
  </property>
  <property fmtid="{D5CDD505-2E9C-101B-9397-08002B2CF9AE}" pid="6" name="MSIP_Label_5667e166-4b10-4d44-9951-ddc92040c9bd_SiteId">
    <vt:lpwstr>38598580-1f17-4a12-918c-077d560b949f</vt:lpwstr>
  </property>
  <property fmtid="{D5CDD505-2E9C-101B-9397-08002B2CF9AE}" pid="7" name="MSIP_Label_5667e166-4b10-4d44-9951-ddc92040c9bd_ActionId">
    <vt:lpwstr>7c543ae6-5876-4a85-af6d-b9381ce3150d</vt:lpwstr>
  </property>
  <property fmtid="{D5CDD505-2E9C-101B-9397-08002B2CF9AE}" pid="8" name="MSIP_Label_5667e166-4b10-4d44-9951-ddc92040c9bd_ContentBits">
    <vt:lpwstr>1</vt:lpwstr>
  </property>
</Properties>
</file>